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gavinet-my.sharepoint.com/personal/eaduafari_gavi_org1/Documents/Documents/CCEOP/CCEOP Budget Template/New fix/New new/"/>
    </mc:Choice>
  </mc:AlternateContent>
  <xr:revisionPtr revIDLastSave="57" documentId="8_{D8579CE7-C5E9-4703-BE42-09524ABB64BE}" xr6:coauthVersionLast="47" xr6:coauthVersionMax="47" xr10:uidLastSave="{89042CBD-2714-4868-B2BE-4F93A23DADDA}"/>
  <bookViews>
    <workbookView xWindow="14160" yWindow="-16320" windowWidth="29040" windowHeight="15720" tabRatio="727" activeTab="2" xr2:uid="{00000000-000D-0000-FFFF-FFFF00000000}"/>
  </bookViews>
  <sheets>
    <sheet name="Instructions pour les pay" sheetId="1" r:id="rId1"/>
    <sheet name="Résumé des options ECF" sheetId="8" r:id="rId2"/>
    <sheet name="Options_modèle spécifié d'ECF" sheetId="3" r:id="rId3"/>
    <sheet name="Prix et modèle des ECF'_x0009_" sheetId="2" r:id="rId4"/>
    <sheet name="Reference_Dropdown1" sheetId="11" state="hidden" r:id="rId5"/>
    <sheet name="Reference_Dropdowns2" sheetId="12" state="hidden" r:id="rId6"/>
    <sheet name="Dropdowns3_countries" sheetId="13" state="hidden" r:id="rId7"/>
  </sheets>
  <definedNames>
    <definedName name="_1.RéfrigérateurILRàgaineréfrigérantesurréseau_sanscomp.congélateur">Reference_Dropdowns2!$A$3:$A$6</definedName>
    <definedName name="_1.RéfrigérateurILRàgaineréfrigérantesurréseau_sanscomp.congélateur__120L">Reference_Dropdowns2!$C$11:$C$22</definedName>
    <definedName name="_1.RéfrigérateurILRàgaineréfrigérantesurréseau_sanscomp.congélateur0__60L">Reference_Dropdowns2!$A$11:$A$20</definedName>
    <definedName name="_1.RéfrigérateurILRàgaineréfrigérantesurréseau_sanscomp.congélateur60__120L">Reference_Dropdowns2!$B$11:$B$24</definedName>
    <definedName name="_10.Glacièrenouvellegénérationquin’exposepaslesvaccinsaugel_GradeA5__15L">Reference_Dropdowns2!$K$3:$K$5</definedName>
    <definedName name="_10.Portevaccinnouvellegénérationquin’exposepaslesvaccinsaugel_GradeA">Reference_Dropdowns2!$J$3:$J$4</definedName>
    <definedName name="_10.Portevaccinnouvellegénérationquin’exposepaslesvaccinsaugel_GradeA0__5L">Reference_Dropdowns2!$U$11:$U$18</definedName>
    <definedName name="_11.Glacièrenouvellegénérationquin’exposepaslesvaccinsaugel_GradeA">Reference_Dropdowns2!$K$3:$K$5</definedName>
    <definedName name="_11.Glacièrenouvellegénérationquin’exposepaslesvaccinsaugel_GradeA__15L">Reference_Dropdowns2!$V$11:$V$12</definedName>
    <definedName name="_11.Glacièrenouvellegénérationquin’exposepaslesvaccinsaugel_GradeA_15">Reference_Dropdowns2!$W$11:$W$12</definedName>
    <definedName name="_12.Régulateursdetensionpouréquipement">Reference_Dropdowns2!$L$3:$L$4</definedName>
    <definedName name="_12.RégulateursdetensionpouréquipementNA">Reference_Dropdowns2!$X$11:$X$13</definedName>
    <definedName name="_13.Packsdeglace">Reference_Dropdowns2!$M$3:$M$4</definedName>
    <definedName name="_13.PacksdeglaceNA">Reference_Dropdowns2!$Y$11:$Y$27</definedName>
    <definedName name="_14.PiècesderechangepouréquipementsILRsanscongélateur">Reference_Dropdowns2!$N$3:$N$4</definedName>
    <definedName name="_14.PiècesderechangepouréquipementsILRsanscongélateurNA">Reference_Dropdowns2!$Z$11:$Z$28</definedName>
    <definedName name="_15.PiècesderechangepouréquipementsILRaveccongélateur">Reference_Dropdowns2!$O$3:$O$4</definedName>
    <definedName name="_15.PiècesderechangepouréquipementsILRaveccongélateurNA">Reference_Dropdowns2!$AA$11:$AA$15</definedName>
    <definedName name="_16.Piècesderechangepouréquipementsdecongélation">Reference_Dropdowns2!$P$3:$P$4</definedName>
    <definedName name="_16.PiècesderechangepouréquipementsdecongélationNA">Reference_Dropdowns2!$AB$11:$AB$19</definedName>
    <definedName name="_17.PiècesderechangeRéfrigérateurshorsréseauSDD_sanscongélateur">Reference_Dropdowns2!$Q$3:$Q$4</definedName>
    <definedName name="_17.PiècesderechangeRéfrigérateurshorsréseauSDD_sanscongélateurNA">Reference_Dropdowns2!$AC$11:$AC$26</definedName>
    <definedName name="_18.PiècesderechangepourSDDsanscompartimentcongélateur">Reference_Dropdowns2!$R$3:$R$4</definedName>
    <definedName name="_18.PiècesderechangepourSDDsanscompartimentcongélateurNA">Reference_Dropdowns2!$AD$11:$AD$24</definedName>
    <definedName name="_19.PiècesderechangepourSDDaveccongélateur">Reference_Dropdowns2!$S$3:$S$4</definedName>
    <definedName name="_19.PiècesderechangepourSDDaveccongélateurNA">Reference_Dropdowns2!$AE$11:$AE$15</definedName>
    <definedName name="_2.ILRsurréseau_aveccomp.congélateur">Reference_Dropdowns2!$B$3:$B$5</definedName>
    <definedName name="_2.ILRsurréseau_aveccomp.congélateur0__60L">Reference_Dropdowns2!$D$11:$D$17</definedName>
    <definedName name="_2.ILRsurréseau_aveccomp.congélateur60__120L">Reference_Dropdowns2!$E$11:$E$12</definedName>
    <definedName name="_20.RenouvellementsannuelsdabonnementdedonnéespourlesRTMDexistants">Reference_Dropdowns2!$T$3:$T$4</definedName>
    <definedName name="_20.RenouvellementsannuelsdabonnementdedonnéespourlesRTMDexistantsNA">Reference_Dropdowns2!$AF$11:$AF$23</definedName>
    <definedName name="_21.Formationenpersonne">Reference_Dropdowns2!$U$3:$U$4</definedName>
    <definedName name="_21.FormationenpersonneNA">Reference_Dropdowns2!$AG$11:$AG$14</definedName>
    <definedName name="_22.Formationàdistance">Reference_Dropdowns2!$V$3:$V$4</definedName>
    <definedName name="_22.FormationàdistanceNA">Reference_Dropdowns2!$AH$11:$AH$13</definedName>
    <definedName name="_23.StockagedeVaccinsTransportableetMotorisé_TPVS">Reference_Dropdowns2!$W$3:$W$4</definedName>
    <definedName name="_23.StockagedeVaccinsTransportableetMotorisé_TPVS0__5L">Reference_Dropdowns2!$AI$11:$AI$14</definedName>
    <definedName name="_3.Congélateurssurréseau">Reference_Dropdowns2!$C$3:$C$5</definedName>
    <definedName name="_3.Congélateurssurréseau__120L">Reference_Dropdowns2!$G$11:$G$21</definedName>
    <definedName name="_3.Congélateurssurréseau60__120L">Reference_Dropdowns2!$F$11:$F$17</definedName>
    <definedName name="_4.RéfrigérateurshorsréseauSDD_sanscomp.congélateur">Reference_Dropdowns2!$E$3:$E$6</definedName>
    <definedName name="_4.RéfrigérateurshorsréseauSDD_sanscomp.congélateur__120L">Reference_Dropdowns2!$J$11:$J$18</definedName>
    <definedName name="_4.RéfrigérateurshorsréseauSDD_sanscomp.congélateur0__60L">Reference_Dropdowns2!$H$11:$H$22</definedName>
    <definedName name="_4.RéfrigérateurshorsréseauSDD_sanscomp.congélateur60__120L">Reference_Dropdowns2!$I$11:$I$20</definedName>
    <definedName name="_5.RéfrigérateurshorsréseauSDD_aveccomp.congélateur">Reference_Dropdowns2!$E$3:$E$6</definedName>
    <definedName name="_5.RéfrigérateurshorsréseauSDD_aveccomp.congélateur__120L">Reference_Dropdowns2!$M$11:$M$12</definedName>
    <definedName name="_5.RéfrigérateurshorsréseauSDD_aveccomp.congélateur0__60L">Reference_Dropdowns2!$K$11:$K$22</definedName>
    <definedName name="_5.RéfrigérateurshorsréseauSDD_aveccomp.congélateur60__120L">Reference_Dropdowns2!$L$11:$L$18</definedName>
    <definedName name="_6.CongélateurhorsréseauSDD">Reference_Dropdowns2!$F$3:$F$6</definedName>
    <definedName name="_6.CongélateurhorsréseauSDD__120L">Reference_Dropdowns2!$P$11</definedName>
    <definedName name="_6.CongélateurhorsréseauSDD0__60L">Reference_Dropdowns2!$N$11:$N$13</definedName>
    <definedName name="_6.CongélateurhorsréseauSDD60__120L">Reference_Dropdowns2!$O$11:$O$12</definedName>
    <definedName name="_7.Outildemonitoragedelatempératurepouraumoins30jours">Reference_Dropdowns2!$G$3:$G$4</definedName>
    <definedName name="_7.Outildemonitoragedelatempératurepouraumoins30joursNA">Reference_Dropdowns2!$Q$11:$Q$15</definedName>
    <definedName name="_8.Outildemonitoragecontinudelatempératureàtempsréel">Reference_Dropdowns2!$H$3:$H$5</definedName>
    <definedName name="_8.OutildemonitoragecontinudelatempératureàtempsréelRefrigerator">Reference_Dropdowns2!$S$11:$S$18</definedName>
    <definedName name="_8.OutildemonitoragecontinudelatempératureàtempsréelWICR">Reference_Dropdowns2!$R$11:$R$16</definedName>
    <definedName name="_9.Dispositifspassifsàlongterme">Reference_Dropdowns2!$I$3:$I$4</definedName>
    <definedName name="_9.Dispositifspassifsàlongterme5__10L">Reference_Dropdowns2!$T$11:$T$12</definedName>
    <definedName name="_xlnm._FilterDatabase" localSheetId="3" hidden="1">'Prix et modèle des ECF''	'!$A$3:$O$222</definedName>
    <definedName name="Deleted">Reference_Dropdown1!$C$2:$C$25</definedName>
    <definedName name="equipmentwithnoservicecost">'Prix et modèle des ECF''	'!#REF!,'Prix et modèle des ECF''	'!#REF!</definedName>
    <definedName name="HBCD___90_spare_parts">Reference_Dropdowns2!$AA$11:$AA$15</definedName>
    <definedName name="Typed_équipementetsourced_énergie">Reference_Dropdown1!$C$2:$C$24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1" l="1"/>
  <c r="C24" i="11" s="1"/>
  <c r="F24" i="11" s="1"/>
  <c r="AI10" i="12"/>
  <c r="C23" i="11"/>
  <c r="F23" i="11"/>
  <c r="O225" i="2"/>
  <c r="N225" i="2"/>
  <c r="O224" i="2"/>
  <c r="N224" i="2"/>
  <c r="O223" i="2"/>
  <c r="N223" i="2"/>
  <c r="A223" i="2"/>
  <c r="A224" i="2" s="1"/>
  <c r="A225" i="2" s="1"/>
  <c r="D7" i="3"/>
  <c r="E7" i="3"/>
  <c r="F7" i="3"/>
  <c r="G7" i="3"/>
  <c r="D8" i="3"/>
  <c r="E8" i="3"/>
  <c r="F8" i="3"/>
  <c r="G8" i="3"/>
  <c r="D9" i="3"/>
  <c r="E9" i="3"/>
  <c r="F9" i="3"/>
  <c r="G9" i="3"/>
  <c r="D10" i="3"/>
  <c r="E10" i="3"/>
  <c r="F10" i="3"/>
  <c r="G10" i="3"/>
  <c r="D11" i="3"/>
  <c r="E11" i="3"/>
  <c r="F11" i="3"/>
  <c r="G11" i="3"/>
  <c r="D12" i="3"/>
  <c r="E12" i="3"/>
  <c r="F12" i="3"/>
  <c r="G12" i="3"/>
  <c r="D13" i="3"/>
  <c r="E13" i="3"/>
  <c r="F13" i="3"/>
  <c r="G13" i="3"/>
  <c r="D14" i="3"/>
  <c r="E14" i="3"/>
  <c r="F14" i="3"/>
  <c r="G14" i="3"/>
  <c r="D15" i="3"/>
  <c r="E15" i="3"/>
  <c r="F15" i="3"/>
  <c r="G15" i="3"/>
  <c r="D16" i="3"/>
  <c r="E16" i="3"/>
  <c r="F16" i="3"/>
  <c r="G16" i="3"/>
  <c r="D17" i="3"/>
  <c r="E17" i="3"/>
  <c r="F17" i="3"/>
  <c r="G17" i="3"/>
  <c r="D18" i="3"/>
  <c r="E18" i="3"/>
  <c r="F18" i="3"/>
  <c r="G18" i="3"/>
  <c r="D19" i="3"/>
  <c r="E19" i="3"/>
  <c r="F19" i="3"/>
  <c r="G19" i="3"/>
  <c r="D20" i="3"/>
  <c r="E20" i="3"/>
  <c r="F20" i="3"/>
  <c r="G20" i="3"/>
  <c r="D21" i="3"/>
  <c r="E21" i="3"/>
  <c r="F21" i="3"/>
  <c r="G21" i="3"/>
  <c r="D22" i="3"/>
  <c r="E22" i="3"/>
  <c r="F22" i="3"/>
  <c r="G22" i="3"/>
  <c r="D23" i="3"/>
  <c r="E23" i="3"/>
  <c r="F23" i="3"/>
  <c r="G23" i="3"/>
  <c r="D24" i="3"/>
  <c r="E24" i="3"/>
  <c r="F24" i="3"/>
  <c r="G24" i="3"/>
  <c r="D25" i="3"/>
  <c r="E25" i="3"/>
  <c r="F25" i="3"/>
  <c r="G25" i="3"/>
  <c r="D26" i="3"/>
  <c r="E26" i="3"/>
  <c r="F26" i="3"/>
  <c r="G26" i="3"/>
  <c r="D27" i="3"/>
  <c r="E27" i="3"/>
  <c r="F27" i="3"/>
  <c r="G27" i="3"/>
  <c r="D28" i="3"/>
  <c r="E28" i="3"/>
  <c r="F28" i="3"/>
  <c r="G28" i="3"/>
  <c r="D29" i="3"/>
  <c r="E29" i="3"/>
  <c r="F29" i="3"/>
  <c r="G29" i="3"/>
  <c r="D30" i="3"/>
  <c r="E30" i="3"/>
  <c r="F30" i="3"/>
  <c r="G30" i="3"/>
  <c r="D31" i="3"/>
  <c r="E31" i="3"/>
  <c r="F31" i="3"/>
  <c r="G31" i="3"/>
  <c r="D32" i="3"/>
  <c r="E32" i="3"/>
  <c r="F32" i="3"/>
  <c r="G32" i="3"/>
  <c r="D33" i="3"/>
  <c r="E33" i="3"/>
  <c r="F33" i="3"/>
  <c r="G33" i="3"/>
  <c r="D34" i="3"/>
  <c r="E34" i="3"/>
  <c r="F34" i="3"/>
  <c r="G34" i="3"/>
  <c r="D35" i="3"/>
  <c r="E35" i="3"/>
  <c r="F35" i="3"/>
  <c r="G35" i="3"/>
  <c r="D36" i="3"/>
  <c r="E36" i="3"/>
  <c r="F36" i="3"/>
  <c r="G36" i="3"/>
  <c r="D37" i="3"/>
  <c r="E37" i="3"/>
  <c r="F37" i="3"/>
  <c r="G37" i="3"/>
  <c r="D38" i="3"/>
  <c r="E38" i="3"/>
  <c r="F38" i="3"/>
  <c r="G38" i="3"/>
  <c r="S7" i="3"/>
  <c r="T7" i="3"/>
  <c r="S8" i="3"/>
  <c r="T8" i="3"/>
  <c r="S9" i="3"/>
  <c r="T9" i="3"/>
  <c r="S10" i="3"/>
  <c r="T10" i="3"/>
  <c r="S11" i="3"/>
  <c r="T11" i="3"/>
  <c r="S12" i="3"/>
  <c r="T12" i="3"/>
  <c r="S13" i="3"/>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30" i="3"/>
  <c r="T30" i="3"/>
  <c r="S31" i="3"/>
  <c r="T31" i="3"/>
  <c r="S32" i="3"/>
  <c r="T32" i="3"/>
  <c r="S33" i="3"/>
  <c r="T33" i="3"/>
  <c r="S34" i="3"/>
  <c r="T34" i="3"/>
  <c r="S35" i="3"/>
  <c r="T35" i="3"/>
  <c r="S36" i="3"/>
  <c r="T36" i="3"/>
  <c r="S37" i="3"/>
  <c r="T37" i="3"/>
  <c r="S38" i="3"/>
  <c r="T38" i="3"/>
  <c r="AF7" i="3"/>
  <c r="AG7" i="3"/>
  <c r="AF8" i="3"/>
  <c r="AG8" i="3"/>
  <c r="AF9" i="3"/>
  <c r="AG9" i="3"/>
  <c r="AF10" i="3"/>
  <c r="AG10" i="3"/>
  <c r="AF11" i="3"/>
  <c r="AG11" i="3"/>
  <c r="AF12" i="3"/>
  <c r="AG12" i="3"/>
  <c r="AF13" i="3"/>
  <c r="AG13" i="3"/>
  <c r="AF14" i="3"/>
  <c r="AG14" i="3"/>
  <c r="AF15" i="3"/>
  <c r="AG15" i="3"/>
  <c r="AF16" i="3"/>
  <c r="AG16" i="3"/>
  <c r="AF17" i="3"/>
  <c r="AG17" i="3"/>
  <c r="AF18" i="3"/>
  <c r="AG18" i="3"/>
  <c r="AF19" i="3"/>
  <c r="AG19" i="3"/>
  <c r="AF20" i="3"/>
  <c r="AG20" i="3"/>
  <c r="AF21" i="3"/>
  <c r="AG21" i="3"/>
  <c r="AF22" i="3"/>
  <c r="AG22" i="3"/>
  <c r="AF23" i="3"/>
  <c r="AG23" i="3"/>
  <c r="AF24" i="3"/>
  <c r="AG24" i="3"/>
  <c r="AF25" i="3"/>
  <c r="AG25" i="3"/>
  <c r="AF26" i="3"/>
  <c r="AG26" i="3"/>
  <c r="AF27" i="3"/>
  <c r="AG27" i="3"/>
  <c r="AF28" i="3"/>
  <c r="AG28" i="3"/>
  <c r="AF29" i="3"/>
  <c r="AG29" i="3"/>
  <c r="AF30" i="3"/>
  <c r="AG30" i="3"/>
  <c r="AF31" i="3"/>
  <c r="AG31" i="3"/>
  <c r="AF32" i="3"/>
  <c r="AG32" i="3"/>
  <c r="AF33" i="3"/>
  <c r="AG33" i="3"/>
  <c r="AF34" i="3"/>
  <c r="AG34" i="3"/>
  <c r="AF35" i="3"/>
  <c r="AG35" i="3"/>
  <c r="AF36" i="3"/>
  <c r="AG36" i="3"/>
  <c r="AF37" i="3"/>
  <c r="AG37" i="3"/>
  <c r="AF38" i="3"/>
  <c r="AG38" i="3"/>
  <c r="AG6" i="3"/>
  <c r="AF6" i="3"/>
  <c r="T6" i="3"/>
  <c r="S6" i="3"/>
  <c r="G6" i="3"/>
  <c r="F6" i="3"/>
  <c r="E6" i="3"/>
  <c r="D6" i="3"/>
  <c r="E149" i="2"/>
  <c r="D149" i="2"/>
  <c r="N9" i="2"/>
  <c r="O9" i="2" s="1"/>
  <c r="I10" i="2"/>
  <c r="N10" i="2" s="1"/>
  <c r="O10" i="2" s="1"/>
  <c r="N118" i="2" l="1"/>
  <c r="O118" i="2"/>
  <c r="I102" i="2"/>
  <c r="I69" i="2"/>
  <c r="I70" i="2" s="1"/>
  <c r="I63" i="2"/>
  <c r="I64" i="2" s="1"/>
  <c r="I39" i="2"/>
  <c r="I40" i="2" s="1"/>
  <c r="I91" i="2"/>
  <c r="I72" i="2"/>
  <c r="I58" i="2"/>
  <c r="I53" i="2"/>
  <c r="I38" i="2"/>
  <c r="I31" i="2"/>
  <c r="I21" i="2"/>
  <c r="I14" i="2"/>
  <c r="I6" i="2"/>
  <c r="I195" i="2"/>
  <c r="I160" i="2"/>
  <c r="I26" i="2"/>
  <c r="I27" i="2" s="1"/>
  <c r="I199" i="2"/>
  <c r="I188" i="2"/>
  <c r="I183" i="2"/>
  <c r="I76" i="2"/>
  <c r="I77" i="2" s="1"/>
  <c r="I67" i="2"/>
  <c r="I68" i="2" s="1"/>
  <c r="I164" i="2"/>
  <c r="I192" i="2"/>
  <c r="I191" i="2"/>
  <c r="I104" i="2"/>
  <c r="I94" i="2"/>
  <c r="I75" i="2"/>
  <c r="I56" i="2"/>
  <c r="I60" i="2"/>
  <c r="I33" i="2" l="1"/>
  <c r="I34" i="2" s="1"/>
  <c r="I97" i="2"/>
  <c r="I98" i="2" s="1"/>
  <c r="I88" i="2"/>
  <c r="I89" i="2" s="1"/>
  <c r="E193" i="2"/>
  <c r="E192" i="2"/>
  <c r="H128" i="2"/>
  <c r="H125" i="2"/>
  <c r="W10" i="12"/>
  <c r="E205" i="2"/>
  <c r="I204" i="2"/>
  <c r="E204" i="2"/>
  <c r="D204" i="2"/>
  <c r="I203" i="2"/>
  <c r="E203" i="2"/>
  <c r="D203" i="2"/>
  <c r="I202" i="2"/>
  <c r="E202" i="2"/>
  <c r="D202" i="2"/>
  <c r="E201" i="2"/>
  <c r="D201" i="2"/>
  <c r="I200" i="2"/>
  <c r="E200" i="2"/>
  <c r="D200" i="2"/>
  <c r="E199" i="2"/>
  <c r="D199" i="2"/>
  <c r="E198" i="2"/>
  <c r="D198" i="2"/>
  <c r="I197" i="2"/>
  <c r="E197" i="2"/>
  <c r="D197" i="2"/>
  <c r="E196" i="2"/>
  <c r="D196" i="2"/>
  <c r="E195" i="2"/>
  <c r="D195" i="2"/>
  <c r="I194" i="2"/>
  <c r="E194" i="2"/>
  <c r="D194" i="2"/>
  <c r="E191" i="2"/>
  <c r="E190" i="2"/>
  <c r="I189" i="2"/>
  <c r="E189" i="2"/>
  <c r="E188" i="2"/>
  <c r="I187" i="2"/>
  <c r="E187" i="2"/>
  <c r="E186" i="2"/>
  <c r="E185" i="2"/>
  <c r="I184" i="2"/>
  <c r="E184" i="2"/>
  <c r="E183" i="2"/>
  <c r="E182" i="2"/>
  <c r="I181" i="2"/>
  <c r="E181" i="2"/>
  <c r="E180" i="2"/>
  <c r="E179" i="2"/>
  <c r="E178" i="2"/>
  <c r="D178" i="2"/>
  <c r="I177" i="2"/>
  <c r="E177" i="2"/>
  <c r="E176" i="2"/>
  <c r="I175" i="2"/>
  <c r="E175" i="2"/>
  <c r="E174" i="2"/>
  <c r="I173" i="2"/>
  <c r="E173" i="2"/>
  <c r="E172" i="2"/>
  <c r="E171" i="2"/>
  <c r="I170" i="2"/>
  <c r="E170" i="2"/>
  <c r="E169" i="2"/>
  <c r="I168" i="2"/>
  <c r="E168" i="2"/>
  <c r="I167" i="2"/>
  <c r="E167" i="2"/>
  <c r="E166" i="2"/>
  <c r="E165" i="2"/>
  <c r="E164" i="2"/>
  <c r="D164" i="2"/>
  <c r="I163" i="2"/>
  <c r="E163" i="2"/>
  <c r="D163" i="2"/>
  <c r="E162" i="2"/>
  <c r="D162" i="2"/>
  <c r="E161" i="2"/>
  <c r="D161" i="2"/>
  <c r="E160" i="2"/>
  <c r="D160" i="2"/>
  <c r="I159" i="2"/>
  <c r="E159" i="2"/>
  <c r="D159" i="2"/>
  <c r="E158" i="2"/>
  <c r="D158" i="2"/>
  <c r="E157" i="2"/>
  <c r="D157" i="2"/>
  <c r="I156" i="2"/>
  <c r="E156" i="2"/>
  <c r="D156" i="2"/>
  <c r="I155" i="2"/>
  <c r="E155" i="2"/>
  <c r="D155" i="2"/>
  <c r="I154" i="2"/>
  <c r="E154" i="2"/>
  <c r="D154" i="2"/>
  <c r="E153" i="2"/>
  <c r="D153" i="2"/>
  <c r="E152" i="2"/>
  <c r="D152" i="2"/>
  <c r="I151" i="2"/>
  <c r="E151" i="2"/>
  <c r="D151" i="2"/>
  <c r="E150" i="2"/>
  <c r="D150" i="2"/>
  <c r="I148" i="2"/>
  <c r="E148" i="2"/>
  <c r="D148" i="2"/>
  <c r="O147" i="2"/>
  <c r="N147" i="2"/>
  <c r="I146" i="2"/>
  <c r="N146" i="2" s="1"/>
  <c r="O145" i="2"/>
  <c r="N145" i="2"/>
  <c r="O144" i="2"/>
  <c r="N144" i="2"/>
  <c r="O143" i="2"/>
  <c r="N143" i="2"/>
  <c r="O142" i="2"/>
  <c r="N142" i="2"/>
  <c r="O141" i="2"/>
  <c r="N141" i="2"/>
  <c r="O140" i="2"/>
  <c r="N140" i="2"/>
  <c r="O139" i="2"/>
  <c r="N139" i="2"/>
  <c r="O138" i="2"/>
  <c r="N138" i="2"/>
  <c r="O137" i="2"/>
  <c r="N137" i="2"/>
  <c r="O136" i="2"/>
  <c r="N136" i="2"/>
  <c r="O135" i="2"/>
  <c r="N135" i="2"/>
  <c r="O134" i="2"/>
  <c r="N134" i="2"/>
  <c r="O133" i="2"/>
  <c r="N133" i="2"/>
  <c r="O132" i="2"/>
  <c r="N132" i="2"/>
  <c r="O131" i="2"/>
  <c r="N131" i="2"/>
  <c r="O130" i="2"/>
  <c r="N130" i="2"/>
  <c r="O129" i="2"/>
  <c r="N129" i="2"/>
  <c r="O128" i="2"/>
  <c r="N128" i="2"/>
  <c r="I127" i="2"/>
  <c r="O127" i="2" s="1"/>
  <c r="O126" i="2"/>
  <c r="N126" i="2"/>
  <c r="O125" i="2"/>
  <c r="N125" i="2"/>
  <c r="O124" i="2"/>
  <c r="N124" i="2"/>
  <c r="O123" i="2"/>
  <c r="N123" i="2"/>
  <c r="O122" i="2"/>
  <c r="N122" i="2"/>
  <c r="O121" i="2"/>
  <c r="N121" i="2"/>
  <c r="O120" i="2"/>
  <c r="N120" i="2"/>
  <c r="O119" i="2"/>
  <c r="N119"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O103" i="2"/>
  <c r="N103" i="2"/>
  <c r="N102" i="2"/>
  <c r="I101" i="2"/>
  <c r="N101" i="2" s="1"/>
  <c r="O101" i="2" s="1"/>
  <c r="I99" i="2"/>
  <c r="N97" i="2"/>
  <c r="O97" i="2" s="1"/>
  <c r="I96" i="2"/>
  <c r="N96" i="2" s="1"/>
  <c r="O96" i="2" s="1"/>
  <c r="N95" i="2"/>
  <c r="O95" i="2" s="1"/>
  <c r="N94" i="2"/>
  <c r="O94" i="2" s="1"/>
  <c r="I93" i="2"/>
  <c r="N93" i="2" s="1"/>
  <c r="O93" i="2" s="1"/>
  <c r="N92" i="2"/>
  <c r="O92" i="2" s="1"/>
  <c r="N91" i="2"/>
  <c r="O91" i="2" s="1"/>
  <c r="N90" i="2"/>
  <c r="O90" i="2" s="1"/>
  <c r="I86" i="2"/>
  <c r="I85" i="2"/>
  <c r="N85" i="2" s="1"/>
  <c r="O85" i="2" s="1"/>
  <c r="N84" i="2"/>
  <c r="O84" i="2" s="1"/>
  <c r="I83" i="2"/>
  <c r="N83" i="2" s="1"/>
  <c r="O83" i="2" s="1"/>
  <c r="I82" i="2"/>
  <c r="N82" i="2" s="1"/>
  <c r="O82" i="2" s="1"/>
  <c r="I81" i="2"/>
  <c r="N81" i="2" s="1"/>
  <c r="O81" i="2" s="1"/>
  <c r="N80" i="2"/>
  <c r="O80" i="2" s="1"/>
  <c r="I78" i="2"/>
  <c r="N77" i="2"/>
  <c r="O77" i="2" s="1"/>
  <c r="N75" i="2"/>
  <c r="O75" i="2" s="1"/>
  <c r="I74" i="2"/>
  <c r="N74" i="2" s="1"/>
  <c r="O74" i="2" s="1"/>
  <c r="N73" i="2"/>
  <c r="O73" i="2" s="1"/>
  <c r="N72" i="2"/>
  <c r="O72" i="2" s="1"/>
  <c r="N71" i="2"/>
  <c r="O71" i="2" s="1"/>
  <c r="N70" i="2"/>
  <c r="O70" i="2" s="1"/>
  <c r="N68" i="2"/>
  <c r="O68" i="2" s="1"/>
  <c r="I66" i="2"/>
  <c r="N66" i="2" s="1"/>
  <c r="O66" i="2" s="1"/>
  <c r="N65" i="2"/>
  <c r="O65" i="2" s="1"/>
  <c r="N64" i="2"/>
  <c r="O64" i="2" s="1"/>
  <c r="N60" i="2"/>
  <c r="O60" i="2" s="1"/>
  <c r="N59" i="2"/>
  <c r="O59" i="2" s="1"/>
  <c r="N58" i="2"/>
  <c r="O58" i="2" s="1"/>
  <c r="N57" i="2"/>
  <c r="O57" i="2" s="1"/>
  <c r="N56" i="2"/>
  <c r="O56" i="2" s="1"/>
  <c r="I54" i="2"/>
  <c r="N53" i="2"/>
  <c r="O53" i="2" s="1"/>
  <c r="N52" i="2"/>
  <c r="O52" i="2" s="1"/>
  <c r="I51" i="2"/>
  <c r="N51" i="2" s="1"/>
  <c r="O51" i="2" s="1"/>
  <c r="N50" i="2"/>
  <c r="O50" i="2" s="1"/>
  <c r="I48" i="2"/>
  <c r="I47" i="2"/>
  <c r="N47" i="2" s="1"/>
  <c r="O47" i="2" s="1"/>
  <c r="N46" i="2"/>
  <c r="O46" i="2" s="1"/>
  <c r="I45" i="2"/>
  <c r="N45" i="2" s="1"/>
  <c r="O45" i="2" s="1"/>
  <c r="N44" i="2"/>
  <c r="O44" i="2" s="1"/>
  <c r="I43" i="2"/>
  <c r="N43" i="2" s="1"/>
  <c r="O43" i="2" s="1"/>
  <c r="N42" i="2"/>
  <c r="O42" i="2" s="1"/>
  <c r="I41" i="2"/>
  <c r="N41" i="2" s="1"/>
  <c r="O41" i="2" s="1"/>
  <c r="N39" i="2"/>
  <c r="O39" i="2" s="1"/>
  <c r="N38" i="2"/>
  <c r="O38" i="2" s="1"/>
  <c r="N37" i="2"/>
  <c r="O37" i="2" s="1"/>
  <c r="I36" i="2"/>
  <c r="N36" i="2" s="1"/>
  <c r="O36" i="2" s="1"/>
  <c r="N35" i="2"/>
  <c r="O35" i="2" s="1"/>
  <c r="I32" i="2"/>
  <c r="N32" i="2" s="1"/>
  <c r="O32" i="2" s="1"/>
  <c r="N31" i="2"/>
  <c r="O31" i="2" s="1"/>
  <c r="N30" i="2"/>
  <c r="O30" i="2" s="1"/>
  <c r="I29" i="2"/>
  <c r="N29" i="2" s="1"/>
  <c r="O29" i="2" s="1"/>
  <c r="N27" i="2"/>
  <c r="O27" i="2" s="1"/>
  <c r="I24" i="2"/>
  <c r="I23" i="2"/>
  <c r="N23" i="2" s="1"/>
  <c r="O23" i="2" s="1"/>
  <c r="N22" i="2"/>
  <c r="O22" i="2" s="1"/>
  <c r="N21" i="2"/>
  <c r="O21" i="2" s="1"/>
  <c r="N20" i="2"/>
  <c r="O20" i="2" s="1"/>
  <c r="I18" i="2"/>
  <c r="I16" i="2"/>
  <c r="I15" i="2"/>
  <c r="N15" i="2" s="1"/>
  <c r="O15" i="2" s="1"/>
  <c r="N14" i="2"/>
  <c r="O14" i="2" s="1"/>
  <c r="N13" i="2"/>
  <c r="O13" i="2" s="1"/>
  <c r="I12" i="2"/>
  <c r="N12" i="2" s="1"/>
  <c r="O12" i="2" s="1"/>
  <c r="N11" i="2"/>
  <c r="O11" i="2" s="1"/>
  <c r="I7" i="2"/>
  <c r="N6" i="2"/>
  <c r="O6" i="2" s="1"/>
  <c r="N5" i="2"/>
  <c r="O5" i="2" s="1"/>
  <c r="I4" i="2"/>
  <c r="N4" i="2" s="1"/>
  <c r="O4" i="2"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M10" i="12"/>
  <c r="N88" i="2" l="1"/>
  <c r="O88" i="2" s="1"/>
  <c r="N127" i="2"/>
  <c r="O146" i="2"/>
  <c r="I55" i="2"/>
  <c r="N55" i="2" s="1"/>
  <c r="O55" i="2" s="1"/>
  <c r="I87" i="2"/>
  <c r="N87" i="2" s="1"/>
  <c r="O87" i="2" s="1"/>
  <c r="I79" i="2"/>
  <c r="N79" i="2" s="1"/>
  <c r="O79" i="2" s="1"/>
  <c r="N7" i="2"/>
  <c r="O7" i="2" s="1"/>
  <c r="I8" i="2"/>
  <c r="N8" i="2" s="1"/>
  <c r="O8" i="2" s="1"/>
  <c r="I25" i="2"/>
  <c r="N25" i="2" s="1"/>
  <c r="O25" i="2" s="1"/>
  <c r="I17" i="2"/>
  <c r="N17" i="2" s="1"/>
  <c r="O17" i="2" s="1"/>
  <c r="I49" i="2"/>
  <c r="N49" i="2" s="1"/>
  <c r="O49" i="2" s="1"/>
  <c r="I19" i="2"/>
  <c r="N19" i="2" s="1"/>
  <c r="O19" i="2" s="1"/>
  <c r="I100" i="2"/>
  <c r="N100" i="2" s="1"/>
  <c r="O100" i="2" s="1"/>
  <c r="N54" i="2"/>
  <c r="O54" i="2" s="1"/>
  <c r="N26" i="2"/>
  <c r="O26" i="2" s="1"/>
  <c r="N89" i="2"/>
  <c r="O89" i="2" s="1"/>
  <c r="N40" i="2"/>
  <c r="O40" i="2" s="1"/>
  <c r="N48" i="2"/>
  <c r="O48" i="2" s="1"/>
  <c r="N98" i="2"/>
  <c r="O98" i="2" s="1"/>
  <c r="N24" i="2"/>
  <c r="O24" i="2" s="1"/>
  <c r="O102" i="2"/>
  <c r="N18" i="2"/>
  <c r="O18" i="2" s="1"/>
  <c r="N67" i="2"/>
  <c r="O67" i="2" s="1"/>
  <c r="N86" i="2"/>
  <c r="O86" i="2" s="1"/>
  <c r="N34" i="2"/>
  <c r="O34" i="2" s="1"/>
  <c r="N33" i="2"/>
  <c r="O33" i="2" s="1"/>
  <c r="N63" i="2"/>
  <c r="O63" i="2" s="1"/>
  <c r="N69" i="2"/>
  <c r="O69" i="2" s="1"/>
  <c r="N16" i="2"/>
  <c r="O16" i="2" s="1"/>
  <c r="N78" i="2"/>
  <c r="O78" i="2" s="1"/>
  <c r="N104" i="2"/>
  <c r="N76" i="2"/>
  <c r="O76" i="2" s="1"/>
  <c r="N99" i="2"/>
  <c r="O99" i="2" s="1"/>
  <c r="T10" i="12"/>
  <c r="AM40" i="3" l="1"/>
  <c r="AK40" i="3"/>
  <c r="AA40" i="3"/>
  <c r="Y40" i="3"/>
  <c r="AO6" i="3"/>
  <c r="U10" i="12" l="1"/>
  <c r="V10" i="12"/>
  <c r="AH10" i="12" l="1"/>
  <c r="AG10" i="12"/>
  <c r="C2" i="11" l="1"/>
  <c r="N40" i="3" l="1"/>
  <c r="L40" i="3"/>
  <c r="P6" i="3" l="1"/>
  <c r="P10"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37" i="3"/>
  <c r="AO38"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6" i="3"/>
  <c r="C34" i="11"/>
  <c r="C35" i="11" s="1"/>
  <c r="C36" i="11" s="1"/>
  <c r="C37" i="11" s="1"/>
  <c r="C38" i="11" s="1"/>
  <c r="C39" i="11" s="1"/>
  <c r="C40" i="11" s="1"/>
  <c r="C41" i="11" s="1"/>
  <c r="C42" i="11" s="1"/>
  <c r="C43" i="11" s="1"/>
  <c r="P8" i="3"/>
  <c r="P9"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7" i="3"/>
  <c r="P10" i="12"/>
  <c r="J10" i="12" l="1"/>
  <c r="I10" i="12"/>
  <c r="H10" i="12"/>
  <c r="U23" i="3" l="1"/>
  <c r="AD23" i="3" s="1"/>
  <c r="AH23" i="3"/>
  <c r="AP23" i="3" s="1"/>
  <c r="U22" i="3"/>
  <c r="AD22" i="3" s="1"/>
  <c r="I37" i="3"/>
  <c r="U7" i="3"/>
  <c r="AD7" i="3" s="1"/>
  <c r="I9" i="3"/>
  <c r="AH8" i="3"/>
  <c r="AP8" i="3" s="1"/>
  <c r="AH24" i="3"/>
  <c r="AP24" i="3" s="1"/>
  <c r="U17" i="3"/>
  <c r="AD17" i="3" s="1"/>
  <c r="U33" i="3"/>
  <c r="AD33" i="3" s="1"/>
  <c r="AH13" i="3"/>
  <c r="AP13" i="3" s="1"/>
  <c r="AH29" i="3"/>
  <c r="AP29" i="3" s="1"/>
  <c r="U26" i="3"/>
  <c r="AD26" i="3" s="1"/>
  <c r="AH11" i="3"/>
  <c r="AP11" i="3" s="1"/>
  <c r="U12" i="3"/>
  <c r="AD12" i="3" s="1"/>
  <c r="AH18" i="3"/>
  <c r="AP18" i="3" s="1"/>
  <c r="AH34" i="3"/>
  <c r="AP34" i="3" s="1"/>
  <c r="U19" i="3"/>
  <c r="AD19" i="3" s="1"/>
  <c r="I38" i="3"/>
  <c r="AH7" i="3"/>
  <c r="AP7" i="3" s="1"/>
  <c r="U16" i="3"/>
  <c r="AD16" i="3" s="1"/>
  <c r="U35" i="3"/>
  <c r="AD35" i="3" s="1"/>
  <c r="AH12" i="3"/>
  <c r="AP12" i="3" s="1"/>
  <c r="AH28" i="3"/>
  <c r="AP28" i="3" s="1"/>
  <c r="U21" i="3"/>
  <c r="AD21" i="3" s="1"/>
  <c r="U37" i="3"/>
  <c r="AD37" i="3" s="1"/>
  <c r="AH17" i="3"/>
  <c r="AP17" i="3" s="1"/>
  <c r="AH33" i="3"/>
  <c r="AP33" i="3" s="1"/>
  <c r="U10" i="3"/>
  <c r="AD10" i="3" s="1"/>
  <c r="U30" i="3"/>
  <c r="AD30" i="3" s="1"/>
  <c r="AH15" i="3"/>
  <c r="AP15" i="3" s="1"/>
  <c r="U24" i="3"/>
  <c r="AD24" i="3" s="1"/>
  <c r="AH22" i="3"/>
  <c r="AP22" i="3" s="1"/>
  <c r="AH38" i="3"/>
  <c r="AP38" i="3" s="1"/>
  <c r="U27" i="3"/>
  <c r="AD27" i="3" s="1"/>
  <c r="AH19" i="3"/>
  <c r="AP19" i="3" s="1"/>
  <c r="U20" i="3"/>
  <c r="AD20" i="3" s="1"/>
  <c r="U15" i="3"/>
  <c r="AD15" i="3" s="1"/>
  <c r="AH31" i="3"/>
  <c r="AP31" i="3" s="1"/>
  <c r="AH16" i="3"/>
  <c r="AP16" i="3" s="1"/>
  <c r="AH32" i="3"/>
  <c r="AP32" i="3" s="1"/>
  <c r="U9" i="3"/>
  <c r="AD9" i="3" s="1"/>
  <c r="U25" i="3"/>
  <c r="AD25" i="3" s="1"/>
  <c r="U28" i="3"/>
  <c r="AD28" i="3" s="1"/>
  <c r="AH21" i="3"/>
  <c r="AP21" i="3" s="1"/>
  <c r="AH37" i="3"/>
  <c r="AP37" i="3" s="1"/>
  <c r="U14" i="3"/>
  <c r="AD14" i="3" s="1"/>
  <c r="U34" i="3"/>
  <c r="AD34" i="3" s="1"/>
  <c r="AH35" i="3"/>
  <c r="AP35" i="3" s="1"/>
  <c r="U32" i="3"/>
  <c r="AD32" i="3" s="1"/>
  <c r="AH10" i="3"/>
  <c r="AP10" i="3" s="1"/>
  <c r="AH26" i="3"/>
  <c r="AP26" i="3" s="1"/>
  <c r="U11" i="3"/>
  <c r="AD11" i="3" s="1"/>
  <c r="U31" i="3"/>
  <c r="AD31" i="3" s="1"/>
  <c r="AH27" i="3"/>
  <c r="AP27" i="3" s="1"/>
  <c r="U36" i="3"/>
  <c r="AD36" i="3" s="1"/>
  <c r="AH20" i="3"/>
  <c r="AP20" i="3" s="1"/>
  <c r="AH36" i="3"/>
  <c r="AP36" i="3" s="1"/>
  <c r="U13" i="3"/>
  <c r="AD13" i="3" s="1"/>
  <c r="U29" i="3"/>
  <c r="AD29" i="3" s="1"/>
  <c r="AH9" i="3"/>
  <c r="AP9" i="3" s="1"/>
  <c r="AH25" i="3"/>
  <c r="AP25" i="3" s="1"/>
  <c r="U18" i="3"/>
  <c r="AD18" i="3" s="1"/>
  <c r="U38" i="3"/>
  <c r="AD38" i="3" s="1"/>
  <c r="U8" i="3"/>
  <c r="AD8" i="3" s="1"/>
  <c r="AH14" i="3"/>
  <c r="AP14" i="3" s="1"/>
  <c r="AH30" i="3"/>
  <c r="AP30" i="3" s="1"/>
  <c r="AF40" i="3"/>
  <c r="AG40" i="3"/>
  <c r="AH40" i="3" s="1"/>
  <c r="T40" i="3"/>
  <c r="U40" i="3" s="1"/>
  <c r="S40" i="3"/>
  <c r="S10" i="12"/>
  <c r="R10" i="12"/>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40" i="3"/>
  <c r="V6" i="3"/>
  <c r="AF10" i="12"/>
  <c r="AE10" i="12"/>
  <c r="AD10" i="12"/>
  <c r="AC10" i="12"/>
  <c r="AB10" i="12"/>
  <c r="AA10" i="12"/>
  <c r="Z10" i="12"/>
  <c r="Y10" i="12"/>
  <c r="X10" i="12"/>
  <c r="Q10" i="12"/>
  <c r="O10" i="12"/>
  <c r="N10" i="12"/>
  <c r="L10" i="12"/>
  <c r="K10" i="12"/>
  <c r="G10" i="12"/>
  <c r="F10" i="12"/>
  <c r="E10" i="12"/>
  <c r="D10" i="12"/>
  <c r="C10" i="12"/>
  <c r="B10" i="12"/>
  <c r="A10" i="12"/>
  <c r="A3" i="11"/>
  <c r="A4" i="11" s="1"/>
  <c r="A5" i="11" s="1"/>
  <c r="A6" i="11" s="1"/>
  <c r="A7" i="11" s="1"/>
  <c r="A8" i="11" s="1"/>
  <c r="A9" i="11" s="1"/>
  <c r="A10" i="11" s="1"/>
  <c r="D10" i="8" l="1"/>
  <c r="E10" i="8"/>
  <c r="C10" i="8"/>
  <c r="A11" i="11"/>
  <c r="A12" i="11" s="1"/>
  <c r="A13" i="11" s="1"/>
  <c r="A14" i="11" s="1"/>
  <c r="A15" i="11" s="1"/>
  <c r="A16" i="11" s="1"/>
  <c r="A17" i="11" s="1"/>
  <c r="A18" i="11" s="1"/>
  <c r="A19" i="11" s="1"/>
  <c r="A20" i="11" s="1"/>
  <c r="A21" i="11" s="1"/>
  <c r="A22" i="11" s="1"/>
  <c r="C10" i="11"/>
  <c r="F10" i="11" s="1"/>
  <c r="R53" i="3"/>
  <c r="S53" i="3"/>
  <c r="P53" i="3"/>
  <c r="O9" i="3"/>
  <c r="Q9" i="3"/>
  <c r="AL37" i="3"/>
  <c r="AB37" i="3"/>
  <c r="AJ37" i="3"/>
  <c r="X37" i="3"/>
  <c r="AN37" i="3"/>
  <c r="Z37" i="3"/>
  <c r="AL21" i="3"/>
  <c r="Z21" i="3"/>
  <c r="AB21" i="3"/>
  <c r="AJ21" i="3"/>
  <c r="AN21" i="3"/>
  <c r="X21" i="3"/>
  <c r="AJ32" i="3"/>
  <c r="Z32" i="3"/>
  <c r="AL32" i="3"/>
  <c r="AB32" i="3"/>
  <c r="AN32" i="3"/>
  <c r="X32" i="3"/>
  <c r="AJ16" i="3"/>
  <c r="AL16" i="3"/>
  <c r="AB16" i="3"/>
  <c r="AN16" i="3"/>
  <c r="Z16" i="3"/>
  <c r="X16" i="3"/>
  <c r="AJ31" i="3"/>
  <c r="Z31" i="3"/>
  <c r="AN31" i="3"/>
  <c r="X31" i="3"/>
  <c r="AL31" i="3"/>
  <c r="AB31" i="3"/>
  <c r="AB15" i="3"/>
  <c r="AJ15" i="3"/>
  <c r="Z15" i="3"/>
  <c r="AN15" i="3"/>
  <c r="X15" i="3"/>
  <c r="AL15" i="3"/>
  <c r="AL30" i="3"/>
  <c r="X30" i="3"/>
  <c r="AJ30" i="3"/>
  <c r="AB30" i="3"/>
  <c r="AN30" i="3"/>
  <c r="Z30" i="3"/>
  <c r="AL14" i="3"/>
  <c r="X14" i="3"/>
  <c r="AJ14" i="3"/>
  <c r="AB14" i="3"/>
  <c r="AN14" i="3"/>
  <c r="Z14" i="3"/>
  <c r="Z33" i="3"/>
  <c r="AJ33" i="3"/>
  <c r="X33" i="3"/>
  <c r="AN33" i="3"/>
  <c r="AL33" i="3"/>
  <c r="AB33" i="3"/>
  <c r="Z17" i="3"/>
  <c r="AN17" i="3"/>
  <c r="X17" i="3"/>
  <c r="AL17" i="3"/>
  <c r="AJ17" i="3"/>
  <c r="AB17" i="3"/>
  <c r="Z28" i="3"/>
  <c r="AL28" i="3"/>
  <c r="X28" i="3"/>
  <c r="AJ28" i="3"/>
  <c r="AB28" i="3"/>
  <c r="AN28" i="3"/>
  <c r="Z12" i="3"/>
  <c r="AL12" i="3"/>
  <c r="X12" i="3"/>
  <c r="AJ12" i="3"/>
  <c r="AN12" i="3"/>
  <c r="AB12" i="3"/>
  <c r="AB27" i="3"/>
  <c r="AJ27" i="3"/>
  <c r="Z27" i="3"/>
  <c r="AN27" i="3"/>
  <c r="X27" i="3"/>
  <c r="AL27" i="3"/>
  <c r="Z11" i="3"/>
  <c r="AN11" i="3"/>
  <c r="X11" i="3"/>
  <c r="AL11" i="3"/>
  <c r="AB11" i="3"/>
  <c r="AJ11" i="3"/>
  <c r="AB26" i="3"/>
  <c r="AL26" i="3"/>
  <c r="Z26" i="3"/>
  <c r="AJ26" i="3"/>
  <c r="X26" i="3"/>
  <c r="AN26" i="3"/>
  <c r="AB10" i="3"/>
  <c r="AN10" i="3"/>
  <c r="Z10" i="3"/>
  <c r="AL10" i="3"/>
  <c r="AJ10" i="3"/>
  <c r="X10" i="3"/>
  <c r="AN29" i="3"/>
  <c r="X29" i="3"/>
  <c r="AB29" i="3"/>
  <c r="AL29" i="3"/>
  <c r="AJ29" i="3"/>
  <c r="Z29" i="3"/>
  <c r="AN13" i="3"/>
  <c r="Z13" i="3"/>
  <c r="AB13" i="3"/>
  <c r="AL13" i="3"/>
  <c r="AJ13" i="3"/>
  <c r="X13" i="3"/>
  <c r="AN24" i="3"/>
  <c r="Z24" i="3"/>
  <c r="AB24" i="3"/>
  <c r="AL24" i="3"/>
  <c r="AJ24" i="3"/>
  <c r="X24" i="3"/>
  <c r="AJ8" i="3"/>
  <c r="Z8" i="3"/>
  <c r="AB8" i="3"/>
  <c r="AN8" i="3"/>
  <c r="AL8" i="3"/>
  <c r="X8" i="3"/>
  <c r="X23" i="3"/>
  <c r="AL23" i="3"/>
  <c r="AB23" i="3"/>
  <c r="AJ23" i="3"/>
  <c r="Z23" i="3"/>
  <c r="AN23" i="3"/>
  <c r="AB7" i="3"/>
  <c r="AL7" i="3"/>
  <c r="AN7" i="3"/>
  <c r="Z7" i="3"/>
  <c r="X7" i="3"/>
  <c r="AJ7" i="3"/>
  <c r="AJ38" i="3"/>
  <c r="X38" i="3"/>
  <c r="AN38" i="3"/>
  <c r="AB38" i="3"/>
  <c r="AL38" i="3"/>
  <c r="Z38" i="3"/>
  <c r="AJ22" i="3"/>
  <c r="X22" i="3"/>
  <c r="AN22" i="3"/>
  <c r="AB22" i="3"/>
  <c r="AL22" i="3"/>
  <c r="Z22" i="3"/>
  <c r="X25" i="3"/>
  <c r="AJ25" i="3"/>
  <c r="Z25" i="3"/>
  <c r="AL25" i="3"/>
  <c r="AB25" i="3"/>
  <c r="AN25" i="3"/>
  <c r="Z9" i="3"/>
  <c r="AJ9" i="3"/>
  <c r="AN9" i="3"/>
  <c r="X9" i="3"/>
  <c r="AB9" i="3"/>
  <c r="AL9" i="3"/>
  <c r="Z36" i="3"/>
  <c r="AL36" i="3"/>
  <c r="X36" i="3"/>
  <c r="AJ36" i="3"/>
  <c r="AB36" i="3"/>
  <c r="AN36" i="3"/>
  <c r="Z20" i="3"/>
  <c r="AL20" i="3"/>
  <c r="AJ20" i="3"/>
  <c r="X20" i="3"/>
  <c r="AN20" i="3"/>
  <c r="AB20" i="3"/>
  <c r="AJ35" i="3"/>
  <c r="AL35" i="3"/>
  <c r="Z35" i="3"/>
  <c r="AN35" i="3"/>
  <c r="X35" i="3"/>
  <c r="AB35" i="3"/>
  <c r="Z19" i="3"/>
  <c r="AN19" i="3"/>
  <c r="X19" i="3"/>
  <c r="AL19" i="3"/>
  <c r="AB19" i="3"/>
  <c r="AJ19" i="3"/>
  <c r="AB34" i="3"/>
  <c r="AN34" i="3"/>
  <c r="Z34" i="3"/>
  <c r="AL34" i="3"/>
  <c r="X34" i="3"/>
  <c r="AJ34" i="3"/>
  <c r="AB18" i="3"/>
  <c r="AL18" i="3"/>
  <c r="Z18" i="3"/>
  <c r="AJ18" i="3"/>
  <c r="AN18" i="3"/>
  <c r="X18" i="3"/>
  <c r="M9" i="3"/>
  <c r="Q38" i="3"/>
  <c r="M38" i="3"/>
  <c r="O38" i="3"/>
  <c r="K38" i="3"/>
  <c r="Q37" i="3"/>
  <c r="O37" i="3"/>
  <c r="K37" i="3"/>
  <c r="M37" i="3"/>
  <c r="K9" i="3"/>
  <c r="C6" i="11"/>
  <c r="F6" i="11" s="1"/>
  <c r="F2" i="11"/>
  <c r="C9" i="11"/>
  <c r="F9" i="11" s="1"/>
  <c r="C5" i="11"/>
  <c r="F5" i="11" s="1"/>
  <c r="C8" i="11"/>
  <c r="F8" i="11" s="1"/>
  <c r="C4" i="11"/>
  <c r="F4" i="11" s="1"/>
  <c r="C11" i="11"/>
  <c r="F11" i="11" s="1"/>
  <c r="C7" i="11"/>
  <c r="F7" i="11" s="1"/>
  <c r="C3" i="11"/>
  <c r="F3" i="11" s="1"/>
  <c r="C12" i="11" l="1"/>
  <c r="F12" i="11" s="1"/>
  <c r="U39" i="3"/>
  <c r="V39" i="3" s="1"/>
  <c r="AF39" i="3" s="1"/>
  <c r="AG39" i="3" s="1"/>
  <c r="C13" i="11"/>
  <c r="F13" i="11" s="1"/>
  <c r="I36" i="3"/>
  <c r="I35" i="3"/>
  <c r="I34" i="3"/>
  <c r="I33" i="3"/>
  <c r="I32" i="3"/>
  <c r="I31" i="3"/>
  <c r="I30" i="3"/>
  <c r="I29" i="3"/>
  <c r="I28" i="3"/>
  <c r="I27" i="3"/>
  <c r="I26" i="3"/>
  <c r="I23" i="3"/>
  <c r="I7" i="3"/>
  <c r="AH39" i="3" l="1"/>
  <c r="M7" i="3"/>
  <c r="C14" i="11"/>
  <c r="F14" i="11" s="1"/>
  <c r="O29" i="3"/>
  <c r="K29" i="3"/>
  <c r="M29" i="3"/>
  <c r="O33" i="3"/>
  <c r="K33" i="3"/>
  <c r="M33" i="3"/>
  <c r="M30" i="3"/>
  <c r="O30" i="3"/>
  <c r="K30" i="3"/>
  <c r="M34" i="3"/>
  <c r="O34" i="3"/>
  <c r="K34" i="3"/>
  <c r="K36" i="3"/>
  <c r="M36" i="3"/>
  <c r="O36" i="3"/>
  <c r="K31" i="3"/>
  <c r="M31" i="3"/>
  <c r="O31" i="3"/>
  <c r="K28" i="3"/>
  <c r="M28" i="3"/>
  <c r="O28" i="3"/>
  <c r="K32" i="3"/>
  <c r="M32" i="3"/>
  <c r="O32" i="3"/>
  <c r="K35" i="3"/>
  <c r="M35" i="3"/>
  <c r="O35" i="3"/>
  <c r="O27" i="3"/>
  <c r="K27" i="3"/>
  <c r="M27" i="3"/>
  <c r="K26" i="3"/>
  <c r="O26" i="3"/>
  <c r="M26" i="3"/>
  <c r="O23" i="3"/>
  <c r="K23" i="3"/>
  <c r="M23" i="3"/>
  <c r="I11" i="3"/>
  <c r="I19" i="3"/>
  <c r="I10" i="3"/>
  <c r="I12" i="3"/>
  <c r="O12" i="3" s="1"/>
  <c r="I20" i="3"/>
  <c r="I14" i="3"/>
  <c r="I22" i="3"/>
  <c r="I21" i="3"/>
  <c r="I15" i="3"/>
  <c r="I13" i="3"/>
  <c r="I16" i="3"/>
  <c r="I17" i="3"/>
  <c r="I25" i="3"/>
  <c r="I8" i="3"/>
  <c r="I18" i="3"/>
  <c r="I24" i="3"/>
  <c r="Q36" i="3"/>
  <c r="Q28" i="3"/>
  <c r="Q27" i="3"/>
  <c r="Q35" i="3"/>
  <c r="Q34" i="3"/>
  <c r="Q26" i="3"/>
  <c r="Q30" i="3"/>
  <c r="Q32" i="3"/>
  <c r="Q31" i="3"/>
  <c r="Q29" i="3"/>
  <c r="Q23" i="3"/>
  <c r="Q33" i="3"/>
  <c r="O10" i="3" l="1"/>
  <c r="Q10" i="3"/>
  <c r="O11" i="3"/>
  <c r="Q11" i="3"/>
  <c r="M8" i="3"/>
  <c r="M13" i="3"/>
  <c r="M14" i="3"/>
  <c r="M11" i="3"/>
  <c r="M12" i="3"/>
  <c r="M10" i="3"/>
  <c r="Q12" i="3"/>
  <c r="K12" i="3"/>
  <c r="Q16" i="3"/>
  <c r="M16" i="3"/>
  <c r="O16" i="3"/>
  <c r="K16" i="3"/>
  <c r="Q25" i="3"/>
  <c r="K25" i="3"/>
  <c r="M25" i="3"/>
  <c r="O25" i="3"/>
  <c r="Q13" i="3"/>
  <c r="K13" i="3"/>
  <c r="O13" i="3"/>
  <c r="Q14" i="3"/>
  <c r="K14" i="3"/>
  <c r="O14" i="3"/>
  <c r="Q15" i="3"/>
  <c r="O15" i="3"/>
  <c r="K15" i="3"/>
  <c r="M15" i="3"/>
  <c r="K11" i="3"/>
  <c r="Q7" i="3"/>
  <c r="K7" i="3"/>
  <c r="O7" i="3"/>
  <c r="Q24" i="3"/>
  <c r="O24" i="3"/>
  <c r="M24" i="3"/>
  <c r="K24" i="3"/>
  <c r="Q20" i="3"/>
  <c r="O20" i="3"/>
  <c r="M20" i="3"/>
  <c r="K20" i="3"/>
  <c r="Q19" i="3"/>
  <c r="M19" i="3"/>
  <c r="O19" i="3"/>
  <c r="K19" i="3"/>
  <c r="Q18" i="3"/>
  <c r="M18" i="3"/>
  <c r="O18" i="3"/>
  <c r="K18" i="3"/>
  <c r="Q17" i="3"/>
  <c r="O17" i="3"/>
  <c r="M17" i="3"/>
  <c r="K17" i="3"/>
  <c r="Q22" i="3"/>
  <c r="O22" i="3"/>
  <c r="M22" i="3"/>
  <c r="K22" i="3"/>
  <c r="Q21" i="3"/>
  <c r="M21" i="3"/>
  <c r="K21" i="3"/>
  <c r="O21" i="3"/>
  <c r="K10" i="3"/>
  <c r="Q8" i="3"/>
  <c r="O8" i="3"/>
  <c r="K8" i="3"/>
  <c r="C15" i="11" l="1"/>
  <c r="F15" i="11" s="1"/>
  <c r="C16" i="11" l="1"/>
  <c r="F16" i="11" s="1"/>
  <c r="C17" i="11"/>
  <c r="F17" i="11" s="1"/>
  <c r="C18" i="11" l="1"/>
  <c r="F18" i="11" s="1"/>
  <c r="C19" i="11" l="1"/>
  <c r="F19" i="11" s="1"/>
  <c r="C20" i="11" l="1"/>
  <c r="F20" i="11" s="1"/>
  <c r="C21" i="11" l="1"/>
  <c r="F21" i="11" s="1"/>
  <c r="I6" i="3"/>
  <c r="U6" i="3"/>
  <c r="AD6" i="3" s="1"/>
  <c r="AH6" i="3"/>
  <c r="AP6" i="3" s="1"/>
  <c r="K6" i="3" l="1"/>
  <c r="J39" i="3" s="1"/>
  <c r="C22" i="11"/>
  <c r="F22" i="11" s="1"/>
  <c r="AJ6" i="3"/>
  <c r="AI39" i="3" s="1"/>
  <c r="AI42" i="3" s="1"/>
  <c r="O6" i="3"/>
  <c r="N39" i="3" s="1"/>
  <c r="N41" i="3" s="1"/>
  <c r="M6" i="3"/>
  <c r="L39" i="3" s="1"/>
  <c r="L42" i="3" s="1"/>
  <c r="X6" i="3"/>
  <c r="W39" i="3" s="1"/>
  <c r="W41" i="3" s="1"/>
  <c r="AL6" i="3"/>
  <c r="AK39" i="3" s="1"/>
  <c r="AK41" i="3" s="1"/>
  <c r="Q6" i="3"/>
  <c r="P39" i="3" s="1"/>
  <c r="P56" i="3" s="1"/>
  <c r="AO39" i="3"/>
  <c r="S56" i="3" s="1"/>
  <c r="AN6" i="3"/>
  <c r="AM39" i="3" s="1"/>
  <c r="Z6" i="3"/>
  <c r="Y39" i="3" s="1"/>
  <c r="AB6" i="3"/>
  <c r="AA39" i="3" s="1"/>
  <c r="AC39" i="3"/>
  <c r="R56" i="3" s="1"/>
  <c r="J42" i="3" l="1"/>
  <c r="J41" i="3"/>
  <c r="AI41" i="3"/>
  <c r="W42" i="3"/>
  <c r="AK42" i="3"/>
  <c r="L41" i="3"/>
  <c r="N42" i="3"/>
  <c r="Y42" i="3"/>
  <c r="Y41" i="3"/>
  <c r="AM42" i="3"/>
  <c r="AM41" i="3"/>
  <c r="AA41" i="3"/>
  <c r="AA42" i="3"/>
  <c r="P41" i="3" l="1"/>
  <c r="P57" i="3" s="1"/>
  <c r="P42" i="3"/>
  <c r="AO41" i="3"/>
  <c r="S57" i="3" s="1"/>
  <c r="AO42" i="3"/>
  <c r="AC42" i="3"/>
  <c r="AC41" i="3"/>
  <c r="R57" i="3" l="1"/>
  <c r="R61" i="3" s="1"/>
  <c r="R58" i="3"/>
  <c r="R64" i="3" s="1"/>
  <c r="D14" i="8" s="1"/>
  <c r="S58" i="3"/>
  <c r="S64" i="3" s="1"/>
  <c r="E14" i="8" s="1"/>
  <c r="P58" i="3"/>
  <c r="P64" i="3" s="1"/>
  <c r="C14" i="8" s="1"/>
  <c r="S61" i="3"/>
  <c r="E13" i="8" s="1"/>
  <c r="P61" i="3"/>
  <c r="C13" i="8" s="1"/>
  <c r="C12" i="8"/>
  <c r="E12" i="8"/>
  <c r="D12" i="8" l="1"/>
  <c r="D13" i="8"/>
  <c r="R63" i="3"/>
  <c r="D15" i="8" s="1"/>
  <c r="P63" i="3"/>
  <c r="C15" i="8" s="1"/>
  <c r="S63" i="3"/>
  <c r="E15" i="8" s="1"/>
</calcChain>
</file>

<file path=xl/sharedStrings.xml><?xml version="1.0" encoding="utf-8"?>
<sst xmlns="http://schemas.openxmlformats.org/spreadsheetml/2006/main" count="2307" uniqueCount="544">
  <si>
    <t>Option A</t>
  </si>
  <si>
    <t>Option B</t>
  </si>
  <si>
    <t>Option C</t>
  </si>
  <si>
    <t>Section 2: Please explain the rationale for selecting the final option below</t>
  </si>
  <si>
    <t>TOTAL</t>
  </si>
  <si>
    <t>Type of equipment</t>
  </si>
  <si>
    <t>Index</t>
  </si>
  <si>
    <t>Solar Panel Mounting</t>
  </si>
  <si>
    <t>-</t>
  </si>
  <si>
    <t>NA</t>
  </si>
  <si>
    <t>Haier</t>
  </si>
  <si>
    <t xml:space="preserve">Godrej &amp; Boyce </t>
  </si>
  <si>
    <t>1. Countries should plan with these prices if they request specific CCE make and model</t>
  </si>
  <si>
    <t>B Medical</t>
  </si>
  <si>
    <t>TCW 40R AC</t>
  </si>
  <si>
    <t>WHO PQS Catalogue</t>
  </si>
  <si>
    <t>Aucma</t>
  </si>
  <si>
    <t>GVR 51 Lite AC</t>
  </si>
  <si>
    <t>4. Service bundle costs are Gavi planning estimates. Lower limit estimates should be used for facilities closest to
 the distribution point while the upper limit estimates should be used for facilities farthest from the distribution point.</t>
  </si>
  <si>
    <t>Vestfrost</t>
  </si>
  <si>
    <t>*Purchases for 30DTRs should be limited to equipment storing Covid vaccine only</t>
  </si>
  <si>
    <t>HBC 80</t>
  </si>
  <si>
    <t xml:space="preserve">*Purchases for voltage regulators is limited to equipment storing Covid vaccines only   </t>
  </si>
  <si>
    <t>GVR 75 Lite AC</t>
  </si>
  <si>
    <t>TCW 80 AC</t>
  </si>
  <si>
    <t>VLS 304A AC</t>
  </si>
  <si>
    <t>GVR 99 Lite AC</t>
  </si>
  <si>
    <t>HBC-120</t>
  </si>
  <si>
    <t>&gt;120L</t>
  </si>
  <si>
    <t>Dulas Solar</t>
  </si>
  <si>
    <t>VC 225 ILR</t>
  </si>
  <si>
    <t>HBC 260</t>
  </si>
  <si>
    <t>GVR 225 AC</t>
  </si>
  <si>
    <t>TCW 4000 AC</t>
  </si>
  <si>
    <t>HBCD - 90</t>
  </si>
  <si>
    <t>GVR 55 FF AC</t>
  </si>
  <si>
    <t>VLS 064 RF AC</t>
  </si>
  <si>
    <t>DW-25W147</t>
  </si>
  <si>
    <t>MF 114</t>
  </si>
  <si>
    <t>DW-25W300</t>
  </si>
  <si>
    <t>MF 314</t>
  </si>
  <si>
    <t>TCW 40R SDD</t>
  </si>
  <si>
    <t>GVR 50 DC</t>
  </si>
  <si>
    <t>CFD-50 SDD</t>
  </si>
  <si>
    <t>VC 50 SDD</t>
  </si>
  <si>
    <t>VLS 054A SDD</t>
  </si>
  <si>
    <t>HTC 110 SDD</t>
  </si>
  <si>
    <t>VC 88 SDD</t>
  </si>
  <si>
    <t>VLS 094A SDD</t>
  </si>
  <si>
    <t>GVR 100 DC</t>
  </si>
  <si>
    <t>HTC-120</t>
  </si>
  <si>
    <t>VC 200 SDD</t>
  </si>
  <si>
    <t>VLS 154A SDD</t>
  </si>
  <si>
    <t>HTC-240</t>
  </si>
  <si>
    <t>TCW 4000 SDD</t>
  </si>
  <si>
    <t>TCW 40 SDD</t>
  </si>
  <si>
    <t>HTCD 90 SDD</t>
  </si>
  <si>
    <t>VLS 056 RF SDD</t>
  </si>
  <si>
    <t>VC 60 SDD</t>
  </si>
  <si>
    <t>GVR 55 FF DC</t>
  </si>
  <si>
    <t>TCW 2043 SDD</t>
  </si>
  <si>
    <t>VC 150 SDD</t>
  </si>
  <si>
    <t>VFS 048 SDD</t>
  </si>
  <si>
    <t>HTD 40 SDD</t>
  </si>
  <si>
    <t>TFW 40 SDD</t>
  </si>
  <si>
    <t>Berlinger</t>
  </si>
  <si>
    <t>Fridge-Tag 2 E</t>
  </si>
  <si>
    <t>Beyond Wireless</t>
  </si>
  <si>
    <t>Nexleaf</t>
  </si>
  <si>
    <t>&lt;5L</t>
  </si>
  <si>
    <t>AOV</t>
  </si>
  <si>
    <t>AFVC 46</t>
  </si>
  <si>
    <t>BK-VC-FF 1.6L</t>
  </si>
  <si>
    <t xml:space="preserve">Qingdao Leff </t>
  </si>
  <si>
    <t>FFVC-1.7L</t>
  </si>
  <si>
    <t>FFCB-15L</t>
  </si>
  <si>
    <t>Sollatek</t>
  </si>
  <si>
    <t>APEX</t>
  </si>
  <si>
    <t>Blow Kings</t>
  </si>
  <si>
    <t xml:space="preserve">Nilkamal </t>
  </si>
  <si>
    <t>&gt;15L</t>
  </si>
  <si>
    <t>0.3L</t>
  </si>
  <si>
    <t>0.4L</t>
  </si>
  <si>
    <t>0.6L</t>
  </si>
  <si>
    <t>AIP3</t>
  </si>
  <si>
    <t>AIIP03</t>
  </si>
  <si>
    <t>BK V4H</t>
  </si>
  <si>
    <t>BIP-3</t>
  </si>
  <si>
    <t>AIP4</t>
  </si>
  <si>
    <t>AIIP04</t>
  </si>
  <si>
    <t>BK 4</t>
  </si>
  <si>
    <t>BIP-4</t>
  </si>
  <si>
    <t>AIP6</t>
  </si>
  <si>
    <t>AIIP06</t>
  </si>
  <si>
    <t>BK 6</t>
  </si>
  <si>
    <t>BIP-6</t>
  </si>
  <si>
    <t>Icepack 0.6L - set of 24</t>
  </si>
  <si>
    <t>Ikhaya</t>
  </si>
  <si>
    <t>ICE3 (WICR Model BC141) + 3 years data/portal access</t>
  </si>
  <si>
    <t>VM 1000 (WICR Model)+ 3 years data/portal access</t>
  </si>
  <si>
    <t>ICE3 EXTRA - MODEL BC440 (2 WICR Model) + 3 years data/portal access</t>
  </si>
  <si>
    <t>VM 1000 (2 WICR Model)+ 3 years data/portal access</t>
  </si>
  <si>
    <t>ICE3 EXTRA - MODEL BC440 (3 WICR Model)+ 3 years data/portal access</t>
  </si>
  <si>
    <t>VM 1000 (Refrigerator model)+ 3 years data/portal access</t>
  </si>
  <si>
    <t>Haier U-Cool (Refrigerator model)+ 3 years data/portal access</t>
  </si>
  <si>
    <t>ICE3 (Refrigerator Model BC141)+ 3 years data/portal access</t>
  </si>
  <si>
    <t xml:space="preserve">3. Indicated PQS Unit/UNICEF LTA prices are for planning purposes and are the highest unit prices provided for each equipment </t>
  </si>
  <si>
    <t>_12. Temperature monitoring device_30DTR</t>
  </si>
  <si>
    <t>_14. Standard vaccine carriers</t>
  </si>
  <si>
    <t xml:space="preserve">_18. Voltage regulators for equipment </t>
  </si>
  <si>
    <t>_19. Ice packs</t>
  </si>
  <si>
    <t>_22. Spare parts for new freezer equipment</t>
  </si>
  <si>
    <t>_23. Spare parts for new SDD without freezer comp</t>
  </si>
  <si>
    <t>_24. Spare parts for new SDD with freezer comp</t>
  </si>
  <si>
    <t>_25. Spare parts for new SDD freezer</t>
  </si>
  <si>
    <t>Dropdown table 1-&gt; Type of equipment</t>
  </si>
  <si>
    <t>WICR</t>
  </si>
  <si>
    <t>Refrigerator</t>
  </si>
  <si>
    <t>TCW 40R SDD -spare parts</t>
  </si>
  <si>
    <t>GVR 50 DC -spare parts</t>
  </si>
  <si>
    <t>CFD-50 SDD -spare parts</t>
  </si>
  <si>
    <t>VLS 054A SDD -spare parts</t>
  </si>
  <si>
    <t>HTC 110 SDD -spare parts</t>
  </si>
  <si>
    <t>VC 88 SDD -spare parts</t>
  </si>
  <si>
    <t>VLS 094A SDD -spare parts</t>
  </si>
  <si>
    <t>GVR 100 DC -spare parts</t>
  </si>
  <si>
    <t>HTC-120 -spare parts</t>
  </si>
  <si>
    <t>VC 200 SDD -spare parts</t>
  </si>
  <si>
    <t>VLS 154A SDD -spare parts</t>
  </si>
  <si>
    <t>HTC-240 -spare parts</t>
  </si>
  <si>
    <t>TCW 4000 SDD -spare parts</t>
  </si>
  <si>
    <t>VLS 056 RF SDD -spare parts</t>
  </si>
  <si>
    <t>VC 60 SDD -spare parts</t>
  </si>
  <si>
    <t>GVR 55 FF DC -spare parts</t>
  </si>
  <si>
    <t>TCW 2043 SDD -spare parts</t>
  </si>
  <si>
    <t>HTCD 160 SDD -spare parts</t>
  </si>
  <si>
    <t>VC 150 SDD -spare parts</t>
  </si>
  <si>
    <t>VFS 048 SDD -spare parts</t>
  </si>
  <si>
    <t>HTD 40 SDD -spare parts</t>
  </si>
  <si>
    <t>TFW 40 SDD -spare parts</t>
  </si>
  <si>
    <t xml:space="preserve">2. Indicative PQS prices are from the most recent WHO PQS price list as of September 2021.  Accessible via: </t>
  </si>
  <si>
    <t>OPTION A</t>
  </si>
  <si>
    <t>OPTION B</t>
  </si>
  <si>
    <t>OPTION C</t>
  </si>
  <si>
    <t>60 - &lt;120L</t>
  </si>
  <si>
    <t>VLS 174A AC</t>
  </si>
  <si>
    <t>Years</t>
  </si>
  <si>
    <t>TCW 80 SDD</t>
  </si>
  <si>
    <t>0 - &lt; 60L</t>
  </si>
  <si>
    <t>VLS 174A AC with RTMS (own integrated)</t>
  </si>
  <si>
    <t>HBC 80 with RTMS (Haier U-Cool bundled)</t>
  </si>
  <si>
    <t>VLS 304A AC with RTMS (Own integrated)</t>
  </si>
  <si>
    <t>VLS 204A AC</t>
  </si>
  <si>
    <t>VLS 204A AC with RTMS (Own integrated)</t>
  </si>
  <si>
    <t>VC 225 ILR with RTMS (B Wireless ICE3 BC141)</t>
  </si>
  <si>
    <t>HBC 260 with RTMS (Haier U-Cool bundled)</t>
  </si>
  <si>
    <t xml:space="preserve">Coolfinity  </t>
  </si>
  <si>
    <t>Coolfinity IceVolt 300P</t>
  </si>
  <si>
    <t>Coolfinity IceVolt 300P  with RTMS (Fridge Tag 3 bundled)</t>
  </si>
  <si>
    <t>VLS 064 RF AC with RTMS (Own integrated)</t>
  </si>
  <si>
    <t>MF 114 with RTMS (Own integrated)</t>
  </si>
  <si>
    <t>MF 314 with RTMS (Own integrated)</t>
  </si>
  <si>
    <t>CFD-50 SDD with RTMS (Fridge Tag 3 bundled)</t>
  </si>
  <si>
    <t>VC 50 SDD with RTMS (B Wireless ICE3 BC141)</t>
  </si>
  <si>
    <t>HTC 110 SDD with RTMS (Haier U-Cool bundled)</t>
  </si>
  <si>
    <t>VLS 054A SDD with RTMS (Own integrated)</t>
  </si>
  <si>
    <t>VC 88 SDD with RTMS (B Wirless ICE3 BC141)</t>
  </si>
  <si>
    <t>HTC-240 with RTMS (Haier U-Cool bundled)</t>
  </si>
  <si>
    <t>HTC-120 with RTMS (Haier U-Cool bundled)</t>
  </si>
  <si>
    <t>VLS 094A SDD with RTMS (Own integrated)</t>
  </si>
  <si>
    <t>VC 200 SDD with RTMS (B Wirless ICE3 BC141)</t>
  </si>
  <si>
    <t>VLS 154A SDD with RTMS (Own integrated)</t>
  </si>
  <si>
    <t>VC 60 SDD with RTMS (B Wirless ICE13 BC141)</t>
  </si>
  <si>
    <t>HTCD 90 SDD with RTMS (Haier U-Cool bundled)</t>
  </si>
  <si>
    <t>VLS 056 RF SDD with RTMS (Own integrated)</t>
  </si>
  <si>
    <t>VC 150 SDD with RTMS (B Wireless ICE3 BC141)</t>
  </si>
  <si>
    <t>HBCD - 90 with RTMS (Haier U-Cool bundled)</t>
  </si>
  <si>
    <t>5.0 countries</t>
  </si>
  <si>
    <t>Afghanistan</t>
  </si>
  <si>
    <t>Bangladesh</t>
  </si>
  <si>
    <t>Burkina Faso</t>
  </si>
  <si>
    <t>Burundi</t>
  </si>
  <si>
    <t>Cameroun</t>
  </si>
  <si>
    <t>Côte d'Ivoire</t>
  </si>
  <si>
    <t>Djibouti</t>
  </si>
  <si>
    <t>Ghana</t>
  </si>
  <si>
    <t>Kenya</t>
  </si>
  <si>
    <t>Lao PDR</t>
  </si>
  <si>
    <t>Lesotho</t>
  </si>
  <si>
    <t>Liberia</t>
  </si>
  <si>
    <t>Madagascar</t>
  </si>
  <si>
    <t>Malawi</t>
  </si>
  <si>
    <t>Mali</t>
  </si>
  <si>
    <t>Mozambique</t>
  </si>
  <si>
    <t>Niger</t>
  </si>
  <si>
    <t>Pakistan</t>
  </si>
  <si>
    <t>Rwanda</t>
  </si>
  <si>
    <t>Sierra Leone</t>
  </si>
  <si>
    <t>Togo</t>
  </si>
  <si>
    <t>Zimbabwe</t>
  </si>
  <si>
    <t>&gt; - 120L</t>
  </si>
  <si>
    <t>&gt; - 15L</t>
  </si>
  <si>
    <t>ADDITIONAL DETAILS</t>
  </si>
  <si>
    <r>
      <t>- The</t>
    </r>
    <r>
      <rPr>
        <b/>
        <sz val="11"/>
        <color theme="1"/>
        <rFont val="Calibri"/>
        <family val="2"/>
        <scheme val="minor"/>
      </rPr>
      <t xml:space="preserve"> 'Equipment make', 'Vaccine capacity', "Freezer gross volume', </t>
    </r>
    <r>
      <rPr>
        <sz val="11"/>
        <color theme="1"/>
        <rFont val="Calibri"/>
        <family val="2"/>
        <scheme val="minor"/>
      </rPr>
      <t xml:space="preserve">and </t>
    </r>
    <r>
      <rPr>
        <b/>
        <sz val="11"/>
        <color theme="1"/>
        <rFont val="Calibri"/>
        <family val="2"/>
        <scheme val="minor"/>
      </rPr>
      <t xml:space="preserve">'Indicative Prices' </t>
    </r>
    <r>
      <rPr>
        <sz val="11"/>
        <color theme="1"/>
        <rFont val="Calibri"/>
        <family val="2"/>
        <scheme val="minor"/>
      </rPr>
      <t>will be populated automatically from the '</t>
    </r>
    <r>
      <rPr>
        <sz val="11"/>
        <color theme="8"/>
        <rFont val="Calibri"/>
        <family val="2"/>
        <scheme val="minor"/>
      </rPr>
      <t>Specified CCE Model Price
List</t>
    </r>
    <r>
      <rPr>
        <sz val="11"/>
        <color theme="1"/>
        <rFont val="Calibri"/>
        <family val="2"/>
        <scheme val="minor"/>
      </rPr>
      <t xml:space="preserve">' worksheet.  </t>
    </r>
  </si>
  <si>
    <t>TCW 40R AC-spare parts</t>
  </si>
  <si>
    <t>GVR 51 Lite AC-spare parts</t>
  </si>
  <si>
    <t>VLS 174A AC-spare parts</t>
  </si>
  <si>
    <t>HBC 80-spare parts</t>
  </si>
  <si>
    <t>GVR 75 Lite AC-spare parts</t>
  </si>
  <si>
    <t>TCW 80 AC-spare parts</t>
  </si>
  <si>
    <t>VLS 304A AC-spare parts</t>
  </si>
  <si>
    <t>VLS 204A AC-spare parts</t>
  </si>
  <si>
    <t>GVR 99 Lite AC-spare parts</t>
  </si>
  <si>
    <t>HBC-120-spare parts</t>
  </si>
  <si>
    <t>VC 225 ILR-spare parts</t>
  </si>
  <si>
    <t>HBC 260-spare parts</t>
  </si>
  <si>
    <t>GVR 225 AC-spare parts</t>
  </si>
  <si>
    <t>TCW 4000 AC-spare parts</t>
  </si>
  <si>
    <t>Coolfinity IceVolt 300P-spare parts</t>
  </si>
  <si>
    <t>HBCD - 90-spare parts</t>
  </si>
  <si>
    <t>GVR 55 FF AC-spare parts</t>
  </si>
  <si>
    <t>VLS 064 RF AC-spare parts</t>
  </si>
  <si>
    <t>DW-25W147-spare parts</t>
  </si>
  <si>
    <t>MF 114-spare parts</t>
  </si>
  <si>
    <t>DW-25W300-spare parts</t>
  </si>
  <si>
    <t>MF 314-spare parts</t>
  </si>
  <si>
    <t>TCW 80 SDD -spare parts</t>
  </si>
  <si>
    <t>HVS-1000E</t>
  </si>
  <si>
    <t>SVS04-22E 4A</t>
  </si>
  <si>
    <t xml:space="preserve">In-person  refrigerators  and freezers  installation, maintenance , and repair </t>
  </si>
  <si>
    <t>In-person RTMD system , technician and general training on refrigerators and freezers</t>
  </si>
  <si>
    <t xml:space="preserve"> - &lt;60L</t>
  </si>
  <si>
    <t>In-person RTMD system , technician and general training on WICRs/WIFRs</t>
  </si>
  <si>
    <t>Remote RTMD system , technician and general training on refrigerators and freezers</t>
  </si>
  <si>
    <t>ICE3 (BC141) annual data subscription</t>
  </si>
  <si>
    <t>Fridge-tag 3 annual data subscription</t>
  </si>
  <si>
    <t>VM 1000 annual data subscription</t>
  </si>
  <si>
    <t>Haier U-Cool annual data subscription</t>
  </si>
  <si>
    <t>ColdTrace 5 annual data subscription</t>
  </si>
  <si>
    <t>U-Cool LoRa annual data subscription</t>
  </si>
  <si>
    <t>ICE3 (BC440) annual data subscription</t>
  </si>
  <si>
    <t>VM 1000 (for WICRs) annual data subscription</t>
  </si>
  <si>
    <t>0 - &lt;5L</t>
  </si>
  <si>
    <t>Remote RTMD system , technician and general training on WICRs/WIFRs</t>
  </si>
  <si>
    <t>Vestfrost integrated RTMD annual data subscription</t>
  </si>
  <si>
    <t>Pays</t>
  </si>
  <si>
    <t>Résumé des options ECF</t>
  </si>
  <si>
    <t>Options_modèle spécifié d'ECF</t>
  </si>
  <si>
    <t>Prix et modèle des ECF'</t>
  </si>
  <si>
    <r>
      <t>c) Les pays doivent planifier leurs budgets en utilisant la limite inférieure des estimations de l’ensemble des services (</t>
    </r>
    <r>
      <rPr>
        <b/>
        <sz val="11"/>
        <color theme="1"/>
        <rFont val="Calibri"/>
        <family val="2"/>
        <scheme val="minor"/>
      </rPr>
      <t>par ex. 850 $ pour les équipements sur réseau</t>
    </r>
    <r>
      <rPr>
        <sz val="11"/>
        <color theme="1"/>
        <rFont val="Calibri"/>
        <family val="2"/>
        <scheme val="minor"/>
      </rPr>
      <t>) pour l'installation de l'ECF au sein des structures sanitaires ayant de faibles coûts de transport national (ex. délais de transport courts, infrastructure de qualité), la limite supérieure des estimations (</t>
    </r>
    <r>
      <rPr>
        <b/>
        <sz val="11"/>
        <color theme="1"/>
        <rFont val="Calibri"/>
        <family val="2"/>
        <scheme val="minor"/>
      </rPr>
      <t>par ex. 2 150 $ pour les équipements hors réseau</t>
    </r>
    <r>
      <rPr>
        <sz val="11"/>
        <color theme="1"/>
        <rFont val="Calibri"/>
        <family val="2"/>
        <scheme val="minor"/>
      </rPr>
      <t>) pour l'installation de l'ECF au sein des structures sanitaires ayant des coûts élevés de transport national (ex. délais de transport longs, infrastructures de faible qualité) et les estimations intermédiaires, le cas échéant.  Les Commandes de petites quantités peuvent réclamer des budgets vers les  limites supérieures.</t>
    </r>
  </si>
  <si>
    <r>
      <t>b) Sélectionner le «</t>
    </r>
    <r>
      <rPr>
        <b/>
        <i/>
        <sz val="11"/>
        <rFont val="Calibri"/>
        <family val="2"/>
        <scheme val="minor"/>
      </rPr>
      <t> modèle </t>
    </r>
    <r>
      <rPr>
        <i/>
        <sz val="11"/>
        <rFont val="Calibri"/>
        <family val="2"/>
        <scheme val="minor"/>
      </rPr>
      <t>» parmi la liste des types d'équipements.</t>
    </r>
  </si>
  <si>
    <t>Reportez-vous à ces colonnes pour les gammes SB d'appareils sur réseau et les installations de panneaux solaires au sol</t>
  </si>
  <si>
    <t xml:space="preserve">Prix et modèle des ECF: CCE OP Cold Chain Equipment List and Prices </t>
  </si>
  <si>
    <t>Reportez-vous à ces colonnes pour les installations de panneaux solaires montés sur poteau</t>
  </si>
  <si>
    <t>Type d'équipement et source d'énergie</t>
  </si>
  <si>
    <t>Catégorie de volume (L)</t>
  </si>
  <si>
    <t>Marque</t>
  </si>
  <si>
    <t>Modèle</t>
  </si>
  <si>
    <t>Capacité en matière de stockage des vaccins (L)</t>
  </si>
  <si>
    <t>Capacité brute de congélation (L)</t>
  </si>
  <si>
    <t>Autonomie (jours)</t>
  </si>
  <si>
    <t>Coût indicatif des ensembles de services, $US (limite inférieure)</t>
  </si>
  <si>
    <t>Coût indicatif des ensembles de services, $US (limite supérieure)</t>
  </si>
  <si>
    <t>Coût total par unité, $US
(limite inférieure)</t>
  </si>
  <si>
    <t>Coût total par unité, $US 
(limite supérieure)</t>
  </si>
  <si>
    <t>Prix unitaire indicatif, $US</t>
  </si>
  <si>
    <t>_1. Réfrigérateur ILR à gaine réfrigérante sur réseau_sans comp. congélateur</t>
  </si>
  <si>
    <t>_2. ILR sur réseau_avec comp. congélateur</t>
  </si>
  <si>
    <t>_3. Congélateurs sur réseau</t>
  </si>
  <si>
    <t xml:space="preserve">_4. Réfrigérateurs hors réseau SDD_sans comp. congélateur </t>
  </si>
  <si>
    <t xml:space="preserve">_5. Réfrigérateurs hors réseau SDD_avec comp. congélateur </t>
  </si>
  <si>
    <t xml:space="preserve">_6. Congélateur hors réseau SDD </t>
  </si>
  <si>
    <t>_7. Outil de monitorage de la température pour au moins 30 jours</t>
  </si>
  <si>
    <t>_8. Outil de monitorage continu de la température à temps réel</t>
  </si>
  <si>
    <t>Sélectionner dans le menu déroulant</t>
  </si>
  <si>
    <t>Coût indicatif des ensembles de services $US</t>
  </si>
  <si>
    <t>Entrer le coût du service qui doit être dans la fourchette selon le type d'équipement</t>
  </si>
  <si>
    <t>Coût total par unité $US y compris les services</t>
  </si>
  <si>
    <t>Nombre d'équipements</t>
  </si>
  <si>
    <t>Entrer la quantité</t>
  </si>
  <si>
    <t>Année 1 Montant total $US</t>
  </si>
  <si>
    <t>Année 2 Montant total $US</t>
  </si>
  <si>
    <t>Année 3 Montant total $US</t>
  </si>
  <si>
    <t>Sélectionner an</t>
  </si>
  <si>
    <t>Nombre total d'équipements</t>
  </si>
  <si>
    <t>Montant total $US</t>
  </si>
  <si>
    <t>Demande totale des équipements</t>
  </si>
  <si>
    <t>Budget total des équipements du pays</t>
  </si>
  <si>
    <t>Budget total des équipements du Gavi</t>
  </si>
  <si>
    <r>
      <t xml:space="preserve">Investissement conjoint du pays % (20%/50%)  </t>
    </r>
    <r>
      <rPr>
        <b/>
        <sz val="11"/>
        <color rgb="FFFF0000"/>
        <rFont val="Calibri"/>
        <family val="2"/>
        <scheme val="minor"/>
      </rPr>
      <t>Entrer %</t>
    </r>
  </si>
  <si>
    <t>Budget total (Avec 6% pour les coûts supplémentaires et fret international)</t>
  </si>
  <si>
    <t>Budget total du pays (Avec 6% pour les coûts supplémentaires et fret international)</t>
  </si>
  <si>
    <t>Budget total de Gavi (Avec 6% pour les coûts supplémentaires et fret international)</t>
  </si>
  <si>
    <t>Frais d'acquisition de l'investissement conjoint du pays en $US</t>
  </si>
  <si>
    <t>Budget total du pays (Avec 6% pour les coûts supplémentaires, fret international et Frais d'acquisition de l'investissement)</t>
  </si>
  <si>
    <t>Budget total du Gavi Total Gavi (Avec 6% pour les coûts supplémentaires, fret international et Frais d'acquisition de l'investissement) $US</t>
  </si>
  <si>
    <t>Réfrigérateur ILR à gaine réfrigérante sur réseau_sans comp. congélateur</t>
  </si>
  <si>
    <t>ILR sur réseau_avec comp. congélateur</t>
  </si>
  <si>
    <t>Congélateurs sur réseau</t>
  </si>
  <si>
    <t xml:space="preserve">Réfrigérateurs hors réseau SDD_sans comp. congélateur </t>
  </si>
  <si>
    <t xml:space="preserve">Réfrigérateurs hors réseau SDD_avec comp. congélateur </t>
  </si>
  <si>
    <t xml:space="preserve">Congélateur hors réseau SDD </t>
  </si>
  <si>
    <t>Outil de monitorage de la température pour au moins 30 jours</t>
  </si>
  <si>
    <t>Outil de monitorage continu de la température à temps réel</t>
  </si>
  <si>
    <t>Porte vaccin nouvelle génération qui n’expose pas les vaccins au gel_Grade A</t>
  </si>
  <si>
    <t>Glacière nouvelle génération qui n’expose pas les vaccins au gel_Grade A</t>
  </si>
  <si>
    <t>Régulateurs de tension pour équipement</t>
  </si>
  <si>
    <t>Packs de glace</t>
  </si>
  <si>
    <t>Pièces de rechange pour équipements ILR sans congélateur</t>
  </si>
  <si>
    <t>Pièces de rechange pour équipements ILR avec congélateur</t>
  </si>
  <si>
    <t>Pièces de rechange pour équipements de congélation</t>
  </si>
  <si>
    <t>Pièces de rechange Réfrigérateurs hors réseau SDD_sans congélateur</t>
  </si>
  <si>
    <t>Pièces de rechange pour SDD sans compartiment congélateur</t>
  </si>
  <si>
    <t>Pièces de rechange pour SDD avec congélateur</t>
  </si>
  <si>
    <t>Formation en personne</t>
  </si>
  <si>
    <t>_1.RéfrigérateurILRàgaineréfrigérantesurréseau_sanscomp.congélateur</t>
  </si>
  <si>
    <t>_2.ILRsurréseau_aveccomp.congélateur</t>
  </si>
  <si>
    <t>_3.Congélateurssurréseau</t>
  </si>
  <si>
    <t>_4.RéfrigérateurshorsréseauSDD_sanscomp.congélateur</t>
  </si>
  <si>
    <t>_5.RéfrigérateurshorsréseauSDD_aveccomp.congélateur</t>
  </si>
  <si>
    <t>_6.CongélateurhorsréseauSDD</t>
  </si>
  <si>
    <t>_7.Outildemonitoragedelatempératurepouraumoins30jours</t>
  </si>
  <si>
    <t>_8.Outildemonitoragecontinudelatempératureàtempsréel</t>
  </si>
  <si>
    <t>Formation à distance</t>
  </si>
  <si>
    <t>Année 1</t>
  </si>
  <si>
    <t>Année 2</t>
  </si>
  <si>
    <t>Année 3</t>
  </si>
  <si>
    <t>Renouvellements annuels dabonnement de données pour les RTMD existants</t>
  </si>
  <si>
    <t>Typed_équipementetsourced_énergie</t>
  </si>
  <si>
    <t>_1.Réfrigérateur ILR à gaine réfrigérante sur réseau_sans comp. congélateur</t>
  </si>
  <si>
    <t>Fret international par unité (ILRs, SDDs- Categorie 1 – 6)</t>
  </si>
  <si>
    <t>Fret international Tarif forfaitaire  (Outil de suivi de la température- Categorie 7)</t>
  </si>
  <si>
    <t>Fret international Tarif forfaitaire (RTMD- Categorie 8)</t>
  </si>
  <si>
    <t>Fret international par unité (Porte vaccins- Categorie 9)</t>
  </si>
  <si>
    <t>Fret international par unité (Glacières- Categorie 10)</t>
  </si>
  <si>
    <t>Fret international Tarif forfaitaire (Regulateurs- Categorie 11</t>
  </si>
  <si>
    <t>Fret international par unité (Packs de glace- Categorie 12)</t>
  </si>
  <si>
    <t>Total indicatif des frais de fret international USD</t>
  </si>
  <si>
    <t>FRET CALCUL PAR AN</t>
  </si>
  <si>
    <t>Comparaison sommaire des choix de pays</t>
  </si>
  <si>
    <t>Total nombre d'unités ECF (ILR+SDD)</t>
  </si>
  <si>
    <t>Frais d'acquisition de l'investissement conjoint du pays**</t>
  </si>
  <si>
    <t>Investissement conjoint du pays*</t>
  </si>
  <si>
    <t>Budget total demande (Tous les dispositifs)****</t>
  </si>
  <si>
    <t>Quantité Par Option</t>
  </si>
  <si>
    <t>Répartition du budget</t>
  </si>
  <si>
    <t xml:space="preserve">****Le budget total demandé couvre l'investissement conjoint de Gavi, l'investissement conjoint des pays et les frais d'approvisionnement des investissements conjoints des pays. Il s'agit du budget total demandé par le pays </t>
  </si>
  <si>
    <t>f) Les pays peuvent demander un abonnement annuel aux données pour les RTMD existants pendant un an seulement</t>
  </si>
  <si>
    <r>
      <t>i) Les pays doivent s'assurer de remplir toutes les informations requises dans les cellules de</t>
    </r>
    <r>
      <rPr>
        <b/>
        <i/>
        <sz val="11"/>
        <rFont val="Calibri"/>
        <family val="2"/>
        <scheme val="minor"/>
      </rPr>
      <t xml:space="preserve"> l'option A pour activer les cellules de l'option B</t>
    </r>
  </si>
  <si>
    <t>Liens vers les différentes feuilles</t>
  </si>
  <si>
    <t>Plateforme d'optimisation des équipements de la chaine du froid (Gavi Cold Chain Optimisation Platform (CCE OP))</t>
  </si>
  <si>
    <t>Nouveautés dans le cadre du Gavi CCEOP sous Gavi 5.0</t>
  </si>
  <si>
    <r>
      <t xml:space="preserve">a) Les pays ne peuvent </t>
    </r>
    <r>
      <rPr>
        <b/>
        <sz val="11"/>
        <color theme="1"/>
        <rFont val="Calibri"/>
        <family val="2"/>
        <scheme val="minor"/>
      </rPr>
      <t>postuler</t>
    </r>
    <r>
      <rPr>
        <sz val="11"/>
        <color theme="1"/>
        <rFont val="Calibri"/>
        <family val="2"/>
        <scheme val="minor"/>
      </rPr>
      <t xml:space="preserve"> que pour un maximum de </t>
    </r>
    <r>
      <rPr>
        <b/>
        <sz val="11"/>
        <color theme="1"/>
        <rFont val="Calibri"/>
        <family val="2"/>
        <scheme val="minor"/>
      </rPr>
      <t>3 ans</t>
    </r>
    <r>
      <rPr>
        <sz val="11"/>
        <color theme="1"/>
        <rFont val="Calibri"/>
        <family val="2"/>
        <scheme val="minor"/>
      </rPr>
      <t xml:space="preserve"> afin de réduire la durée totale des investissements dans les infrastructures</t>
    </r>
  </si>
  <si>
    <r>
      <t xml:space="preserve">b) Les pays n'ont que trois options de capacité de stockage en litres des équipements; </t>
    </r>
    <r>
      <rPr>
        <b/>
        <i/>
        <sz val="11"/>
        <color theme="1"/>
        <rFont val="Calibri"/>
        <family val="2"/>
        <scheme val="minor"/>
      </rPr>
      <t>0 -60L, 60L - 120L et &gt;120L</t>
    </r>
  </si>
  <si>
    <t>c) Les pays peuvent acheter de nouveaux équipements fournis avec des RTMD (dispositifs de contrôle de la température à distance) et des abonnements annuels aux données</t>
  </si>
  <si>
    <t>d) Les pays doivent demander des RTMD pour les équipements nouvellement achetés pour les niveaux national, régional et de district afin d'améliorer le suivi des performances des ECF</t>
  </si>
  <si>
    <t>e) Les pays peuvent demander des RTMD pour les équipements existants dans le pays aux niveaux national, régional et de district</t>
  </si>
  <si>
    <r>
      <t xml:space="preserve">g) Les pays peuvent demander des formations RTMD en personne ou à distance (y compris des formations de remise à niveau qui seront incluses dans la période stratégique actuelle). La ou les formations de remise à niveau peuvent être entreprises entre </t>
    </r>
    <r>
      <rPr>
        <b/>
        <sz val="11"/>
        <color theme="1"/>
        <rFont val="Calibri"/>
        <family val="2"/>
        <scheme val="minor"/>
      </rPr>
      <t>12 à 24 mois après la formation initiale</t>
    </r>
  </si>
  <si>
    <t>h) Les pays peuvent postuler d'emblée pour des formations de remises à niveau</t>
  </si>
  <si>
    <t xml:space="preserve">Instructions </t>
  </si>
  <si>
    <r>
      <t xml:space="preserve">a) À des fins de planification budgétaire, les estimations des groupements de services sont: 
                              </t>
    </r>
    <r>
      <rPr>
        <b/>
        <sz val="11"/>
        <color theme="1"/>
        <rFont val="Calibri"/>
        <family val="2"/>
        <scheme val="minor"/>
      </rPr>
      <t xml:space="preserve"> Pour les équipements sur résea</t>
    </r>
    <r>
      <rPr>
        <sz val="11"/>
        <color theme="1"/>
        <rFont val="Calibri"/>
        <family val="2"/>
        <scheme val="minor"/>
      </rPr>
      <t>u</t>
    </r>
    <r>
      <rPr>
        <b/>
        <sz val="11"/>
        <color theme="1"/>
        <rFont val="Calibri"/>
        <family val="2"/>
        <scheme val="minor"/>
      </rPr>
      <t xml:space="preserve">: </t>
    </r>
    <r>
      <rPr>
        <sz val="11"/>
        <color theme="1"/>
        <rFont val="Calibri"/>
        <family val="2"/>
        <scheme val="minor"/>
      </rPr>
      <t>$850-$1350</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Equipements hors réseau: </t>
    </r>
    <r>
      <rPr>
        <sz val="11"/>
        <color theme="1"/>
        <rFont val="Calibri"/>
        <family val="2"/>
        <scheme val="minor"/>
      </rPr>
      <t>$1750-$2150 (</t>
    </r>
    <r>
      <rPr>
        <sz val="11"/>
        <rFont val="Calibri"/>
        <family val="2"/>
        <scheme val="minor"/>
      </rPr>
      <t>panneaux fixés au sol)</t>
    </r>
    <r>
      <rPr>
        <sz val="11"/>
        <color theme="1"/>
        <rFont val="Calibri"/>
        <family val="2"/>
        <scheme val="minor"/>
      </rPr>
      <t xml:space="preserve">, $1750- $4000 (panneaux fixés sur mâts) 
</t>
    </r>
    <r>
      <rPr>
        <b/>
        <sz val="11"/>
        <color theme="1"/>
        <rFont val="Calibri"/>
        <family val="2"/>
        <scheme val="minor"/>
      </rPr>
      <t xml:space="preserve">                               Et pour les dispositifs de contrôle de la température à distance (RTMDs): </t>
    </r>
    <r>
      <rPr>
        <sz val="11"/>
        <color theme="1"/>
        <rFont val="Calibri"/>
        <family val="2"/>
        <scheme val="minor"/>
      </rPr>
      <t xml:space="preserve">$200-$400 </t>
    </r>
  </si>
  <si>
    <r>
      <t>La feuille «</t>
    </r>
    <r>
      <rPr>
        <sz val="11"/>
        <color theme="4" tint="-0.249977111117893"/>
        <rFont val="Calibri"/>
        <family val="2"/>
        <scheme val="minor"/>
      </rPr>
      <t xml:space="preserve"> Prix et modèles des ECF</t>
    </r>
    <r>
      <rPr>
        <sz val="11"/>
        <color theme="1"/>
        <rFont val="Calibri"/>
        <family val="2"/>
        <scheme val="minor"/>
      </rPr>
      <t xml:space="preserve"> » offrent une vue d'ensemble des prix prévus par type d'équipements : « prix unitaire indicatif » + « estimations des groupements des services ». Cette feuille NE DOIT pas être complétée par les pays</t>
    </r>
  </si>
  <si>
    <r>
      <t xml:space="preserve">b) A des fins de planification budgétaire, le fret international </t>
    </r>
    <r>
      <rPr>
        <b/>
        <sz val="11"/>
        <color theme="1"/>
        <rFont val="Calibri"/>
        <family val="2"/>
        <scheme val="minor"/>
      </rPr>
      <t xml:space="preserve">devrait être comptabilisé par unité selon les estimations budgétaires fournies par la feuille Options_modèle spécifié d'ECF, </t>
    </r>
    <r>
      <rPr>
        <sz val="11"/>
        <color theme="1"/>
        <rFont val="Calibri"/>
        <family val="2"/>
        <scheme val="minor"/>
      </rPr>
      <t>par voie marine ou pour les pays enclavés</t>
    </r>
    <r>
      <rPr>
        <b/>
        <sz val="11"/>
        <color theme="1"/>
        <rFont val="Calibri"/>
        <family val="2"/>
        <scheme val="minor"/>
      </rPr>
      <t xml:space="preserve"> </t>
    </r>
    <r>
      <rPr>
        <sz val="11"/>
        <color theme="1"/>
        <rFont val="Calibri"/>
        <family val="2"/>
        <scheme val="minor"/>
      </rPr>
      <t>selon la destination</t>
    </r>
  </si>
  <si>
    <t xml:space="preserve"> Ce modèle doit être rempli par TOUS les pays qui sollicitent le soutien de la Plateforme. Les 3 modèles d'ECF dans feuilles de calcul "'Options_modèle spécifié d'ECF" ci-contre doivent être complétés pour que la demande soit considerée comme complète. </t>
  </si>
  <si>
    <r>
      <t>La feuille "</t>
    </r>
    <r>
      <rPr>
        <sz val="11"/>
        <color theme="4" tint="-0.249977111117893"/>
        <rFont val="Calibri"/>
        <family val="2"/>
        <scheme val="minor"/>
      </rPr>
      <t>Options_modèle spécifié d'ECF</t>
    </r>
    <r>
      <rPr>
        <sz val="11"/>
        <color theme="1"/>
        <rFont val="Calibri"/>
        <family val="2"/>
        <scheme val="minor"/>
      </rPr>
      <t>" doit être utilisée pour établir le budget total des ECF demandés</t>
    </r>
  </si>
  <si>
    <r>
      <t>a) Selectioner la « </t>
    </r>
    <r>
      <rPr>
        <b/>
        <i/>
        <sz val="11"/>
        <rFont val="Calibri"/>
        <family val="2"/>
        <scheme val="minor"/>
      </rPr>
      <t>capacité de stockage</t>
    </r>
    <r>
      <rPr>
        <i/>
        <sz val="11"/>
        <rFont val="Calibri"/>
        <family val="2"/>
        <scheme val="minor"/>
      </rPr>
      <t xml:space="preserve"> » parmi la liste des capacités de stockage. </t>
    </r>
  </si>
  <si>
    <r>
      <rPr>
        <b/>
        <sz val="11"/>
        <color rgb="FF00B050"/>
        <rFont val="Calibri"/>
        <family val="2"/>
        <scheme val="minor"/>
      </rPr>
      <t xml:space="preserve">ACTION POUR LES PAYS -&gt; </t>
    </r>
    <r>
      <rPr>
        <sz val="11"/>
        <rFont val="Calibri"/>
        <family val="2"/>
        <scheme val="minor"/>
      </rPr>
      <t>Dans cette feuille, les pays doivent:</t>
    </r>
    <r>
      <rPr>
        <b/>
        <sz val="11"/>
        <color rgb="FF00B050"/>
        <rFont val="Calibri"/>
        <family val="2"/>
        <scheme val="minor"/>
      </rPr>
      <t xml:space="preserve">	</t>
    </r>
  </si>
  <si>
    <r>
      <t>c) Renseigner les « </t>
    </r>
    <r>
      <rPr>
        <b/>
        <i/>
        <sz val="11"/>
        <rFont val="Calibri"/>
        <family val="2"/>
        <scheme val="minor"/>
      </rPr>
      <t>coûts estimés des groupements de services</t>
    </r>
    <r>
      <rPr>
        <i/>
        <sz val="11"/>
        <rFont val="Calibri"/>
        <family val="2"/>
        <scheme val="minor"/>
      </rPr>
      <t> » et le « </t>
    </r>
    <r>
      <rPr>
        <b/>
        <i/>
        <sz val="11"/>
        <rFont val="Calibri"/>
        <family val="2"/>
        <scheme val="minor"/>
      </rPr>
      <t>nombre d'équipements</t>
    </r>
    <r>
      <rPr>
        <i/>
        <sz val="11"/>
        <rFont val="Calibri"/>
        <family val="2"/>
        <scheme val="minor"/>
      </rPr>
      <t xml:space="preserve"> » requis. </t>
    </r>
  </si>
  <si>
    <r>
      <t xml:space="preserve">d) Les pays ne doivent remplir </t>
    </r>
    <r>
      <rPr>
        <b/>
        <i/>
        <sz val="11"/>
        <rFont val="Calibri"/>
        <family val="2"/>
        <scheme val="minor"/>
      </rPr>
      <t>que</t>
    </r>
    <r>
      <rPr>
        <i/>
        <sz val="11"/>
        <rFont val="Calibri"/>
        <family val="2"/>
        <scheme val="minor"/>
      </rPr>
      <t xml:space="preserve"> </t>
    </r>
    <r>
      <rPr>
        <b/>
        <i/>
        <sz val="11"/>
        <rFont val="Calibri"/>
        <family val="2"/>
        <scheme val="minor"/>
      </rPr>
      <t>les achats planifiés</t>
    </r>
    <r>
      <rPr>
        <i/>
        <sz val="11"/>
        <rFont val="Calibri"/>
        <family val="2"/>
        <scheme val="minor"/>
      </rPr>
      <t xml:space="preserve"> sur</t>
    </r>
    <r>
      <rPr>
        <b/>
        <i/>
        <sz val="11"/>
        <rFont val="Calibri"/>
        <family val="2"/>
        <scheme val="minor"/>
      </rPr>
      <t xml:space="preserve"> un maximum de 3 ans</t>
    </r>
    <r>
      <rPr>
        <i/>
        <sz val="11"/>
        <rFont val="Calibri"/>
        <family val="2"/>
        <scheme val="minor"/>
      </rPr>
      <t>, comme indiqué dans la feuille de calcul "Options_modèle spécifié d'ECF"</t>
    </r>
  </si>
  <si>
    <r>
      <t>e)</t>
    </r>
    <r>
      <rPr>
        <b/>
        <i/>
        <sz val="11"/>
        <rFont val="Calibri"/>
        <family val="2"/>
        <scheme val="minor"/>
      </rPr>
      <t xml:space="preserve"> Prévoir le CCEOP sur 1, 2 ou 3 ans maximum</t>
    </r>
    <r>
      <rPr>
        <i/>
        <sz val="11"/>
        <rFont val="Calibri"/>
        <family val="2"/>
        <scheme val="minor"/>
      </rPr>
      <t xml:space="preserve"> pour réduire les délais associés à la mise en œuvre des investissements infrastructurels</t>
    </r>
  </si>
  <si>
    <t>f) Des quantités uniformes pour toutes les options budgétaires doivent être indiquées pour spécifier le besoin réel d'ECF à l'UNICEF</t>
  </si>
  <si>
    <t>g) Sélectionner les ECF que le pays est prêt à recevoir et à déployer</t>
  </si>
  <si>
    <t>h) Dans les cas où il y a moins de 3 options de modèles pour une capacité de stockage particulière, le pays peut conserver la même allocation de modèle ou sélectionner une autre capacité de stockage</t>
  </si>
  <si>
    <r>
      <rPr>
        <b/>
        <sz val="11"/>
        <color theme="1"/>
        <rFont val="Calibri"/>
        <family val="2"/>
        <scheme val="minor"/>
      </rPr>
      <t>-Chaque équipement acheté par et à travers la Plateforme sera regroupé avec un outil d'enregistreurs de températures à 30 jours (30DTR) et à un régulateur de tension (dans les cas appropriés). Il n'est pas nécessaire de les demander séparément dans le budget</t>
    </r>
    <r>
      <rPr>
        <sz val="11"/>
        <color theme="1"/>
        <rFont val="Calibri"/>
        <family val="2"/>
        <scheme val="minor"/>
      </rPr>
      <t xml:space="preserve">.  </t>
    </r>
    <r>
      <rPr>
        <b/>
        <sz val="11"/>
        <color theme="1"/>
        <rFont val="Calibri"/>
        <family val="2"/>
        <scheme val="minor"/>
      </rPr>
      <t xml:space="preserve">Cependant, les pays doivent faire une demande spécifique d'enregistreurs de températures à 30 jours ou dispositifs de surveillance de la température à distance </t>
    </r>
    <r>
      <rPr>
        <sz val="11"/>
        <color theme="1"/>
        <rFont val="Calibri"/>
        <family val="2"/>
        <scheme val="minor"/>
      </rPr>
      <t>et / ou régulateurs de tension  s'ils sont achetés pour des équipements existants (dans le pays) ou s'ils choisissent d'acheter des dispositifs de surveillance de température à distance  au lieu de d'enregistreurs de températures à 30 jours.</t>
    </r>
  </si>
  <si>
    <r>
      <t>- La plateforme soutiendra l’achat des</t>
    </r>
    <r>
      <rPr>
        <b/>
        <sz val="11"/>
        <rFont val="Calibri"/>
        <family val="2"/>
        <scheme val="minor"/>
      </rPr>
      <t xml:space="preserve"> pièces détachées</t>
    </r>
    <r>
      <rPr>
        <sz val="11"/>
        <rFont val="Calibri"/>
        <family val="2"/>
        <scheme val="minor"/>
      </rPr>
      <t xml:space="preserve"> pour les équipements récemment achetés par la Plateforme et pour les équipements ILR, SDD et congélateur existants dans le pays de moins de 5 ans à la date de soumission à la Plateforme</t>
    </r>
    <r>
      <rPr>
        <b/>
        <sz val="11"/>
        <rFont val="Calibri"/>
        <family val="2"/>
        <scheme val="minor"/>
      </rPr>
      <t>. Les pays sont encouragés à planifier l'achat des pièces détachées en suivant le modèle de ration de 1 kit pour 10 ECF. Les prix des pièces détachées peuvent être consultés sur le catalogue des fournitures de l'UNICEF</t>
    </r>
  </si>
  <si>
    <r>
      <t>La feuille "</t>
    </r>
    <r>
      <rPr>
        <sz val="11"/>
        <color theme="4" tint="-0.249977111117893"/>
        <rFont val="Calibri"/>
        <family val="2"/>
        <scheme val="minor"/>
      </rPr>
      <t>Résumé des options ECF</t>
    </r>
    <r>
      <rPr>
        <sz val="11"/>
        <color theme="1"/>
        <rFont val="Calibri"/>
        <family val="2"/>
        <scheme val="minor"/>
      </rPr>
      <t>" doit être utilisée pour comparer les budgets totaux selon les options des modèles d'ECF sélectionnés.</t>
    </r>
  </si>
  <si>
    <r>
      <t>Dans cette feuille sont automatiquement renseignée en fonction des informations renseignées par les pays dans les 3 feuilles "</t>
    </r>
    <r>
      <rPr>
        <sz val="11"/>
        <color theme="4" tint="-0.249977111117893"/>
        <rFont val="Calibri"/>
        <family val="2"/>
        <scheme val="minor"/>
      </rPr>
      <t>Options_modèle spécifié d'ECF</t>
    </r>
    <r>
      <rPr>
        <sz val="11"/>
        <color theme="1"/>
        <rFont val="Calibri"/>
        <family val="2"/>
        <scheme val="minor"/>
      </rPr>
      <t xml:space="preserve">" </t>
    </r>
  </si>
  <si>
    <r>
      <t xml:space="preserve"> -</t>
    </r>
    <r>
      <rPr>
        <b/>
        <sz val="11"/>
        <color theme="1"/>
        <rFont val="Calibri"/>
        <family val="2"/>
        <scheme val="minor"/>
      </rPr>
      <t xml:space="preserve"> Le nombre total d’unités d'ECF (ILR + SDD)</t>
    </r>
    <r>
      <rPr>
        <sz val="11"/>
        <color theme="1"/>
        <rFont val="Calibri"/>
        <family val="2"/>
        <scheme val="minor"/>
      </rPr>
      <t xml:space="preserve"> compare le nombre total d’unités ILR et SDD achetés selon les options A, B et C.</t>
    </r>
  </si>
  <si>
    <r>
      <t xml:space="preserve"> </t>
    </r>
    <r>
      <rPr>
        <b/>
        <sz val="11"/>
        <color theme="1"/>
        <rFont val="Calibri"/>
        <family val="2"/>
        <scheme val="minor"/>
      </rPr>
      <t>- Le budget total (tous les equipements)</t>
    </r>
    <r>
      <rPr>
        <sz val="11"/>
        <color theme="1"/>
        <rFont val="Calibri"/>
        <family val="2"/>
        <scheme val="minor"/>
      </rPr>
      <t xml:space="preserve"> compare le coût total des achats ECF pour tous les achats d'appareils (y compris le coût supplémentaire de 6%, le fret international et les frais d'achat de l'UNICEF) pour chaque option et met en évidence l'option la plus rentable sur une base moyenne $ / ECF.</t>
    </r>
  </si>
  <si>
    <r>
      <t>Le but de cette feuille est de permettre aux décideurs nationaux de comparer les implications financières des choix de sélection d'ECF saisis dans les feuilles "Options - modèle spécifié d'ECF,".  Les unités totales et le coût (cellules C10-E15) sont automatiquement remplis à partir des entrées des feuilles "Options - modèle spécifié d'ECF"</t>
    </r>
    <r>
      <rPr>
        <b/>
        <i/>
        <sz val="11"/>
        <color rgb="FFFF0000"/>
        <rFont val="Calibri"/>
        <family val="2"/>
        <scheme val="minor"/>
      </rPr>
      <t xml:space="preserve"> </t>
    </r>
  </si>
  <si>
    <t>Comparaison du rapport coût-efficacité des options de modèle d'ECF</t>
  </si>
  <si>
    <r>
      <t xml:space="preserve">- Un coût </t>
    </r>
    <r>
      <rPr>
        <b/>
        <sz val="11"/>
        <color theme="1"/>
        <rFont val="Calibri"/>
        <family val="2"/>
        <scheme val="minor"/>
      </rPr>
      <t>supplémentaire buffer de 6 %</t>
    </r>
    <r>
      <rPr>
        <sz val="11"/>
        <color theme="1"/>
        <rFont val="Calibri"/>
        <family val="2"/>
        <scheme val="minor"/>
      </rPr>
      <t xml:space="preserve"> (pour une variabilité budgétaire en matière d'équipements, des différences de coûts relatifs aux ensembles de services, aux surestaries et aux coûts afférents) a été intégré dans le budget total annuel des équipements.</t>
    </r>
  </si>
  <si>
    <r>
      <rPr>
        <b/>
        <sz val="11"/>
        <color theme="1"/>
        <rFont val="Calibri"/>
        <family val="2"/>
        <scheme val="minor"/>
      </rPr>
      <t>- Chaque pays est responsable du payment des frais annuels (à l'UNICEF) d'approvisionnement par son investissement conjoint ainsi que le fret international. Ses frais seront de 8% ou 8.5% du coût total des équipements (y compris le buffer de 6%)</t>
    </r>
    <r>
      <rPr>
        <sz val="11"/>
        <color theme="1"/>
        <rFont val="Calibri"/>
        <family val="2"/>
        <scheme val="minor"/>
      </rPr>
      <t xml:space="preserve">. Ce montant est payé à l'UNICEF et le pays est encouragé de contacter le bureau pays de l'Unicef afin de connaitre le pourcentage exact.  </t>
    </r>
  </si>
  <si>
    <t>**Ces frais doivent être payés par le pays à l'UNICEF lorsque le COP et les estimations de coûts sont approuvés et que les fonds sont déboursés</t>
  </si>
  <si>
    <t>Investissement conjoint de Gavi***</t>
  </si>
  <si>
    <t>*La ligne Total des investissements conjoints du pays représente le budget total du pays, y compris les coûts des équipements, le buffer, le fret international et les frais d'approvisionnement de l'UNICEF pour chaque option</t>
  </si>
  <si>
    <t>***La ligne Investissements conjoints de Gavi représente l'investissement conjoint de Gavi qui couvre les coûts des équipements, les coûts de l'offre groupée de services, le buffer et le fret international. Les frais d'achat des investissements conjoints de Gavi sont payés par Gavi directement à l'UNICEF SD</t>
  </si>
  <si>
    <t>République centrafricaine</t>
  </si>
  <si>
    <t>Tchad</t>
  </si>
  <si>
    <t>Comores</t>
  </si>
  <si>
    <t>République démocratique du congo</t>
  </si>
  <si>
    <t>République du congo</t>
  </si>
  <si>
    <t>Érythrée</t>
  </si>
  <si>
    <t>Éthiopie</t>
  </si>
  <si>
    <t>Gambie</t>
  </si>
  <si>
    <t>Guinée</t>
  </si>
  <si>
    <t>Guinée-bissau</t>
  </si>
  <si>
    <t>Mauratanie</t>
  </si>
  <si>
    <t>Sénégal</t>
  </si>
  <si>
    <t>Soudan du sud</t>
  </si>
  <si>
    <t>Somalie</t>
  </si>
  <si>
    <t>Soudan</t>
  </si>
  <si>
    <t>Zambie</t>
  </si>
  <si>
    <t>Ouganda</t>
  </si>
  <si>
    <t>Tanzanie</t>
  </si>
  <si>
    <t>Syrie</t>
  </si>
  <si>
    <t>Tadjikistan</t>
  </si>
  <si>
    <t>Yémen</t>
  </si>
  <si>
    <t>Birmanie</t>
  </si>
  <si>
    <t>Népal</t>
  </si>
  <si>
    <t>Kirghizistan</t>
  </si>
  <si>
    <t>Salomon</t>
  </si>
  <si>
    <t>Bénin</t>
  </si>
  <si>
    <t>Cambodge</t>
  </si>
  <si>
    <t>Haïti</t>
  </si>
  <si>
    <t>Corée, République de</t>
  </si>
  <si>
    <t>Nilkamal</t>
  </si>
  <si>
    <t>BCVC46LFF</t>
  </si>
  <si>
    <t>RCW1</t>
  </si>
  <si>
    <t xml:space="preserve">Dispositifs passifs à long terme </t>
  </si>
  <si>
    <t>_9.Dispositifspassifsàlongterme</t>
  </si>
  <si>
    <t>_10.Portevaccinnouvellegénérationquin’exposepaslesvaccinsaugel_GradeA</t>
  </si>
  <si>
    <t>_11.Glacièrenouvellegénérationquin’exposepaslesvaccinsaugel_GradeA</t>
  </si>
  <si>
    <t>_12.Régulateursdetensionpouréquipement</t>
  </si>
  <si>
    <t>_13.Packsdeglace</t>
  </si>
  <si>
    <t>_14.PiècesderechangepouréquipementsILRsanscongélateur</t>
  </si>
  <si>
    <t>_15.PiècesderechangepouréquipementsILRaveccongélateur</t>
  </si>
  <si>
    <t>_16.Piècesderechangepouréquipementsdecongélation</t>
  </si>
  <si>
    <t>_17.PiècesderechangeRéfrigérateurshorsréseauSDD_sanscongélateur</t>
  </si>
  <si>
    <t>_18.PiècesderechangepourSDDsanscompartimentcongélateur</t>
  </si>
  <si>
    <t>_19.PiècesderechangepourSDDaveccongélateur</t>
  </si>
  <si>
    <t>_20.RenouvellementsannuelsdabonnementdedonnéespourlesRTMDexistants</t>
  </si>
  <si>
    <t>_21.Formationenpersonne</t>
  </si>
  <si>
    <t>_22.Formationàdistance</t>
  </si>
  <si>
    <t>Arktek YBC - 5</t>
  </si>
  <si>
    <t>5 - &lt;10L</t>
  </si>
  <si>
    <t xml:space="preserve">_9.Dispositifs passifs à long terme </t>
  </si>
  <si>
    <t>&gt;5L</t>
  </si>
  <si>
    <t>_10. Porte vaccin nouvelle génération qui n’expose pas les vaccins au gel_Grade A</t>
  </si>
  <si>
    <t>_11. Glacière nouvelle génération qui n’expose pas les vaccins au gel_Grade A</t>
  </si>
  <si>
    <t>_12. Régulateurs de tension pour équipement</t>
  </si>
  <si>
    <t>_13. Packs de glace</t>
  </si>
  <si>
    <t>_14. Pièces de rechange pour équipements ILR sans congélateur</t>
  </si>
  <si>
    <t>_15. Pièces de rechange pour équipements ILR avec congélateur</t>
  </si>
  <si>
    <t>_16. Pièces de rechange pour équipements de congélation</t>
  </si>
  <si>
    <t>_17. Pièces de rechange Réfrigérateurs hors réseau SDD_sans congélateur</t>
  </si>
  <si>
    <t>_18. Pièces de rechange pour SDD sans compartiment congélateur</t>
  </si>
  <si>
    <t>_19. Pièces de rechange pour SDD avec congélateur</t>
  </si>
  <si>
    <t>_20. Renouvellements annuels dabonnement de données pour les RTMD existants</t>
  </si>
  <si>
    <t>_21.Formation en personne</t>
  </si>
  <si>
    <t>_22.Formation à distance</t>
  </si>
  <si>
    <t>pourcentage de l'investissement conjoint du pays: 8% ou 8.5%</t>
  </si>
  <si>
    <r>
      <t xml:space="preserve">Les pays frais d'approvisionnement (pourcentage de l'investissement conjoint du pays: 8% ou 8.5%) et disponible auprès du bureau Unicef pays) </t>
    </r>
    <r>
      <rPr>
        <b/>
        <sz val="11"/>
        <color rgb="FFFF0000"/>
        <rFont val="Calibri"/>
        <family val="2"/>
        <scheme val="minor"/>
      </rPr>
      <t>Sélectionner dans le menu déroulant</t>
    </r>
  </si>
  <si>
    <t>_10.Porte vaccin nouvelle génération qui n’expose pas les vaccins au gel_Grade A</t>
  </si>
  <si>
    <t>_11.Glacière nouvelle génération qui n’expose pas les vaccins au gel_Grade A</t>
  </si>
  <si>
    <t>_12.Régulateurs de tension pour équipement</t>
  </si>
  <si>
    <t>_13.Packs de glace</t>
  </si>
  <si>
    <t>_14.Pièces de rechange pour équipements ILR sans congélateur</t>
  </si>
  <si>
    <t>_15.Pièces de rechange pour équipements ILR avec congélateur</t>
  </si>
  <si>
    <t>_16.Pièces de rechange pour équipements de congélation</t>
  </si>
  <si>
    <t>_17.Pièces de rechange Réfrigérateurs hors réseau SDD_sans congélateur</t>
  </si>
  <si>
    <t>_18.Pièces de rechange pour SDD sans compartiment congélateur</t>
  </si>
  <si>
    <t>_19.Pièces de rechange pour SDD avec congélateur</t>
  </si>
  <si>
    <t>_20.Renouvellements annuels dabonnement de données pour les RTMD existants</t>
  </si>
  <si>
    <t>GVR 51 Lite AC with RTMS (Bey. Wire. ICE3 BC141 bundled)</t>
  </si>
  <si>
    <t>GVR 75 Lite AC with RTMS (Bey. Wire. ICE3 BC141 bundled)</t>
  </si>
  <si>
    <t>GVR 99 Lite AC with RTMS  (Bey. Wire. ICE3 BC141 bundled)</t>
  </si>
  <si>
    <t>VLS 504A AC</t>
  </si>
  <si>
    <t>VLS 504A AC with RTMS (Own integrated)</t>
  </si>
  <si>
    <t>GVR 225 AC with RTMS (Bey. Wire. ICE3 BC141 bundled)</t>
  </si>
  <si>
    <t>GVR 55 FF AC with RTMS  (Bey. Wire. ICE3 BC141 bundled)</t>
  </si>
  <si>
    <t>TCW120AC</t>
  </si>
  <si>
    <t>DW-25W147 with RTMS (Bey. Wire. ICE3 BC141 bundled)</t>
  </si>
  <si>
    <t>HBD-86</t>
  </si>
  <si>
    <t>HBD-86 with RTMS (Bey. Wire. ICE3 BC141 bundled)</t>
  </si>
  <si>
    <t>DW-25W300 with RTMS (Bey. Wire. ICE3 BC141 bundled)</t>
  </si>
  <si>
    <t>HBD-265</t>
  </si>
  <si>
    <t>HBD-265 with RTMS (Haier U-Cool bundled)</t>
  </si>
  <si>
    <t>GMF 200 ECO</t>
  </si>
  <si>
    <t>GMF 200 ECO with RTMS (Bey. Wire. ICE3 BC141 bundled)</t>
  </si>
  <si>
    <t>GVR 50 DC with RTMS  (Bey. Wire. ICE3 BC141 bundled)</t>
  </si>
  <si>
    <t>GVR 100 DC with RTMS (Bey. Wire. ICE3 BC141 bundled)</t>
  </si>
  <si>
    <t>GVR 55 FF DC with RTMS (Bey. Wire. ICE3 BC141 bundled)</t>
  </si>
  <si>
    <t>TCD-100</t>
  </si>
  <si>
    <t>TCD-100 with RTMS (Bey. Wire. ICE3 BC141 bundled)</t>
  </si>
  <si>
    <t>VLS 096A RF SDD</t>
  </si>
  <si>
    <t>VLS 096A RF SDD with RTMS (Own integrated)</t>
  </si>
  <si>
    <t>TCW120SDD</t>
  </si>
  <si>
    <t>TCD-100-spare parts</t>
  </si>
  <si>
    <t>GVR 50 DC with RTMS (Bey. Wire. ICE3 BC141 bundled)</t>
  </si>
  <si>
    <t>HBD-86-spare parts</t>
  </si>
  <si>
    <t>TCW120AC-spare parts</t>
  </si>
  <si>
    <t>HBD-265-spare parts</t>
  </si>
  <si>
    <t>TCW120SDD-spare parts</t>
  </si>
  <si>
    <t>VLS 096A RF SDD -spare parts</t>
  </si>
  <si>
    <t>GMF 200 ECO-spare parts</t>
  </si>
  <si>
    <t>TCD-100 -spare parts</t>
  </si>
  <si>
    <t>TCW120SDD -spare parts</t>
  </si>
  <si>
    <t>VLS 504A AC-spare parts</t>
  </si>
  <si>
    <t xml:space="preserve">_5.Réfrigérateurs hors réseau SDD_avec comp. congélateur </t>
  </si>
  <si>
    <t>HBC-120 with RTMS (Haier U-Cool bundled)</t>
  </si>
  <si>
    <t>CFD-50 SDD with RTMS (Bey. Wire. ICE3 BC141 bundled)</t>
  </si>
  <si>
    <t>LogTag</t>
  </si>
  <si>
    <t>Vaxtag (TRID30-7FW)</t>
  </si>
  <si>
    <t>LogTag USB Cradle</t>
  </si>
  <si>
    <t>HETL-01</t>
  </si>
  <si>
    <t>AFVC 44</t>
  </si>
  <si>
    <t>BK-VC-FF 2.4L</t>
  </si>
  <si>
    <t>&lt;15L</t>
  </si>
  <si>
    <t>FFCB-20L</t>
  </si>
  <si>
    <t>WP-0.3L</t>
  </si>
  <si>
    <t>WP-0.4L</t>
  </si>
  <si>
    <t>WP-0.6L</t>
  </si>
  <si>
    <t>&lt; 15</t>
  </si>
  <si>
    <t>Parsyl</t>
  </si>
  <si>
    <t>Trek Pro (Refrigerator model)+ 3 years data/portal access</t>
  </si>
  <si>
    <t>Trek Pro annual data subscription</t>
  </si>
  <si>
    <t>Coolfinity IceVolt 300P  with RTMS (SmartMonitor SITE L bundled)</t>
  </si>
  <si>
    <t>TCW 40 SDD -spare parts</t>
  </si>
  <si>
    <t>HTCD 90 SDD -spare parts</t>
  </si>
  <si>
    <t>HTCD 160B SDD</t>
  </si>
  <si>
    <t>HTCD 160B SDD with RTMS (Haier U-Cool bundled)</t>
  </si>
  <si>
    <t>CTX (Refrigerator model CTX)+ 3 years data/portal access</t>
  </si>
  <si>
    <t>CTX annual data subscription</t>
  </si>
  <si>
    <t>SmartMonitor Site L (Refrigerator model)+ 3 years data/portal access</t>
  </si>
  <si>
    <t>SmartMonitor Site L annual data subscription</t>
  </si>
  <si>
    <t>Sao Tomé et Principe</t>
  </si>
  <si>
    <t>Syrie NWS</t>
  </si>
  <si>
    <t>Timor-Leste</t>
  </si>
  <si>
    <t>CFD-50</t>
  </si>
  <si>
    <t>CFD-50 with RTMS (Bey. Wire. ICE3 BC141 bundled)</t>
  </si>
  <si>
    <t>CFD-50-spare parts</t>
  </si>
  <si>
    <t>HVS-1000U</t>
  </si>
  <si>
    <t>EMK TEC GmbH</t>
  </si>
  <si>
    <t>Indigo 201 (Carrier)</t>
  </si>
  <si>
    <t>1.7L</t>
  </si>
  <si>
    <t>Indigo 201 (Charger)</t>
  </si>
  <si>
    <t>BlackFrog Technologies Private Limited</t>
  </si>
  <si>
    <t>Emvolio Plus</t>
  </si>
  <si>
    <t>1.55L</t>
  </si>
  <si>
    <t>_23.Stockage de Vaccins Transportable et Motorisé_TPVS</t>
  </si>
  <si>
    <t>Stockage de Vaccins Transportable et Motorisé_TPVS</t>
  </si>
  <si>
    <t>_22.StockagedeVaccinsTransportableetMotorisé_TPVS</t>
  </si>
  <si>
    <t>_23.StockagedeVaccinsTransportableetMotorisé_TPVS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</si>
</sst>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quot;£&quot;* #,##0.00_-;\-&quot;£&quot;* #,##0.00_-;_-&quot;£&quot;* &quot;-&quot;??_-;_-@_-"/>
    <numFmt numFmtId="165" formatCode="#,##0.0"/>
    <numFmt numFmtId="166" formatCode="0.0%"/>
    <numFmt numFmtId="167" formatCode="&quot;$&quot;#,##0"/>
    <numFmt numFmtId="168" formatCode="&quot;$&quot;#,##0.00"/>
    <numFmt numFmtId="169" formatCode="_([$$-409]* #,##0.00_);_([$$-409]* \(#,##0.00\);_([$$-409]* &quot;-&quot;??_);_(@_)"/>
    <numFmt numFmtId="170" formatCode="_(* #,##0.0_);_(* \(#,##0.0\);_(* &quot;-&quot;??_);_(@_)"/>
    <numFmt numFmtId="171" formatCode="_(* #,##0_);_(* \(#,##0\);_(* &quot;-&quot;??_);_(@_)"/>
    <numFmt numFmtId="172" formatCode="_(&quot;$&quot;* #,##0_);_(&quot;$&quot;* \(#,##0\);_(&quot;$&quot;* &quot;-&quot;??_);_(@_)"/>
    <numFmt numFmtId="173" formatCode="_([$$-409]* #,##0_);_([$$-409]* \(#,##0\);_([$$-409]* &quot;-&quot;??_);_(@_)"/>
    <numFmt numFmtId="174" formatCode="_(* #,##0.0_);_(* \(#,##0.0\);_(* &quot;-&quot;?_);_(@_)"/>
  </numFmts>
  <fonts count="3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i/>
      <sz val="11"/>
      <color theme="4"/>
      <name val="Calibri"/>
      <family val="2"/>
      <scheme val="minor"/>
    </font>
    <font>
      <i/>
      <sz val="11"/>
      <color theme="1"/>
      <name val="Calibri"/>
      <family val="2"/>
      <scheme val="minor"/>
    </font>
    <font>
      <b/>
      <i/>
      <sz val="16"/>
      <color rgb="FFC00000"/>
      <name val="Calibri"/>
      <family val="2"/>
      <scheme val="minor"/>
    </font>
    <font>
      <sz val="11"/>
      <color theme="8"/>
      <name val="Calibri"/>
      <family val="2"/>
      <scheme val="minor"/>
    </font>
    <font>
      <i/>
      <sz val="11"/>
      <name val="Calibri"/>
      <family val="2"/>
      <scheme val="minor"/>
    </font>
    <font>
      <b/>
      <i/>
      <sz val="11"/>
      <name val="Calibri"/>
      <family val="2"/>
      <scheme val="minor"/>
    </font>
    <font>
      <b/>
      <i/>
      <sz val="11"/>
      <color theme="1"/>
      <name val="Calibri"/>
      <family val="2"/>
      <scheme val="minor"/>
    </font>
    <font>
      <i/>
      <sz val="11"/>
      <color rgb="FFC00000"/>
      <name val="Calibri"/>
      <family val="2"/>
      <scheme val="minor"/>
    </font>
    <font>
      <b/>
      <sz val="18"/>
      <color theme="5"/>
      <name val="Calibri"/>
      <family val="2"/>
      <scheme val="minor"/>
    </font>
    <font>
      <i/>
      <sz val="11"/>
      <color theme="0"/>
      <name val="Calibri"/>
      <family val="2"/>
      <scheme val="minor"/>
    </font>
    <font>
      <sz val="8"/>
      <name val="Calibri"/>
      <family val="2"/>
      <scheme val="minor"/>
    </font>
    <font>
      <b/>
      <sz val="16"/>
      <color rgb="FFC00000"/>
      <name val="Calibri"/>
      <family val="2"/>
      <scheme val="minor"/>
    </font>
    <font>
      <b/>
      <sz val="14"/>
      <color theme="8" tint="-0.249977111117893"/>
      <name val="Calibri"/>
      <family val="2"/>
      <scheme val="minor"/>
    </font>
    <font>
      <b/>
      <sz val="11"/>
      <color rgb="FF00B050"/>
      <name val="Calibri"/>
      <family val="2"/>
      <scheme val="minor"/>
    </font>
    <font>
      <b/>
      <sz val="16"/>
      <color theme="4" tint="-0.249977111117893"/>
      <name val="Calibri"/>
      <family val="2"/>
      <scheme val="minor"/>
    </font>
    <font>
      <b/>
      <u/>
      <sz val="14"/>
      <color theme="4" tint="-0.249977111117893"/>
      <name val="Calibri"/>
      <family val="2"/>
      <scheme val="minor"/>
    </font>
    <font>
      <b/>
      <sz val="14"/>
      <color theme="4" tint="-0.249977111117893"/>
      <name val="Calibri"/>
      <family val="2"/>
      <scheme val="minor"/>
    </font>
    <font>
      <b/>
      <u/>
      <sz val="16"/>
      <color theme="4" tint="-0.249977111117893"/>
      <name val="Calibri"/>
      <family val="2"/>
      <scheme val="minor"/>
    </font>
    <font>
      <b/>
      <i/>
      <sz val="11"/>
      <color theme="4"/>
      <name val="Calibri"/>
      <family val="2"/>
      <scheme val="minor"/>
    </font>
    <font>
      <b/>
      <i/>
      <sz val="11"/>
      <color rgb="FFFF0000"/>
      <name val="Calibri"/>
      <family val="2"/>
      <scheme val="minor"/>
    </font>
    <font>
      <b/>
      <sz val="14"/>
      <name val="Calibri"/>
      <family val="2"/>
      <scheme val="minor"/>
    </font>
    <font>
      <sz val="11"/>
      <color theme="4" tint="-0.249977111117893"/>
      <name val="Calibri"/>
      <family val="2"/>
      <scheme val="minor"/>
    </font>
    <font>
      <sz val="11"/>
      <color rgb="FF00B050"/>
      <name val="Calibri"/>
      <family val="2"/>
      <scheme val="minor"/>
    </font>
  </fonts>
  <fills count="35">
    <fill>
      <patternFill patternType="none"/>
    </fill>
    <fill>
      <patternFill patternType="gray125"/>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FFCCFF"/>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249977111117893"/>
        <bgColor indexed="64"/>
      </patternFill>
    </fill>
    <fill>
      <patternFill patternType="solid">
        <fgColor rgb="FFB4C6E7"/>
        <bgColor indexed="64"/>
      </patternFill>
    </fill>
    <fill>
      <patternFill patternType="solid">
        <fgColor rgb="FF00B0F0"/>
        <bgColor indexed="64"/>
      </patternFill>
    </fill>
    <fill>
      <patternFill patternType="solid">
        <fgColor rgb="FF7030A0"/>
        <bgColor indexed="64"/>
      </patternFill>
    </fill>
    <fill>
      <patternFill patternType="solid">
        <fgColor rgb="FFCCCCFF"/>
        <bgColor indexed="64"/>
      </patternFill>
    </fill>
    <fill>
      <patternFill patternType="solid">
        <fgColor rgb="FFFFC000"/>
        <bgColor indexed="64"/>
      </patternFill>
    </fill>
    <fill>
      <patternFill patternType="solid">
        <fgColor rgb="FF9900CC"/>
        <bgColor indexed="64"/>
      </patternFill>
    </fill>
    <fill>
      <patternFill patternType="solid">
        <fgColor rgb="FFFF99FF"/>
        <bgColor indexed="64"/>
      </patternFill>
    </fill>
    <fill>
      <patternFill patternType="solid">
        <fgColor rgb="FFCC00FF"/>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00FFFF"/>
        <bgColor indexed="64"/>
      </patternFill>
    </fill>
  </fills>
  <borders count="84">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ck">
        <color auto="1"/>
      </left>
      <right style="thin">
        <color auto="1"/>
      </right>
      <top/>
      <bottom style="thin">
        <color auto="1"/>
      </bottom>
      <diagonal/>
    </border>
    <border>
      <left/>
      <right style="thick">
        <color theme="8" tint="-0.499984740745262"/>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medium">
        <color indexed="64"/>
      </right>
      <top style="medium">
        <color indexed="64"/>
      </top>
      <bottom style="thin">
        <color auto="1"/>
      </bottom>
      <diagonal/>
    </border>
    <border>
      <left/>
      <right style="thin">
        <color auto="1"/>
      </right>
      <top/>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style="thick">
        <color auto="1"/>
      </right>
      <top style="thin">
        <color auto="1"/>
      </top>
      <bottom style="thin">
        <color auto="1"/>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s>
  <cellStyleXfs count="7">
    <xf numFmtId="0" fontId="0" fillId="0" borderId="0"/>
    <xf numFmtId="0" fontId="7" fillId="0" borderId="0" applyNumberFormat="0" applyFill="0" applyBorder="0" applyAlignment="0" applyProtection="0"/>
    <xf numFmtId="9" fontId="9" fillId="0" borderId="0" applyFont="0" applyFill="0" applyBorder="0" applyAlignment="0" applyProtection="0"/>
    <xf numFmtId="0" fontId="13" fillId="0" borderId="0"/>
    <xf numFmtId="4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cellStyleXfs>
  <cellXfs count="470">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1" borderId="8"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0" fillId="0" borderId="0" xfId="0" applyAlignment="1">
      <alignment vertical="center" wrapText="1"/>
    </xf>
    <xf numFmtId="0" fontId="0" fillId="0" borderId="14" xfId="0" applyBorder="1" applyAlignment="1">
      <alignment vertical="top"/>
    </xf>
    <xf numFmtId="0" fontId="3" fillId="3" borderId="9" xfId="0" applyFont="1" applyFill="1" applyBorder="1" applyAlignment="1">
      <alignment vertical="center" wrapText="1"/>
    </xf>
    <xf numFmtId="0" fontId="0" fillId="6" borderId="9" xfId="0" applyFill="1" applyBorder="1" applyAlignment="1">
      <alignment vertical="center" wrapText="1"/>
    </xf>
    <xf numFmtId="0" fontId="0" fillId="5" borderId="9" xfId="0" applyFill="1" applyBorder="1" applyAlignment="1">
      <alignment vertical="center" wrapText="1"/>
    </xf>
    <xf numFmtId="0" fontId="0" fillId="7" borderId="9" xfId="0" applyFill="1" applyBorder="1" applyAlignment="1">
      <alignment vertical="center" wrapText="1"/>
    </xf>
    <xf numFmtId="0" fontId="0" fillId="8" borderId="9" xfId="0" applyFill="1" applyBorder="1" applyAlignment="1">
      <alignment vertical="center" wrapText="1"/>
    </xf>
    <xf numFmtId="0" fontId="2" fillId="0" borderId="0" xfId="0" applyFont="1" applyAlignment="1">
      <alignment horizontal="left" vertical="center"/>
    </xf>
    <xf numFmtId="0" fontId="0" fillId="0" borderId="0" xfId="0" applyAlignment="1">
      <alignment wrapText="1"/>
    </xf>
    <xf numFmtId="0" fontId="6" fillId="0" borderId="2" xfId="0" applyFont="1" applyBorder="1" applyAlignment="1">
      <alignment horizontal="left" vertical="top" wrapText="1"/>
    </xf>
    <xf numFmtId="0" fontId="6" fillId="0" borderId="1" xfId="0" applyFont="1" applyBorder="1" applyAlignment="1">
      <alignment vertical="top"/>
    </xf>
    <xf numFmtId="37" fontId="0" fillId="0" borderId="0" xfId="0" applyNumberFormat="1"/>
    <xf numFmtId="165" fontId="0" fillId="0" borderId="9" xfId="0" applyNumberFormat="1" applyBorder="1" applyAlignment="1">
      <alignment horizontal="right" vertical="center"/>
    </xf>
    <xf numFmtId="165" fontId="0" fillId="9" borderId="9" xfId="0" applyNumberFormat="1" applyFill="1" applyBorder="1" applyAlignment="1">
      <alignment horizontal="right" vertical="center"/>
    </xf>
    <xf numFmtId="0" fontId="6"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1" fillId="12" borderId="9"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2" fillId="5" borderId="9"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2" fillId="7" borderId="9" xfId="0" applyFont="1" applyFill="1" applyBorder="1" applyAlignment="1" applyProtection="1">
      <alignment vertical="center" wrapText="1"/>
      <protection locked="0"/>
    </xf>
    <xf numFmtId="0" fontId="2" fillId="8" borderId="9" xfId="0" applyFont="1" applyFill="1" applyBorder="1" applyAlignment="1" applyProtection="1">
      <alignment vertical="center" wrapText="1"/>
      <protection locked="0"/>
    </xf>
    <xf numFmtId="0" fontId="5" fillId="10" borderId="9" xfId="0" applyFont="1" applyFill="1" applyBorder="1" applyAlignment="1" applyProtection="1">
      <alignment vertical="center" wrapText="1"/>
      <protection locked="0"/>
    </xf>
    <xf numFmtId="37" fontId="0" fillId="0" borderId="9" xfId="0" applyNumberFormat="1" applyBorder="1" applyAlignment="1" applyProtection="1">
      <alignment vertical="center" wrapText="1"/>
      <protection locked="0"/>
    </xf>
    <xf numFmtId="0" fontId="0" fillId="0" borderId="6" xfId="0" applyBorder="1" applyAlignment="1">
      <alignment wrapText="1"/>
    </xf>
    <xf numFmtId="0" fontId="11" fillId="0" borderId="0" xfId="0" applyFont="1"/>
    <xf numFmtId="0" fontId="10" fillId="0" borderId="4" xfId="0" applyFont="1" applyBorder="1" applyAlignment="1" applyProtection="1">
      <alignment horizontal="left" vertical="top"/>
      <protection locked="0"/>
    </xf>
    <xf numFmtId="0" fontId="11" fillId="0" borderId="6" xfId="0" applyFont="1" applyBorder="1"/>
    <xf numFmtId="0" fontId="11" fillId="0" borderId="0" xfId="0" applyFont="1" applyAlignment="1">
      <alignment vertical="top"/>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9" xfId="0" applyNumberFormat="1" applyBorder="1" applyAlignment="1">
      <alignment horizontal="center" vertical="center"/>
    </xf>
    <xf numFmtId="0" fontId="10" fillId="0" borderId="31"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7" fillId="0" borderId="30" xfId="1" quotePrefix="1" applyBorder="1" applyAlignment="1" applyProtection="1">
      <alignment horizontal="left" vertical="top"/>
      <protection locked="0"/>
    </xf>
    <xf numFmtId="37" fontId="0" fillId="0" borderId="10" xfId="0" applyNumberFormat="1" applyBorder="1" applyAlignment="1">
      <alignment horizontal="right" vertical="center" wrapText="1"/>
    </xf>
    <xf numFmtId="0" fontId="0" fillId="19" borderId="9" xfId="0" applyFill="1" applyBorder="1" applyAlignment="1">
      <alignment vertical="center" wrapText="1"/>
    </xf>
    <xf numFmtId="0" fontId="0" fillId="20" borderId="9" xfId="0" applyFill="1" applyBorder="1" applyAlignment="1">
      <alignment vertical="center" wrapText="1"/>
    </xf>
    <xf numFmtId="0" fontId="0" fillId="21" borderId="9" xfId="0" applyFill="1" applyBorder="1" applyAlignment="1">
      <alignment vertical="center" wrapText="1"/>
    </xf>
    <xf numFmtId="0" fontId="3" fillId="15" borderId="9" xfId="0" applyFont="1" applyFill="1" applyBorder="1" applyAlignment="1">
      <alignment vertical="center" wrapText="1"/>
    </xf>
    <xf numFmtId="0" fontId="1" fillId="11" borderId="21" xfId="0" applyFont="1" applyFill="1" applyBorder="1" applyAlignment="1">
      <alignment horizontal="center" vertical="center" wrapText="1"/>
    </xf>
    <xf numFmtId="0" fontId="1" fillId="11" borderId="18" xfId="0" applyFont="1" applyFill="1" applyBorder="1" applyAlignment="1">
      <alignment horizontal="center" vertical="center" wrapText="1"/>
    </xf>
    <xf numFmtId="3" fontId="0" fillId="0" borderId="19" xfId="0" applyNumberFormat="1" applyBorder="1" applyAlignment="1">
      <alignment vertical="center"/>
    </xf>
    <xf numFmtId="3" fontId="0" fillId="0" borderId="25" xfId="0" applyNumberFormat="1" applyBorder="1" applyAlignment="1">
      <alignment vertical="center"/>
    </xf>
    <xf numFmtId="3" fontId="0" fillId="0" borderId="48" xfId="0" applyNumberFormat="1" applyBorder="1" applyAlignment="1">
      <alignment vertical="center"/>
    </xf>
    <xf numFmtId="165" fontId="0" fillId="0" borderId="19" xfId="0" applyNumberFormat="1" applyBorder="1" applyAlignment="1">
      <alignment horizontal="right" vertical="center"/>
    </xf>
    <xf numFmtId="0" fontId="1" fillId="11" borderId="52" xfId="0" applyFont="1" applyFill="1" applyBorder="1" applyAlignment="1">
      <alignment horizontal="center" vertical="center" wrapText="1"/>
    </xf>
    <xf numFmtId="0" fontId="21" fillId="0" borderId="0" xfId="0" applyFont="1"/>
    <xf numFmtId="0" fontId="8" fillId="0" borderId="0" xfId="0" applyFont="1" applyAlignment="1">
      <alignment vertical="center" wrapText="1"/>
    </xf>
    <xf numFmtId="0" fontId="8" fillId="0" borderId="8" xfId="0" applyFont="1" applyBorder="1" applyAlignment="1">
      <alignment horizontal="center" vertical="center" wrapText="1"/>
    </xf>
    <xf numFmtId="0" fontId="8" fillId="0" borderId="0" xfId="0" applyFont="1" applyAlignment="1">
      <alignment horizontal="left" vertical="center"/>
    </xf>
    <xf numFmtId="3" fontId="6" fillId="0" borderId="2" xfId="0" applyNumberFormat="1" applyFont="1" applyBorder="1" applyAlignment="1" applyProtection="1">
      <alignment horizontal="left" vertical="top" wrapText="1"/>
      <protection locked="0"/>
    </xf>
    <xf numFmtId="0" fontId="1" fillId="11" borderId="53"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8" fillId="0" borderId="0" xfId="0" applyFont="1" applyAlignment="1" applyProtection="1">
      <alignment vertical="center"/>
      <protection locked="0"/>
    </xf>
    <xf numFmtId="0" fontId="22" fillId="0" borderId="0" xfId="0" quotePrefix="1" applyFont="1" applyAlignment="1" applyProtection="1">
      <alignment vertical="center"/>
      <protection locked="0"/>
    </xf>
    <xf numFmtId="0" fontId="0" fillId="0" borderId="16" xfId="0" applyBorder="1" applyAlignment="1">
      <alignment vertical="center"/>
    </xf>
    <xf numFmtId="0" fontId="0" fillId="24" borderId="9" xfId="0" applyFill="1" applyBorder="1" applyAlignment="1">
      <alignment vertical="center" wrapText="1"/>
    </xf>
    <xf numFmtId="0" fontId="8" fillId="0" borderId="0" xfId="0" applyFont="1" applyAlignment="1">
      <alignment vertical="center"/>
    </xf>
    <xf numFmtId="0" fontId="0" fillId="23" borderId="9" xfId="0" applyFill="1" applyBorder="1" applyAlignment="1">
      <alignment vertical="center" wrapText="1"/>
    </xf>
    <xf numFmtId="0" fontId="0" fillId="0" borderId="0" xfId="0" applyAlignment="1">
      <alignment horizontal="left" vertical="center"/>
    </xf>
    <xf numFmtId="0" fontId="0" fillId="0" borderId="9" xfId="0" applyBorder="1"/>
    <xf numFmtId="0" fontId="0" fillId="0" borderId="9" xfId="0" applyBorder="1" applyAlignment="1">
      <alignment vertical="top" wrapText="1"/>
    </xf>
    <xf numFmtId="0" fontId="3" fillId="16" borderId="9" xfId="0" applyFont="1" applyFill="1" applyBorder="1" applyAlignment="1">
      <alignment vertical="top" wrapText="1"/>
    </xf>
    <xf numFmtId="0" fontId="25" fillId="0" borderId="0" xfId="0" applyFont="1"/>
    <xf numFmtId="0" fontId="2" fillId="0" borderId="9" xfId="0" applyFont="1" applyBorder="1" applyAlignment="1" applyProtection="1">
      <alignment vertical="center" wrapText="1"/>
      <protection locked="0"/>
    </xf>
    <xf numFmtId="37" fontId="0" fillId="0" borderId="62" xfId="0" applyNumberFormat="1" applyBorder="1" applyAlignment="1">
      <alignment vertical="center" wrapText="1"/>
    </xf>
    <xf numFmtId="37" fontId="0" fillId="0" borderId="48" xfId="0" applyNumberFormat="1" applyBorder="1" applyAlignment="1">
      <alignment vertical="center" wrapText="1"/>
    </xf>
    <xf numFmtId="0" fontId="2" fillId="0" borderId="0" xfId="0" applyFont="1"/>
    <xf numFmtId="37" fontId="0" fillId="0" borderId="52" xfId="0" applyNumberFormat="1" applyBorder="1" applyAlignment="1">
      <alignment vertical="center" wrapText="1"/>
    </xf>
    <xf numFmtId="0" fontId="2" fillId="0" borderId="8" xfId="0" applyFont="1" applyBorder="1" applyAlignment="1" applyProtection="1">
      <alignment vertical="center" wrapText="1"/>
      <protection locked="0"/>
    </xf>
    <xf numFmtId="37" fontId="0" fillId="0" borderId="21" xfId="0" applyNumberFormat="1" applyBorder="1" applyAlignment="1">
      <alignment horizontal="right" vertical="center" wrapText="1"/>
    </xf>
    <xf numFmtId="9" fontId="0" fillId="0" borderId="0" xfId="0" applyNumberFormat="1"/>
    <xf numFmtId="0" fontId="2" fillId="0" borderId="0" xfId="0" applyFont="1" applyAlignment="1">
      <alignment horizontal="right"/>
    </xf>
    <xf numFmtId="167" fontId="0" fillId="0" borderId="9" xfId="0" applyNumberFormat="1" applyBorder="1" applyAlignment="1">
      <alignment horizontal="center" vertical="center"/>
    </xf>
    <xf numFmtId="0" fontId="10" fillId="4" borderId="5" xfId="0" applyFont="1" applyFill="1" applyBorder="1" applyAlignment="1" applyProtection="1">
      <alignment horizontal="left" vertical="top"/>
      <protection locked="0"/>
    </xf>
    <xf numFmtId="0" fontId="10" fillId="4" borderId="4" xfId="0" applyFont="1" applyFill="1" applyBorder="1" applyAlignment="1" applyProtection="1">
      <alignment horizontal="left" vertical="top"/>
      <protection locked="0"/>
    </xf>
    <xf numFmtId="0" fontId="0" fillId="0" borderId="15" xfId="0" applyBorder="1" applyAlignment="1">
      <alignment vertical="center"/>
    </xf>
    <xf numFmtId="0" fontId="7" fillId="0" borderId="15" xfId="1" applyBorder="1" applyAlignment="1">
      <alignment vertical="center"/>
    </xf>
    <xf numFmtId="0" fontId="7" fillId="0" borderId="16" xfId="1" applyBorder="1" applyAlignment="1">
      <alignment vertical="center"/>
    </xf>
    <xf numFmtId="0" fontId="30" fillId="0" borderId="35" xfId="0" applyFont="1" applyBorder="1" applyAlignment="1" applyProtection="1">
      <alignment horizontal="left" vertical="top"/>
      <protection locked="0"/>
    </xf>
    <xf numFmtId="0" fontId="11" fillId="0" borderId="31" xfId="0" applyFont="1" applyBorder="1"/>
    <xf numFmtId="0" fontId="7" fillId="0" borderId="30" xfId="1" quotePrefix="1" applyBorder="1"/>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31" fillId="0" borderId="0" xfId="0" applyFont="1"/>
    <xf numFmtId="0" fontId="4" fillId="0" borderId="0" xfId="0" applyFont="1"/>
    <xf numFmtId="3" fontId="0" fillId="0" borderId="0" xfId="0" applyNumberFormat="1" applyAlignment="1" applyProtection="1">
      <alignment vertical="center"/>
      <protection locked="0"/>
    </xf>
    <xf numFmtId="0" fontId="0" fillId="0" borderId="8" xfId="0" applyBorder="1" applyAlignment="1">
      <alignment horizontal="right" vertical="center" wrapText="1"/>
    </xf>
    <xf numFmtId="0" fontId="0" fillId="0" borderId="9" xfId="0" applyBorder="1" applyAlignment="1">
      <alignment wrapText="1"/>
    </xf>
    <xf numFmtId="0" fontId="0" fillId="25" borderId="9" xfId="0" applyFill="1" applyBorder="1" applyAlignment="1">
      <alignment wrapText="1"/>
    </xf>
    <xf numFmtId="0" fontId="0" fillId="20" borderId="9" xfId="0" applyFill="1" applyBorder="1" applyAlignment="1">
      <alignment wrapText="1"/>
    </xf>
    <xf numFmtId="0" fontId="0" fillId="0" borderId="9" xfId="0" applyBorder="1" applyAlignment="1">
      <alignment horizontal="left" vertical="top" wrapText="1"/>
    </xf>
    <xf numFmtId="0" fontId="2" fillId="0" borderId="76" xfId="0" applyFont="1" applyBorder="1"/>
    <xf numFmtId="167" fontId="2" fillId="0" borderId="79" xfId="0" applyNumberFormat="1" applyFont="1" applyBorder="1" applyAlignment="1">
      <alignment horizontal="center" vertical="center"/>
    </xf>
    <xf numFmtId="167" fontId="2" fillId="0" borderId="75" xfId="0" applyNumberFormat="1" applyFont="1" applyBorder="1" applyAlignment="1">
      <alignment horizontal="center" vertical="center"/>
    </xf>
    <xf numFmtId="0" fontId="3" fillId="16" borderId="23" xfId="0" applyFont="1" applyFill="1" applyBorder="1"/>
    <xf numFmtId="0" fontId="1" fillId="16" borderId="24" xfId="0" applyFont="1" applyFill="1" applyBorder="1" applyAlignment="1">
      <alignment horizontal="center" vertical="center" wrapText="1"/>
    </xf>
    <xf numFmtId="0" fontId="1" fillId="16" borderId="24" xfId="0" applyFont="1" applyFill="1" applyBorder="1" applyAlignment="1">
      <alignment horizontal="center" vertical="center"/>
    </xf>
    <xf numFmtId="0" fontId="1" fillId="16" borderId="62" xfId="0" applyFont="1" applyFill="1" applyBorder="1" applyAlignment="1">
      <alignment horizontal="center" vertical="center"/>
    </xf>
    <xf numFmtId="0" fontId="0" fillId="0" borderId="25" xfId="0" applyBorder="1" applyAlignment="1">
      <alignment vertical="center" wrapText="1"/>
    </xf>
    <xf numFmtId="37" fontId="0" fillId="0" borderId="48" xfId="0" applyNumberFormat="1" applyBorder="1" applyAlignment="1">
      <alignment horizontal="center" vertical="center"/>
    </xf>
    <xf numFmtId="0" fontId="0" fillId="0" borderId="25" xfId="0" applyBorder="1"/>
    <xf numFmtId="167" fontId="0" fillId="0" borderId="48" xfId="0" applyNumberFormat="1" applyBorder="1" applyAlignment="1">
      <alignment horizontal="center" vertical="center"/>
    </xf>
    <xf numFmtId="0" fontId="0" fillId="0" borderId="26" xfId="0" applyBorder="1"/>
    <xf numFmtId="167" fontId="0" fillId="0" borderId="80" xfId="0" applyNumberFormat="1" applyBorder="1" applyAlignment="1">
      <alignment horizontal="center" vertical="center"/>
    </xf>
    <xf numFmtId="167" fontId="0" fillId="0" borderId="71" xfId="0" applyNumberFormat="1" applyBorder="1" applyAlignment="1">
      <alignment horizontal="center" vertical="center"/>
    </xf>
    <xf numFmtId="0" fontId="3" fillId="26" borderId="9" xfId="0" applyFont="1" applyFill="1" applyBorder="1" applyAlignment="1">
      <alignment wrapText="1"/>
    </xf>
    <xf numFmtId="0" fontId="0" fillId="0" borderId="0" xfId="0" applyAlignment="1">
      <alignment horizontal="left" vertical="top" wrapText="1"/>
    </xf>
    <xf numFmtId="170" fontId="0" fillId="0" borderId="10" xfId="6" applyNumberFormat="1" applyFont="1" applyBorder="1" applyAlignment="1">
      <alignment vertical="center"/>
    </xf>
    <xf numFmtId="170" fontId="0" fillId="0" borderId="10" xfId="6" applyNumberFormat="1" applyFont="1" applyFill="1" applyBorder="1" applyAlignment="1">
      <alignment vertical="center"/>
    </xf>
    <xf numFmtId="170" fontId="0" fillId="0" borderId="10" xfId="6" applyNumberFormat="1" applyFont="1" applyBorder="1" applyAlignment="1">
      <alignment horizontal="right" vertical="center"/>
    </xf>
    <xf numFmtId="170" fontId="0" fillId="0" borderId="9" xfId="6" applyNumberFormat="1" applyFont="1" applyBorder="1"/>
    <xf numFmtId="171" fontId="0" fillId="0" borderId="54" xfId="6" applyNumberFormat="1" applyFont="1" applyBorder="1" applyAlignment="1">
      <alignment vertical="center" wrapText="1"/>
    </xf>
    <xf numFmtId="171" fontId="0" fillId="0" borderId="48" xfId="6" applyNumberFormat="1" applyFont="1" applyBorder="1" applyAlignment="1">
      <alignment vertical="center" wrapText="1"/>
    </xf>
    <xf numFmtId="0" fontId="0" fillId="0" borderId="9" xfId="0" applyBorder="1" applyAlignment="1">
      <alignment horizontal="left" vertical="center" wrapText="1"/>
    </xf>
    <xf numFmtId="37" fontId="0" fillId="0" borderId="9" xfId="0" applyNumberFormat="1" applyBorder="1" applyAlignment="1">
      <alignment vertical="center" wrapText="1"/>
    </xf>
    <xf numFmtId="171" fontId="0" fillId="0" borderId="9" xfId="6" applyNumberFormat="1" applyFont="1" applyBorder="1" applyAlignment="1" applyProtection="1">
      <alignment vertical="center" wrapText="1"/>
    </xf>
    <xf numFmtId="0" fontId="1" fillId="13" borderId="45" xfId="0" applyFont="1" applyFill="1" applyBorder="1" applyAlignment="1">
      <alignment vertical="center" wrapText="1"/>
    </xf>
    <xf numFmtId="37" fontId="0" fillId="0" borderId="19" xfId="0" applyNumberFormat="1" applyBorder="1" applyAlignment="1">
      <alignment vertical="center" wrapText="1"/>
    </xf>
    <xf numFmtId="0" fontId="0" fillId="15" borderId="43" xfId="0" applyFill="1" applyBorder="1" applyAlignment="1">
      <alignment vertical="center" wrapText="1"/>
    </xf>
    <xf numFmtId="0" fontId="0" fillId="15" borderId="0" xfId="0" applyFill="1" applyAlignment="1">
      <alignment horizontal="left" vertical="center" wrapText="1"/>
    </xf>
    <xf numFmtId="37" fontId="0" fillId="15" borderId="0" xfId="0" applyNumberFormat="1" applyFill="1" applyAlignment="1">
      <alignment vertical="center" wrapText="1"/>
    </xf>
    <xf numFmtId="0" fontId="0" fillId="15" borderId="63" xfId="0" applyFill="1" applyBorder="1" applyAlignment="1">
      <alignment vertical="center" wrapText="1"/>
    </xf>
    <xf numFmtId="0" fontId="0" fillId="0" borderId="19" xfId="0" applyBorder="1" applyAlignment="1">
      <alignment vertical="center" wrapText="1"/>
    </xf>
    <xf numFmtId="0" fontId="0" fillId="23" borderId="43" xfId="0" applyFill="1" applyBorder="1" applyAlignment="1">
      <alignment vertical="center" wrapText="1"/>
    </xf>
    <xf numFmtId="0" fontId="0" fillId="23" borderId="0" xfId="0" applyFill="1" applyAlignment="1">
      <alignment vertical="center" wrapText="1"/>
    </xf>
    <xf numFmtId="0" fontId="0" fillId="23" borderId="63" xfId="0" applyFill="1" applyBorder="1" applyAlignment="1">
      <alignment vertical="center" wrapText="1"/>
    </xf>
    <xf numFmtId="0" fontId="0" fillId="15" borderId="22" xfId="0" applyFill="1" applyBorder="1" applyAlignment="1">
      <alignment vertical="center" wrapText="1"/>
    </xf>
    <xf numFmtId="0" fontId="0" fillId="15" borderId="40" xfId="0" applyFill="1" applyBorder="1" applyAlignment="1">
      <alignment horizontal="left" vertical="center" wrapText="1"/>
    </xf>
    <xf numFmtId="37" fontId="0" fillId="15" borderId="40" xfId="0" applyNumberFormat="1" applyFill="1" applyBorder="1" applyAlignment="1">
      <alignment vertical="center" wrapText="1"/>
    </xf>
    <xf numFmtId="0" fontId="0" fillId="15" borderId="73" xfId="0" applyFill="1" applyBorder="1" applyAlignment="1">
      <alignment vertical="center" wrapText="1"/>
    </xf>
    <xf numFmtId="0" fontId="0" fillId="0" borderId="18" xfId="0" applyBorder="1" applyAlignment="1">
      <alignment vertical="center" wrapText="1"/>
    </xf>
    <xf numFmtId="0" fontId="0" fillId="23" borderId="22" xfId="0" applyFill="1" applyBorder="1" applyAlignment="1">
      <alignment vertical="center" wrapText="1"/>
    </xf>
    <xf numFmtId="0" fontId="0" fillId="23" borderId="40" xfId="0" applyFill="1" applyBorder="1" applyAlignment="1">
      <alignment vertical="center" wrapText="1"/>
    </xf>
    <xf numFmtId="0" fontId="0" fillId="23" borderId="73" xfId="0" applyFill="1" applyBorder="1" applyAlignment="1">
      <alignment vertical="center" wrapText="1"/>
    </xf>
    <xf numFmtId="0" fontId="1" fillId="0" borderId="0" xfId="0" applyFont="1" applyAlignment="1">
      <alignment vertical="center" wrapText="1"/>
    </xf>
    <xf numFmtId="169" fontId="5" fillId="0" borderId="0" xfId="0" applyNumberFormat="1" applyFont="1" applyAlignment="1">
      <alignment horizontal="right" vertical="center" wrapText="1"/>
    </xf>
    <xf numFmtId="0" fontId="0" fillId="0" borderId="0" xfId="0" applyAlignment="1">
      <alignment horizontal="left" vertical="center" wrapText="1"/>
    </xf>
    <xf numFmtId="37" fontId="0" fillId="0" borderId="0" xfId="0" applyNumberFormat="1" applyAlignment="1">
      <alignment vertical="center" wrapText="1"/>
    </xf>
    <xf numFmtId="169" fontId="0" fillId="0" borderId="0" xfId="0" applyNumberFormat="1" applyAlignment="1">
      <alignment horizontal="right" vertical="center" wrapText="1"/>
    </xf>
    <xf numFmtId="0" fontId="0" fillId="0" borderId="0" xfId="0" applyAlignment="1">
      <alignment horizontal="right" vertical="center" wrapText="1"/>
    </xf>
    <xf numFmtId="44" fontId="0" fillId="0" borderId="0" xfId="0" applyNumberFormat="1" applyAlignment="1">
      <alignment horizontal="right" vertical="center" wrapText="1"/>
    </xf>
    <xf numFmtId="0" fontId="1" fillId="15" borderId="0" xfId="0" applyFont="1" applyFill="1" applyAlignment="1">
      <alignment vertical="center" wrapText="1"/>
    </xf>
    <xf numFmtId="0" fontId="2" fillId="15" borderId="70" xfId="0" applyFont="1" applyFill="1" applyBorder="1" applyAlignment="1">
      <alignment horizontal="center" vertical="center" wrapText="1"/>
    </xf>
    <xf numFmtId="0" fontId="2" fillId="15" borderId="47" xfId="0" applyFont="1" applyFill="1" applyBorder="1" applyAlignment="1">
      <alignment horizontal="center" vertical="center" wrapText="1"/>
    </xf>
    <xf numFmtId="0" fontId="23" fillId="15" borderId="9" xfId="0" applyFont="1" applyFill="1" applyBorder="1" applyAlignment="1">
      <alignment horizontal="left" vertical="center" wrapText="1"/>
    </xf>
    <xf numFmtId="167" fontId="8" fillId="0" borderId="69" xfId="4" applyNumberFormat="1" applyFont="1" applyFill="1" applyBorder="1" applyAlignment="1" applyProtection="1">
      <alignment vertical="center" wrapText="1"/>
    </xf>
    <xf numFmtId="0" fontId="23" fillId="15" borderId="40" xfId="0" applyFont="1" applyFill="1" applyBorder="1" applyAlignment="1">
      <alignment horizontal="left" vertical="center" wrapText="1"/>
    </xf>
    <xf numFmtId="167" fontId="8" fillId="0" borderId="55" xfId="4" applyNumberFormat="1" applyFont="1" applyFill="1" applyBorder="1" applyAlignment="1" applyProtection="1">
      <alignment vertical="center" wrapText="1"/>
    </xf>
    <xf numFmtId="168" fontId="8" fillId="0" borderId="55" xfId="4" applyNumberFormat="1" applyFont="1" applyFill="1" applyBorder="1" applyAlignment="1" applyProtection="1">
      <alignment vertical="center" wrapText="1"/>
    </xf>
    <xf numFmtId="0" fontId="1" fillId="15" borderId="0" xfId="0" applyFont="1" applyFill="1" applyAlignment="1">
      <alignment horizontal="left" vertical="center" wrapText="1"/>
    </xf>
    <xf numFmtId="168" fontId="0" fillId="0" borderId="74" xfId="0" applyNumberFormat="1" applyBorder="1"/>
    <xf numFmtId="167" fontId="0" fillId="0" borderId="32" xfId="0" applyNumberFormat="1" applyBorder="1" applyAlignment="1">
      <alignment vertical="center"/>
    </xf>
    <xf numFmtId="167" fontId="0" fillId="0" borderId="33" xfId="0" applyNumberFormat="1" applyBorder="1" applyAlignment="1">
      <alignment vertical="center"/>
    </xf>
    <xf numFmtId="168" fontId="0" fillId="0" borderId="33" xfId="0" applyNumberFormat="1" applyBorder="1"/>
    <xf numFmtId="168" fontId="0" fillId="0" borderId="34" xfId="0" applyNumberFormat="1" applyBorder="1"/>
    <xf numFmtId="37" fontId="2" fillId="17" borderId="70" xfId="0" applyNumberFormat="1" applyFont="1" applyFill="1" applyBorder="1" applyAlignment="1">
      <alignment horizontal="center"/>
    </xf>
    <xf numFmtId="37" fontId="2" fillId="17" borderId="47" xfId="0" applyNumberFormat="1" applyFont="1" applyFill="1" applyBorder="1" applyAlignment="1">
      <alignment horizontal="center"/>
    </xf>
    <xf numFmtId="37" fontId="2" fillId="0" borderId="0" xfId="0" applyNumberFormat="1" applyFont="1" applyAlignment="1">
      <alignment horizontal="center"/>
    </xf>
    <xf numFmtId="0" fontId="1" fillId="17" borderId="10" xfId="0" applyFont="1" applyFill="1" applyBorder="1" applyAlignment="1">
      <alignment horizontal="left" vertical="center" wrapText="1"/>
    </xf>
    <xf numFmtId="0" fontId="1" fillId="17" borderId="11" xfId="0" applyFont="1" applyFill="1" applyBorder="1" applyAlignment="1">
      <alignment horizontal="left" vertical="center" wrapText="1"/>
    </xf>
    <xf numFmtId="0" fontId="1" fillId="17" borderId="19" xfId="0" applyFont="1" applyFill="1" applyBorder="1" applyAlignment="1">
      <alignment horizontal="left" vertical="center" wrapText="1"/>
    </xf>
    <xf numFmtId="167" fontId="0" fillId="0" borderId="12" xfId="0" applyNumberFormat="1" applyBorder="1" applyAlignment="1">
      <alignment vertical="center" wrapText="1"/>
    </xf>
    <xf numFmtId="167" fontId="0" fillId="0" borderId="0" xfId="0" applyNumberFormat="1" applyAlignment="1">
      <alignment vertical="center" wrapText="1"/>
    </xf>
    <xf numFmtId="167" fontId="0" fillId="0" borderId="0" xfId="0" applyNumberFormat="1" applyAlignment="1">
      <alignment horizontal="right" vertical="center" wrapText="1"/>
    </xf>
    <xf numFmtId="167" fontId="0" fillId="0" borderId="9" xfId="0" applyNumberFormat="1" applyBorder="1" applyAlignment="1">
      <alignment vertical="center" wrapText="1"/>
    </xf>
    <xf numFmtId="0" fontId="1" fillId="14" borderId="40" xfId="0" applyFont="1" applyFill="1" applyBorder="1" applyAlignment="1">
      <alignment horizontal="left" vertical="center" wrapText="1"/>
    </xf>
    <xf numFmtId="0" fontId="1" fillId="14" borderId="17" xfId="0" applyFont="1" applyFill="1" applyBorder="1" applyAlignment="1">
      <alignment horizontal="left" vertical="center" wrapText="1"/>
    </xf>
    <xf numFmtId="167" fontId="0" fillId="0" borderId="9" xfId="0" applyNumberFormat="1" applyBorder="1"/>
    <xf numFmtId="0" fontId="1" fillId="18" borderId="45" xfId="0" applyFont="1" applyFill="1" applyBorder="1" applyAlignment="1">
      <alignment horizontal="left" vertical="center" wrapText="1"/>
    </xf>
    <xf numFmtId="167" fontId="2" fillId="0" borderId="78" xfId="0" applyNumberFormat="1" applyFont="1" applyBorder="1"/>
    <xf numFmtId="167" fontId="2" fillId="0" borderId="29" xfId="0" applyNumberFormat="1" applyFont="1" applyBorder="1"/>
    <xf numFmtId="167" fontId="2" fillId="0" borderId="45" xfId="0" applyNumberFormat="1" applyFont="1" applyBorder="1"/>
    <xf numFmtId="167" fontId="2" fillId="0" borderId="70" xfId="0" applyNumberFormat="1" applyFont="1" applyBorder="1"/>
    <xf numFmtId="0" fontId="0" fillId="9" borderId="0" xfId="0" applyFill="1" applyProtection="1">
      <protection locked="0"/>
    </xf>
    <xf numFmtId="37" fontId="0" fillId="9" borderId="0" xfId="0" applyNumberFormat="1" applyFill="1" applyProtection="1">
      <protection locked="0"/>
    </xf>
    <xf numFmtId="0" fontId="12" fillId="9" borderId="0" xfId="0" applyFont="1" applyFill="1" applyProtection="1">
      <protection locked="0"/>
    </xf>
    <xf numFmtId="0" fontId="2" fillId="0" borderId="27" xfId="0" applyFont="1" applyBorder="1" applyProtection="1">
      <protection locked="0"/>
    </xf>
    <xf numFmtId="0" fontId="2" fillId="0" borderId="28" xfId="0" applyFont="1" applyBorder="1" applyProtection="1">
      <protection locked="0"/>
    </xf>
    <xf numFmtId="0" fontId="2" fillId="0" borderId="29" xfId="0" applyFont="1" applyBorder="1" applyProtection="1">
      <protection locked="0"/>
    </xf>
    <xf numFmtId="0" fontId="2" fillId="0" borderId="0" xfId="0" applyFont="1" applyProtection="1">
      <protection locked="0"/>
    </xf>
    <xf numFmtId="0" fontId="4" fillId="11" borderId="44" xfId="0" applyFont="1" applyFill="1" applyBorder="1" applyAlignment="1" applyProtection="1">
      <alignment horizontal="center"/>
      <protection locked="0"/>
    </xf>
    <xf numFmtId="0" fontId="12" fillId="0" borderId="47" xfId="0" applyFont="1" applyBorder="1" applyAlignment="1" applyProtection="1">
      <alignment horizontal="center"/>
      <protection locked="0"/>
    </xf>
    <xf numFmtId="0" fontId="12" fillId="0" borderId="75" xfId="0" applyFont="1" applyBorder="1" applyAlignment="1" applyProtection="1">
      <alignment horizontal="center"/>
      <protection locked="0"/>
    </xf>
    <xf numFmtId="0" fontId="12" fillId="0" borderId="34" xfId="0" applyFont="1" applyBorder="1" applyAlignment="1" applyProtection="1">
      <alignment horizontal="center"/>
      <protection locked="0"/>
    </xf>
    <xf numFmtId="0" fontId="2" fillId="0" borderId="32" xfId="0" applyFont="1" applyBorder="1" applyProtection="1">
      <protection locked="0"/>
    </xf>
    <xf numFmtId="0" fontId="2" fillId="0" borderId="33" xfId="0" applyFont="1" applyBorder="1" applyProtection="1">
      <protection locked="0"/>
    </xf>
    <xf numFmtId="0" fontId="2" fillId="0" borderId="34" xfId="0" applyFont="1" applyBorder="1" applyProtection="1">
      <protection locked="0"/>
    </xf>
    <xf numFmtId="0" fontId="5" fillId="15" borderId="44" xfId="0" applyFont="1" applyFill="1" applyBorder="1" applyAlignment="1" applyProtection="1">
      <alignment horizontal="center"/>
      <protection locked="0"/>
    </xf>
    <xf numFmtId="0" fontId="12" fillId="0" borderId="32" xfId="0" applyFont="1" applyBorder="1" applyAlignment="1" applyProtection="1">
      <alignment horizontal="center"/>
      <protection locked="0"/>
    </xf>
    <xf numFmtId="0" fontId="5" fillId="23" borderId="44" xfId="0" applyFont="1" applyFill="1" applyBorder="1" applyAlignment="1" applyProtection="1">
      <alignment horizontal="center"/>
      <protection locked="0"/>
    </xf>
    <xf numFmtId="0" fontId="5" fillId="23" borderId="76" xfId="0" applyFont="1" applyFill="1" applyBorder="1" applyAlignment="1" applyProtection="1">
      <alignment horizontal="center"/>
      <protection locked="0"/>
    </xf>
    <xf numFmtId="0" fontId="12" fillId="0" borderId="72" xfId="0" applyFont="1" applyBorder="1" applyAlignment="1" applyProtection="1">
      <alignment horizontal="center"/>
      <protection locked="0"/>
    </xf>
    <xf numFmtId="37" fontId="0" fillId="0" borderId="23" xfId="0" applyNumberFormat="1" applyBorder="1" applyAlignment="1" applyProtection="1">
      <alignment horizontal="right" vertical="center" wrapText="1"/>
      <protection locked="0"/>
    </xf>
    <xf numFmtId="37" fontId="0" fillId="0" borderId="19" xfId="0" applyNumberFormat="1" applyBorder="1" applyAlignment="1" applyProtection="1">
      <alignment horizontal="right" vertical="center" wrapText="1"/>
      <protection locked="0"/>
    </xf>
    <xf numFmtId="0" fontId="0" fillId="0" borderId="53"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19" xfId="0" applyBorder="1" applyAlignment="1" applyProtection="1">
      <alignment vertical="center" wrapText="1"/>
      <protection locked="0"/>
    </xf>
    <xf numFmtId="37" fontId="0" fillId="0" borderId="25" xfId="0" applyNumberFormat="1" applyBorder="1" applyAlignment="1" applyProtection="1">
      <alignment horizontal="right" vertical="center" wrapText="1"/>
      <protection locked="0"/>
    </xf>
    <xf numFmtId="0" fontId="0" fillId="0" borderId="25" xfId="0" applyBorder="1" applyAlignment="1" applyProtection="1">
      <alignment vertical="center" wrapText="1"/>
      <protection locked="0"/>
    </xf>
    <xf numFmtId="37" fontId="0" fillId="0" borderId="51" xfId="0" applyNumberFormat="1" applyBorder="1" applyAlignment="1" applyProtection="1">
      <alignment horizontal="right" vertical="center" wrapText="1"/>
      <protection locked="0"/>
    </xf>
    <xf numFmtId="37" fontId="0" fillId="0" borderId="18" xfId="0" applyNumberFormat="1" applyBorder="1" applyAlignment="1" applyProtection="1">
      <alignment horizontal="right" vertical="center" wrapText="1"/>
      <protection locked="0"/>
    </xf>
    <xf numFmtId="0" fontId="10" fillId="0" borderId="30" xfId="0" applyFont="1" applyBorder="1" applyAlignment="1">
      <alignment horizontal="left" vertical="top" wrapText="1"/>
    </xf>
    <xf numFmtId="0" fontId="10" fillId="0" borderId="0" xfId="0" applyFont="1" applyAlignment="1">
      <alignment horizontal="left" vertical="top" wrapText="1"/>
    </xf>
    <xf numFmtId="0" fontId="10" fillId="0" borderId="31" xfId="0" applyFont="1" applyBorder="1" applyAlignment="1">
      <alignment horizontal="left" vertical="top" wrapText="1"/>
    </xf>
    <xf numFmtId="0" fontId="10" fillId="0" borderId="31" xfId="0" applyFont="1" applyBorder="1" applyAlignment="1">
      <alignment horizontal="center" vertical="top" wrapText="1"/>
    </xf>
    <xf numFmtId="0" fontId="10" fillId="0" borderId="30" xfId="0" applyFont="1" applyBorder="1" applyAlignment="1">
      <alignment horizontal="left" vertical="top"/>
    </xf>
    <xf numFmtId="0" fontId="10" fillId="0" borderId="0" xfId="0" applyFont="1" applyAlignment="1">
      <alignment horizontal="left" vertical="top"/>
    </xf>
    <xf numFmtId="0" fontId="10" fillId="0" borderId="31" xfId="0" applyFont="1" applyBorder="1" applyAlignment="1">
      <alignment horizontal="left" vertical="top"/>
    </xf>
    <xf numFmtId="0" fontId="29" fillId="0" borderId="30" xfId="0" applyFont="1" applyBorder="1" applyAlignment="1">
      <alignment horizontal="left" vertical="top"/>
    </xf>
    <xf numFmtId="0" fontId="7" fillId="0" borderId="30" xfId="1" quotePrefix="1" applyBorder="1" applyAlignment="1" applyProtection="1">
      <alignment horizontal="left" vertical="top"/>
    </xf>
    <xf numFmtId="0" fontId="11" fillId="0" borderId="30" xfId="0" applyFont="1" applyBorder="1"/>
    <xf numFmtId="0" fontId="0" fillId="0" borderId="30" xfId="0" applyBorder="1"/>
    <xf numFmtId="0" fontId="0" fillId="0" borderId="30" xfId="0" applyBorder="1" applyAlignment="1">
      <alignment wrapText="1"/>
    </xf>
    <xf numFmtId="0" fontId="0" fillId="0" borderId="31" xfId="0" applyBorder="1"/>
    <xf numFmtId="0" fontId="18" fillId="0" borderId="0" xfId="0" applyFont="1"/>
    <xf numFmtId="0" fontId="18" fillId="0" borderId="31" xfId="0" applyFont="1" applyBorder="1"/>
    <xf numFmtId="0" fontId="27" fillId="0" borderId="0" xfId="0" applyFont="1"/>
    <xf numFmtId="0" fontId="5" fillId="0" borderId="30" xfId="0" applyFont="1" applyBorder="1" applyAlignment="1">
      <alignment horizontal="left" vertical="top" wrapText="1"/>
    </xf>
    <xf numFmtId="0" fontId="5" fillId="0" borderId="0" xfId="0" applyFont="1" applyAlignment="1">
      <alignment horizontal="left" vertical="top" wrapText="1"/>
    </xf>
    <xf numFmtId="0" fontId="7" fillId="0" borderId="31" xfId="1" applyFill="1" applyBorder="1" applyAlignment="1" applyProtection="1">
      <alignment horizontal="left" vertical="top" wrapText="1"/>
    </xf>
    <xf numFmtId="0" fontId="4" fillId="0" borderId="0" xfId="0" quotePrefix="1" applyFont="1"/>
    <xf numFmtId="0" fontId="0" fillId="0" borderId="32" xfId="0" applyBorder="1"/>
    <xf numFmtId="0" fontId="0" fillId="0" borderId="33" xfId="0" applyBorder="1"/>
    <xf numFmtId="0" fontId="0" fillId="0" borderId="34" xfId="0" applyBorder="1"/>
    <xf numFmtId="0" fontId="36" fillId="0" borderId="0" xfId="0" applyFont="1"/>
    <xf numFmtId="0" fontId="2" fillId="30" borderId="9" xfId="0" applyFont="1" applyFill="1" applyBorder="1" applyAlignment="1" applyProtection="1">
      <alignment vertical="center" wrapText="1"/>
      <protection locked="0"/>
    </xf>
    <xf numFmtId="0" fontId="2" fillId="27" borderId="9" xfId="0" applyFont="1" applyFill="1" applyBorder="1" applyAlignment="1" applyProtection="1">
      <alignment vertical="center" wrapText="1"/>
      <protection locked="0"/>
    </xf>
    <xf numFmtId="0" fontId="2" fillId="28" borderId="9" xfId="0" applyFont="1" applyFill="1" applyBorder="1" applyAlignment="1" applyProtection="1">
      <alignment vertical="center" wrapText="1"/>
      <protection locked="0"/>
    </xf>
    <xf numFmtId="0" fontId="2" fillId="22" borderId="9" xfId="0" applyFont="1" applyFill="1" applyBorder="1" applyAlignment="1" applyProtection="1">
      <alignment vertical="center" wrapText="1"/>
      <protection locked="0"/>
    </xf>
    <xf numFmtId="0" fontId="1" fillId="29" borderId="9" xfId="0" applyFont="1" applyFill="1" applyBorder="1" applyAlignment="1" applyProtection="1">
      <alignment vertical="center" wrapText="1"/>
      <protection locked="0"/>
    </xf>
    <xf numFmtId="0" fontId="0" fillId="2" borderId="9" xfId="0" applyFill="1" applyBorder="1" applyAlignment="1">
      <alignment wrapText="1"/>
    </xf>
    <xf numFmtId="0" fontId="2" fillId="23" borderId="9" xfId="0" applyFont="1" applyFill="1" applyBorder="1" applyAlignment="1" applyProtection="1">
      <alignment vertical="center" wrapText="1"/>
      <protection locked="0"/>
    </xf>
    <xf numFmtId="0" fontId="1" fillId="15" borderId="9" xfId="0" applyFont="1" applyFill="1" applyBorder="1" applyAlignment="1" applyProtection="1">
      <alignment vertical="center" wrapText="1"/>
      <protection locked="0"/>
    </xf>
    <xf numFmtId="0" fontId="2" fillId="10" borderId="9" xfId="0" applyFont="1" applyFill="1" applyBorder="1" applyAlignment="1" applyProtection="1">
      <alignment vertical="center" wrapText="1"/>
      <protection locked="0"/>
    </xf>
    <xf numFmtId="0" fontId="5" fillId="31" borderId="9" xfId="0" applyFont="1" applyFill="1" applyBorder="1" applyAlignment="1" applyProtection="1">
      <alignment vertical="center" wrapText="1"/>
      <protection locked="0"/>
    </xf>
    <xf numFmtId="0" fontId="5" fillId="32" borderId="9" xfId="0" applyFont="1" applyFill="1" applyBorder="1" applyAlignment="1" applyProtection="1">
      <alignment vertical="center" wrapText="1"/>
      <protection locked="0"/>
    </xf>
    <xf numFmtId="0" fontId="5" fillId="33" borderId="9" xfId="0" applyFont="1" applyFill="1" applyBorder="1" applyAlignment="1" applyProtection="1">
      <alignment vertical="center" wrapText="1"/>
      <protection locked="0"/>
    </xf>
    <xf numFmtId="0" fontId="5" fillId="25" borderId="9" xfId="0" applyFont="1" applyFill="1" applyBorder="1" applyAlignment="1" applyProtection="1">
      <alignment vertical="center" wrapText="1"/>
      <protection locked="0"/>
    </xf>
    <xf numFmtId="0" fontId="5" fillId="30" borderId="9" xfId="0" applyFont="1" applyFill="1" applyBorder="1" applyAlignment="1" applyProtection="1">
      <alignment vertical="center" wrapText="1"/>
      <protection locked="0"/>
    </xf>
    <xf numFmtId="0" fontId="5" fillId="30" borderId="8" xfId="0" applyFont="1" applyFill="1" applyBorder="1" applyAlignment="1" applyProtection="1">
      <alignment vertical="center" wrapText="1"/>
      <protection locked="0"/>
    </xf>
    <xf numFmtId="0" fontId="5" fillId="15" borderId="78" xfId="0" applyFont="1" applyFill="1" applyBorder="1" applyAlignment="1" applyProtection="1">
      <alignment horizontal="center"/>
      <protection locked="0"/>
    </xf>
    <xf numFmtId="171" fontId="0" fillId="0" borderId="62" xfId="6" applyNumberFormat="1" applyFont="1" applyBorder="1" applyAlignment="1">
      <alignment vertical="center" wrapText="1"/>
    </xf>
    <xf numFmtId="0" fontId="0" fillId="0" borderId="26" xfId="0" applyBorder="1" applyAlignment="1" applyProtection="1">
      <alignment vertical="center" wrapText="1"/>
      <protection locked="0"/>
    </xf>
    <xf numFmtId="171" fontId="0" fillId="0" borderId="71" xfId="6" applyNumberFormat="1" applyFont="1" applyBorder="1" applyAlignment="1">
      <alignment vertical="center" wrapText="1"/>
    </xf>
    <xf numFmtId="0" fontId="0" fillId="0" borderId="31" xfId="0" applyBorder="1" applyAlignment="1">
      <alignment wrapText="1"/>
    </xf>
    <xf numFmtId="0" fontId="18" fillId="0" borderId="30" xfId="0" applyFont="1" applyBorder="1"/>
    <xf numFmtId="0" fontId="0" fillId="0" borderId="0" xfId="0" quotePrefix="1" applyAlignment="1">
      <alignment horizontal="left" vertical="center" wrapText="1"/>
    </xf>
    <xf numFmtId="0" fontId="0" fillId="0" borderId="31" xfId="0" quotePrefix="1" applyBorder="1" applyAlignment="1">
      <alignment horizontal="left" vertical="center" wrapText="1"/>
    </xf>
    <xf numFmtId="0" fontId="0" fillId="0" borderId="0" xfId="0" quotePrefix="1" applyAlignment="1">
      <alignment horizontal="left" vertical="top" wrapText="1"/>
    </xf>
    <xf numFmtId="0" fontId="0" fillId="0" borderId="31" xfId="0" quotePrefix="1" applyBorder="1" applyAlignment="1">
      <alignment horizontal="left" vertical="top" wrapText="1"/>
    </xf>
    <xf numFmtId="0" fontId="0" fillId="0" borderId="0" xfId="0" applyAlignment="1">
      <alignment horizontal="left" wrapText="1"/>
    </xf>
    <xf numFmtId="0" fontId="0" fillId="0" borderId="31" xfId="0" applyBorder="1" applyAlignment="1">
      <alignment horizontal="left" wrapText="1"/>
    </xf>
    <xf numFmtId="167" fontId="0" fillId="0" borderId="9" xfId="0" applyNumberFormat="1" applyBorder="1" applyAlignment="1">
      <alignment horizontal="right" vertical="center" wrapText="1"/>
    </xf>
    <xf numFmtId="0" fontId="0" fillId="0" borderId="9" xfId="0" applyBorder="1" applyAlignment="1">
      <alignment vertical="center" wrapText="1"/>
    </xf>
    <xf numFmtId="0" fontId="12" fillId="0" borderId="31" xfId="0" applyFont="1" applyBorder="1" applyAlignment="1" applyProtection="1">
      <alignment horizontal="center"/>
      <protection locked="0"/>
    </xf>
    <xf numFmtId="0" fontId="1" fillId="11" borderId="66" xfId="0" applyFont="1" applyFill="1" applyBorder="1" applyAlignment="1">
      <alignment horizontal="center" vertical="center" wrapText="1"/>
    </xf>
    <xf numFmtId="37" fontId="1" fillId="11" borderId="66" xfId="0" applyNumberFormat="1" applyFont="1" applyFill="1" applyBorder="1" applyAlignment="1">
      <alignment horizontal="center" vertical="center" wrapText="1"/>
    </xf>
    <xf numFmtId="37" fontId="1" fillId="11" borderId="43" xfId="0" applyNumberFormat="1" applyFont="1" applyFill="1" applyBorder="1" applyAlignment="1">
      <alignment horizontal="center" vertical="center" wrapText="1"/>
    </xf>
    <xf numFmtId="37" fontId="1" fillId="11" borderId="60" xfId="0" applyNumberFormat="1" applyFont="1" applyFill="1" applyBorder="1" applyAlignment="1">
      <alignment horizontal="center" vertical="center" wrapText="1"/>
    </xf>
    <xf numFmtId="37" fontId="1" fillId="11" borderId="61" xfId="0" applyNumberFormat="1" applyFont="1" applyFill="1" applyBorder="1" applyAlignment="1">
      <alignment horizontal="center" vertical="center" wrapText="1"/>
    </xf>
    <xf numFmtId="37" fontId="1" fillId="11" borderId="63" xfId="0" applyNumberFormat="1" applyFont="1" applyFill="1" applyBorder="1" applyAlignment="1">
      <alignment horizontal="center" vertical="center" wrapText="1"/>
    </xf>
    <xf numFmtId="37" fontId="1" fillId="11" borderId="67" xfId="0" applyNumberFormat="1" applyFont="1" applyFill="1" applyBorder="1" applyAlignment="1">
      <alignment horizontal="center" vertical="center" wrapText="1"/>
    </xf>
    <xf numFmtId="37" fontId="1" fillId="11" borderId="68" xfId="0" applyNumberFormat="1" applyFont="1" applyFill="1" applyBorder="1" applyAlignment="1">
      <alignment horizontal="center" vertical="center" wrapText="1"/>
    </xf>
    <xf numFmtId="0" fontId="1" fillId="15" borderId="66" xfId="0" applyFont="1" applyFill="1" applyBorder="1" applyAlignment="1">
      <alignment horizontal="center" vertical="center" wrapText="1"/>
    </xf>
    <xf numFmtId="37" fontId="1" fillId="15" borderId="66" xfId="0" applyNumberFormat="1" applyFont="1" applyFill="1" applyBorder="1" applyAlignment="1">
      <alignment horizontal="center" vertical="center" wrapText="1"/>
    </xf>
    <xf numFmtId="0" fontId="0" fillId="15" borderId="0" xfId="0" applyFill="1" applyAlignment="1">
      <alignment vertical="center"/>
    </xf>
    <xf numFmtId="37" fontId="1" fillId="15" borderId="53" xfId="0" applyNumberFormat="1" applyFont="1" applyFill="1" applyBorder="1" applyAlignment="1">
      <alignment horizontal="center" vertical="center" wrapText="1"/>
    </xf>
    <xf numFmtId="37" fontId="1" fillId="15" borderId="54" xfId="0" applyNumberFormat="1" applyFont="1" applyFill="1" applyBorder="1" applyAlignment="1">
      <alignment horizontal="center" vertical="center" wrapText="1"/>
    </xf>
    <xf numFmtId="37" fontId="1" fillId="15" borderId="68" xfId="0" applyNumberFormat="1" applyFont="1" applyFill="1" applyBorder="1" applyAlignment="1">
      <alignment horizontal="center" vertical="center" wrapText="1"/>
    </xf>
    <xf numFmtId="0" fontId="1" fillId="23" borderId="66" xfId="0" applyFont="1" applyFill="1" applyBorder="1" applyAlignment="1">
      <alignment horizontal="center" vertical="center" wrapText="1"/>
    </xf>
    <xf numFmtId="37" fontId="1" fillId="23" borderId="66" xfId="0" applyNumberFormat="1" applyFont="1" applyFill="1" applyBorder="1" applyAlignment="1">
      <alignment horizontal="center" vertical="center" wrapText="1"/>
    </xf>
    <xf numFmtId="37" fontId="1" fillId="23" borderId="43" xfId="0" applyNumberFormat="1" applyFont="1" applyFill="1" applyBorder="1" applyAlignment="1">
      <alignment horizontal="center" vertical="center" wrapText="1"/>
    </xf>
    <xf numFmtId="37" fontId="1" fillId="23" borderId="67" xfId="0" applyNumberFormat="1" applyFont="1" applyFill="1" applyBorder="1" applyAlignment="1">
      <alignment horizontal="center" vertical="center" wrapText="1"/>
    </xf>
    <xf numFmtId="37" fontId="1" fillId="23" borderId="68" xfId="0" applyNumberFormat="1" applyFont="1" applyFill="1" applyBorder="1" applyAlignment="1">
      <alignment horizontal="center" vertical="center" wrapText="1"/>
    </xf>
    <xf numFmtId="0" fontId="1" fillId="11" borderId="12" xfId="0" applyFont="1" applyFill="1" applyBorder="1" applyAlignment="1">
      <alignment horizontal="center" vertical="center" wrapText="1"/>
    </xf>
    <xf numFmtId="0" fontId="4" fillId="11" borderId="12" xfId="0" applyFont="1" applyFill="1" applyBorder="1" applyAlignment="1">
      <alignment horizontal="center" vertical="center" wrapText="1"/>
    </xf>
    <xf numFmtId="37" fontId="1" fillId="11" borderId="12" xfId="0" applyNumberFormat="1" applyFont="1" applyFill="1" applyBorder="1" applyAlignment="1">
      <alignment horizontal="center" vertical="center" wrapText="1"/>
    </xf>
    <xf numFmtId="37" fontId="4" fillId="11" borderId="12" xfId="0" applyNumberFormat="1" applyFont="1" applyFill="1" applyBorder="1" applyAlignment="1">
      <alignment horizontal="center" vertical="center" wrapText="1"/>
    </xf>
    <xf numFmtId="37" fontId="1" fillId="11" borderId="22" xfId="0" applyNumberFormat="1" applyFont="1" applyFill="1" applyBorder="1" applyAlignment="1">
      <alignment horizontal="center" vertical="center" wrapText="1"/>
    </xf>
    <xf numFmtId="37" fontId="4" fillId="11" borderId="60" xfId="0" applyNumberFormat="1" applyFont="1" applyFill="1" applyBorder="1" applyAlignment="1">
      <alignment horizontal="center" vertical="center" wrapText="1"/>
    </xf>
    <xf numFmtId="37" fontId="4" fillId="11" borderId="63" xfId="0" applyNumberFormat="1" applyFont="1" applyFill="1" applyBorder="1" applyAlignment="1">
      <alignment horizontal="center" vertical="center" wrapText="1"/>
    </xf>
    <xf numFmtId="37" fontId="4" fillId="11" borderId="58" xfId="0" applyNumberFormat="1" applyFont="1" applyFill="1" applyBorder="1" applyAlignment="1">
      <alignment horizontal="center" vertical="center" wrapText="1"/>
    </xf>
    <xf numFmtId="37" fontId="4" fillId="11" borderId="57" xfId="0" applyNumberFormat="1" applyFont="1" applyFill="1" applyBorder="1" applyAlignment="1">
      <alignment horizontal="center" vertical="center" wrapText="1"/>
    </xf>
    <xf numFmtId="37" fontId="1" fillId="11" borderId="56" xfId="0" applyNumberFormat="1" applyFont="1" applyFill="1" applyBorder="1" applyAlignment="1">
      <alignment horizontal="center" vertical="center" wrapText="1"/>
    </xf>
    <xf numFmtId="37" fontId="2" fillId="15" borderId="67" xfId="0" applyNumberFormat="1" applyFont="1" applyFill="1" applyBorder="1" applyAlignment="1">
      <alignment horizontal="center" vertical="center" wrapText="1"/>
    </xf>
    <xf numFmtId="37" fontId="2" fillId="23" borderId="67" xfId="0" applyNumberFormat="1" applyFont="1" applyFill="1" applyBorder="1" applyAlignment="1">
      <alignment horizontal="center" vertical="center" wrapText="1"/>
    </xf>
    <xf numFmtId="171" fontId="0" fillId="0" borderId="10" xfId="6" applyNumberFormat="1" applyFont="1" applyBorder="1" applyAlignment="1">
      <alignment vertical="center" wrapText="1"/>
    </xf>
    <xf numFmtId="0" fontId="0" fillId="0" borderId="26" xfId="0" applyBorder="1" applyAlignment="1">
      <alignment vertical="center" wrapText="1"/>
    </xf>
    <xf numFmtId="0" fontId="1" fillId="23" borderId="63" xfId="0" applyFont="1" applyFill="1" applyBorder="1" applyAlignment="1">
      <alignment horizontal="center" vertical="center" wrapText="1"/>
    </xf>
    <xf numFmtId="0" fontId="2" fillId="23" borderId="63" xfId="0" applyFont="1" applyFill="1" applyBorder="1" applyAlignment="1">
      <alignment horizontal="center" vertical="center" wrapText="1"/>
    </xf>
    <xf numFmtId="37" fontId="1" fillId="15" borderId="67" xfId="0" applyNumberFormat="1" applyFont="1" applyFill="1" applyBorder="1" applyAlignment="1">
      <alignment horizontal="center" vertical="center" wrapText="1"/>
    </xf>
    <xf numFmtId="37" fontId="0" fillId="0" borderId="27" xfId="0" applyNumberFormat="1" applyBorder="1" applyAlignment="1">
      <alignment vertical="center" wrapText="1"/>
    </xf>
    <xf numFmtId="37" fontId="0" fillId="0" borderId="64" xfId="0" applyNumberFormat="1" applyBorder="1" applyAlignment="1">
      <alignment vertical="center" wrapText="1"/>
    </xf>
    <xf numFmtId="37" fontId="0" fillId="0" borderId="26" xfId="0" applyNumberFormat="1" applyBorder="1" applyAlignment="1">
      <alignment vertical="center" wrapText="1"/>
    </xf>
    <xf numFmtId="171" fontId="0" fillId="0" borderId="82" xfId="6" applyNumberFormat="1"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37" fontId="0" fillId="15" borderId="63" xfId="0" applyNumberFormat="1" applyFill="1" applyBorder="1" applyAlignment="1">
      <alignment vertical="center" wrapText="1"/>
    </xf>
    <xf numFmtId="0" fontId="1" fillId="15" borderId="67" xfId="0" applyFont="1" applyFill="1" applyBorder="1" applyAlignment="1">
      <alignment horizontal="center" vertical="center" wrapText="1"/>
    </xf>
    <xf numFmtId="0" fontId="2" fillId="15" borderId="67" xfId="0" applyFont="1" applyFill="1" applyBorder="1" applyAlignment="1">
      <alignment horizontal="center" vertical="center" wrapText="1"/>
    </xf>
    <xf numFmtId="171" fontId="0" fillId="0" borderId="48" xfId="6" applyNumberFormat="1" applyFont="1" applyBorder="1" applyAlignment="1" applyProtection="1">
      <alignment vertical="center" wrapText="1"/>
    </xf>
    <xf numFmtId="0" fontId="0" fillId="0" borderId="80" xfId="0" applyBorder="1" applyAlignment="1">
      <alignment horizontal="left" vertical="center" wrapText="1"/>
    </xf>
    <xf numFmtId="37" fontId="0" fillId="0" borderId="80" xfId="0" applyNumberFormat="1" applyBorder="1" applyAlignment="1">
      <alignment vertical="center" wrapText="1"/>
    </xf>
    <xf numFmtId="171" fontId="0" fillId="0" borderId="71" xfId="6" applyNumberFormat="1" applyFont="1" applyBorder="1" applyAlignment="1" applyProtection="1">
      <alignment vertical="center" wrapText="1"/>
    </xf>
    <xf numFmtId="37" fontId="0" fillId="0" borderId="10" xfId="0" applyNumberFormat="1" applyBorder="1" applyAlignment="1">
      <alignment vertical="center" wrapText="1"/>
    </xf>
    <xf numFmtId="37" fontId="0" fillId="0" borderId="21" xfId="0" applyNumberFormat="1" applyBorder="1" applyAlignment="1">
      <alignment vertical="center" wrapText="1"/>
    </xf>
    <xf numFmtId="37" fontId="0" fillId="9" borderId="55" xfId="0" applyNumberFormat="1" applyFill="1" applyBorder="1" applyAlignment="1">
      <alignment vertical="center" wrapText="1"/>
    </xf>
    <xf numFmtId="37" fontId="0" fillId="9" borderId="74" xfId="0" applyNumberFormat="1" applyFill="1" applyBorder="1" applyAlignment="1">
      <alignment vertical="center" wrapText="1"/>
    </xf>
    <xf numFmtId="37" fontId="0" fillId="0" borderId="71" xfId="0" applyNumberFormat="1" applyBorder="1" applyAlignment="1">
      <alignment vertical="center" wrapText="1"/>
    </xf>
    <xf numFmtId="166" fontId="0" fillId="0" borderId="0" xfId="0" applyNumberFormat="1"/>
    <xf numFmtId="166" fontId="0" fillId="0" borderId="9" xfId="0" applyNumberFormat="1" applyBorder="1" applyProtection="1">
      <protection locked="0"/>
    </xf>
    <xf numFmtId="37" fontId="0" fillId="23" borderId="43" xfId="0" applyNumberFormat="1" applyFill="1" applyBorder="1" applyAlignment="1">
      <alignment vertical="center" wrapText="1"/>
    </xf>
    <xf numFmtId="37" fontId="0" fillId="23" borderId="0" xfId="0" applyNumberFormat="1" applyFill="1" applyAlignment="1">
      <alignment vertical="center" wrapText="1"/>
    </xf>
    <xf numFmtId="37" fontId="0" fillId="23" borderId="63" xfId="0" applyNumberFormat="1" applyFill="1" applyBorder="1" applyAlignment="1">
      <alignment vertical="center" wrapText="1"/>
    </xf>
    <xf numFmtId="0" fontId="0" fillId="0" borderId="80" xfId="0" applyBorder="1" applyAlignment="1">
      <alignment vertical="center" wrapText="1"/>
    </xf>
    <xf numFmtId="171" fontId="0" fillId="0" borderId="80" xfId="6" applyNumberFormat="1" applyFont="1" applyBorder="1" applyAlignment="1" applyProtection="1">
      <alignment vertical="center" wrapText="1"/>
    </xf>
    <xf numFmtId="165" fontId="0" fillId="0" borderId="19" xfId="0" applyNumberFormat="1" applyBorder="1" applyAlignment="1">
      <alignment vertical="center"/>
    </xf>
    <xf numFmtId="165" fontId="0" fillId="0" borderId="9" xfId="0" applyNumberFormat="1" applyBorder="1" applyAlignment="1">
      <alignment vertical="center"/>
    </xf>
    <xf numFmtId="170" fontId="9" fillId="0" borderId="10" xfId="6" applyNumberFormat="1" applyFont="1" applyBorder="1" applyAlignment="1">
      <alignment vertical="center"/>
    </xf>
    <xf numFmtId="174" fontId="0" fillId="0" borderId="0" xfId="0" applyNumberFormat="1" applyAlignment="1" applyProtection="1">
      <alignment vertical="center"/>
      <protection locked="0"/>
    </xf>
    <xf numFmtId="0" fontId="18" fillId="0" borderId="30" xfId="0" applyFont="1" applyBorder="1"/>
    <xf numFmtId="0" fontId="18" fillId="0" borderId="0" xfId="0" applyFont="1"/>
    <xf numFmtId="0" fontId="18" fillId="0" borderId="31" xfId="0" applyFont="1" applyBorder="1"/>
    <xf numFmtId="0" fontId="0" fillId="0" borderId="38" xfId="0" applyBorder="1"/>
    <xf numFmtId="0" fontId="0" fillId="0" borderId="2" xfId="0" applyBorder="1"/>
    <xf numFmtId="0" fontId="0" fillId="0" borderId="39" xfId="0" applyBorder="1"/>
    <xf numFmtId="0" fontId="0" fillId="0" borderId="0" xfId="0" quotePrefix="1" applyAlignment="1">
      <alignment horizontal="left" vertical="center" wrapText="1"/>
    </xf>
    <xf numFmtId="0" fontId="0" fillId="0" borderId="31" xfId="0" quotePrefix="1" applyBorder="1" applyAlignment="1">
      <alignment horizontal="left" vertical="center" wrapText="1"/>
    </xf>
    <xf numFmtId="0" fontId="8" fillId="0" borderId="0" xfId="0" quotePrefix="1" applyFont="1" applyAlignment="1">
      <alignment horizontal="left" vertical="top" wrapText="1"/>
    </xf>
    <xf numFmtId="0" fontId="8" fillId="0" borderId="31" xfId="0" quotePrefix="1" applyFont="1" applyBorder="1" applyAlignment="1">
      <alignment horizontal="left" vertical="top" wrapText="1"/>
    </xf>
    <xf numFmtId="0" fontId="0" fillId="0" borderId="0" xfId="0" quotePrefix="1" applyAlignment="1">
      <alignment horizontal="left" vertical="top" wrapText="1"/>
    </xf>
    <xf numFmtId="0" fontId="0" fillId="0" borderId="31" xfId="0" quotePrefix="1" applyBorder="1" applyAlignment="1">
      <alignment horizontal="left" vertical="top" wrapText="1"/>
    </xf>
    <xf numFmtId="0" fontId="0" fillId="0" borderId="0" xfId="0" applyAlignment="1">
      <alignment horizontal="left" wrapText="1"/>
    </xf>
    <xf numFmtId="0" fontId="0" fillId="0" borderId="31" xfId="0" applyBorder="1" applyAlignment="1">
      <alignment horizontal="left" wrapText="1"/>
    </xf>
    <xf numFmtId="0" fontId="0" fillId="0" borderId="0" xfId="0" quotePrefix="1" applyAlignment="1">
      <alignment horizontal="left" wrapText="1"/>
    </xf>
    <xf numFmtId="0" fontId="0" fillId="0" borderId="63" xfId="0" applyBorder="1" applyAlignment="1">
      <alignment horizontal="left" wrapText="1"/>
    </xf>
    <xf numFmtId="0" fontId="18" fillId="0" borderId="0" xfId="0" applyFont="1" applyAlignment="1">
      <alignment horizontal="left" wrapText="1"/>
    </xf>
    <xf numFmtId="0" fontId="18" fillId="0" borderId="31" xfId="0" applyFont="1" applyBorder="1" applyAlignment="1">
      <alignment horizontal="left" wrapText="1"/>
    </xf>
    <xf numFmtId="0" fontId="31" fillId="0" borderId="27" xfId="0" applyFont="1" applyBorder="1" applyAlignment="1">
      <alignment horizontal="center" vertical="top" wrapText="1"/>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6" fillId="0" borderId="36" xfId="0" applyFont="1" applyBorder="1" applyAlignment="1">
      <alignment horizontal="left" vertical="top" wrapText="1"/>
    </xf>
    <xf numFmtId="0" fontId="26" fillId="0" borderId="7" xfId="0" applyFont="1" applyBorder="1" applyAlignment="1">
      <alignment horizontal="left" vertical="top" wrapText="1"/>
    </xf>
    <xf numFmtId="0" fontId="26" fillId="0" borderId="37" xfId="0" applyFont="1" applyBorder="1" applyAlignment="1">
      <alignment horizontal="left" vertical="top" wrapText="1"/>
    </xf>
    <xf numFmtId="0" fontId="15" fillId="0" borderId="30" xfId="0" applyFont="1" applyBorder="1"/>
    <xf numFmtId="0" fontId="15" fillId="0" borderId="0" xfId="0" applyFont="1"/>
    <xf numFmtId="0" fontId="15" fillId="0" borderId="31" xfId="0" applyFont="1" applyBorder="1"/>
    <xf numFmtId="0" fontId="0" fillId="0" borderId="0" xfId="0" applyAlignment="1">
      <alignment horizontal="left" vertical="top" wrapText="1"/>
    </xf>
    <xf numFmtId="0" fontId="0" fillId="0" borderId="31" xfId="0" applyBorder="1" applyAlignment="1">
      <alignment horizontal="left" vertical="top" wrapText="1"/>
    </xf>
    <xf numFmtId="0" fontId="34" fillId="4" borderId="3" xfId="0" applyFont="1" applyFill="1" applyBorder="1" applyAlignment="1" applyProtection="1">
      <alignment horizontal="left" vertical="top"/>
      <protection locked="0"/>
    </xf>
    <xf numFmtId="0" fontId="34" fillId="4" borderId="5" xfId="0" applyFont="1" applyFill="1" applyBorder="1" applyAlignment="1" applyProtection="1">
      <alignment horizontal="left" vertical="top"/>
      <protection locked="0"/>
    </xf>
    <xf numFmtId="0" fontId="32" fillId="0" borderId="0" xfId="0" applyFont="1" applyAlignment="1">
      <alignment horizontal="left" vertical="center" wrapText="1"/>
    </xf>
    <xf numFmtId="0" fontId="16" fillId="0" borderId="0" xfId="0" applyFont="1" applyAlignment="1">
      <alignment horizontal="left" vertical="center" wrapText="1"/>
    </xf>
    <xf numFmtId="0" fontId="0" fillId="4" borderId="0" xfId="0" applyFill="1" applyAlignment="1" applyProtection="1">
      <alignment horizontal="center"/>
      <protection locked="0"/>
    </xf>
    <xf numFmtId="0" fontId="2" fillId="0" borderId="6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64" xfId="0" applyFont="1" applyBorder="1" applyAlignment="1">
      <alignment horizontal="center"/>
    </xf>
    <xf numFmtId="0" fontId="5" fillId="0" borderId="11" xfId="0" applyFont="1" applyBorder="1" applyAlignment="1">
      <alignment horizontal="center"/>
    </xf>
    <xf numFmtId="0" fontId="5" fillId="0" borderId="65" xfId="0" applyFont="1" applyBorder="1" applyAlignment="1">
      <alignment horizontal="center"/>
    </xf>
    <xf numFmtId="167" fontId="2" fillId="0" borderId="76" xfId="0" applyNumberFormat="1" applyFont="1" applyBorder="1" applyAlignment="1">
      <alignment vertical="center"/>
    </xf>
    <xf numFmtId="167" fontId="2" fillId="0" borderId="75" xfId="0" applyNumberFormat="1" applyFont="1" applyBorder="1" applyAlignment="1">
      <alignment vertical="center"/>
    </xf>
    <xf numFmtId="0" fontId="1" fillId="18" borderId="44" xfId="0" applyFont="1" applyFill="1" applyBorder="1" applyAlignment="1">
      <alignment horizontal="left" vertical="center" wrapText="1"/>
    </xf>
    <xf numFmtId="0" fontId="1" fillId="18" borderId="45" xfId="0" applyFont="1" applyFill="1" applyBorder="1" applyAlignment="1">
      <alignment horizontal="left" vertical="center" wrapText="1"/>
    </xf>
    <xf numFmtId="0" fontId="1" fillId="18" borderId="46" xfId="0" applyFont="1" applyFill="1" applyBorder="1" applyAlignment="1">
      <alignment horizontal="left" vertical="center" wrapText="1"/>
    </xf>
    <xf numFmtId="172" fontId="0" fillId="0" borderId="9" xfId="4" applyNumberFormat="1" applyFont="1" applyBorder="1" applyAlignment="1" applyProtection="1">
      <alignment horizontal="right" vertical="center" wrapText="1"/>
    </xf>
    <xf numFmtId="172" fontId="0" fillId="0" borderId="9" xfId="0" applyNumberFormat="1" applyBorder="1" applyAlignment="1">
      <alignment horizontal="right" vertical="center" wrapText="1"/>
    </xf>
    <xf numFmtId="9" fontId="0" fillId="0" borderId="9" xfId="2" applyFont="1" applyBorder="1" applyAlignment="1" applyProtection="1">
      <alignment horizontal="right" vertical="center" wrapText="1"/>
    </xf>
    <xf numFmtId="167" fontId="2" fillId="2" borderId="9" xfId="0" applyNumberFormat="1" applyFont="1" applyFill="1" applyBorder="1" applyAlignment="1">
      <alignment horizontal="right" vertical="center" wrapText="1"/>
    </xf>
    <xf numFmtId="37" fontId="2" fillId="17" borderId="44" xfId="0" applyNumberFormat="1" applyFont="1" applyFill="1" applyBorder="1" applyAlignment="1">
      <alignment horizontal="center"/>
    </xf>
    <xf numFmtId="37" fontId="2" fillId="17" borderId="45" xfId="0" applyNumberFormat="1" applyFont="1" applyFill="1" applyBorder="1" applyAlignment="1">
      <alignment horizontal="center"/>
    </xf>
    <xf numFmtId="167" fontId="2" fillId="0" borderId="53" xfId="0" applyNumberFormat="1" applyFont="1" applyBorder="1" applyAlignment="1">
      <alignment vertical="center"/>
    </xf>
    <xf numFmtId="167" fontId="2" fillId="0" borderId="77" xfId="0" applyNumberFormat="1" applyFont="1" applyBorder="1" applyAlignment="1">
      <alignment vertical="center"/>
    </xf>
    <xf numFmtId="0" fontId="1" fillId="14" borderId="22" xfId="0" applyFont="1" applyFill="1" applyBorder="1" applyAlignment="1">
      <alignment horizontal="left" vertical="center" wrapText="1"/>
    </xf>
    <xf numFmtId="0" fontId="1" fillId="14" borderId="40" xfId="0" applyFont="1" applyFill="1" applyBorder="1" applyAlignment="1">
      <alignment horizontal="left" vertical="center" wrapText="1"/>
    </xf>
    <xf numFmtId="0" fontId="1" fillId="14" borderId="41" xfId="0" applyFont="1" applyFill="1" applyBorder="1" applyAlignment="1">
      <alignment horizontal="left" vertical="center" wrapText="1"/>
    </xf>
    <xf numFmtId="0" fontId="1" fillId="14" borderId="21" xfId="0" applyFont="1" applyFill="1" applyBorder="1" applyAlignment="1">
      <alignment horizontal="left" vertical="center" wrapText="1"/>
    </xf>
    <xf numFmtId="0" fontId="1" fillId="14" borderId="17" xfId="0" applyFont="1" applyFill="1" applyBorder="1" applyAlignment="1">
      <alignment horizontal="left" vertical="center" wrapText="1"/>
    </xf>
    <xf numFmtId="0" fontId="1" fillId="14" borderId="42" xfId="0" applyFont="1" applyFill="1" applyBorder="1" applyAlignment="1">
      <alignment horizontal="left" vertical="center" wrapText="1"/>
    </xf>
    <xf numFmtId="167" fontId="0" fillId="0" borderId="73" xfId="0" applyNumberFormat="1" applyBorder="1" applyAlignment="1">
      <alignment horizontal="right" vertical="center" wrapText="1"/>
    </xf>
    <xf numFmtId="167" fontId="0" fillId="0" borderId="22" xfId="0" applyNumberFormat="1" applyBorder="1" applyAlignment="1">
      <alignment horizontal="right" vertical="center" wrapText="1"/>
    </xf>
    <xf numFmtId="0" fontId="1" fillId="17" borderId="10" xfId="0" applyFont="1" applyFill="1" applyBorder="1" applyAlignment="1">
      <alignment horizontal="left" vertical="center" wrapText="1"/>
    </xf>
    <xf numFmtId="0" fontId="1" fillId="17" borderId="11" xfId="0" applyFont="1" applyFill="1" applyBorder="1" applyAlignment="1">
      <alignment horizontal="left" vertical="center" wrapText="1"/>
    </xf>
    <xf numFmtId="0" fontId="1" fillId="17" borderId="19" xfId="0" applyFont="1" applyFill="1" applyBorder="1" applyAlignment="1">
      <alignment horizontal="left" vertical="center" wrapText="1"/>
    </xf>
    <xf numFmtId="167" fontId="0" fillId="0" borderId="20" xfId="0" applyNumberFormat="1" applyBorder="1" applyAlignment="1">
      <alignment vertical="center"/>
    </xf>
    <xf numFmtId="167" fontId="0" fillId="0" borderId="10" xfId="0" applyNumberFormat="1" applyBorder="1" applyAlignment="1">
      <alignment vertical="center"/>
    </xf>
    <xf numFmtId="172" fontId="0" fillId="0" borderId="12" xfId="4" applyNumberFormat="1" applyFont="1" applyFill="1" applyBorder="1" applyAlignment="1" applyProtection="1">
      <alignment horizontal="right" vertical="center" wrapText="1"/>
    </xf>
    <xf numFmtId="173" fontId="5" fillId="0" borderId="9" xfId="0" applyNumberFormat="1" applyFont="1" applyBorder="1" applyAlignment="1">
      <alignment horizontal="right" vertical="center" wrapText="1"/>
    </xf>
    <xf numFmtId="9" fontId="0" fillId="0" borderId="9" xfId="2" applyFont="1" applyBorder="1" applyAlignment="1" applyProtection="1">
      <alignment horizontal="right" vertical="center" wrapText="1"/>
      <protection locked="0"/>
    </xf>
    <xf numFmtId="9" fontId="5" fillId="0" borderId="9" xfId="2" applyFont="1" applyFill="1" applyBorder="1" applyAlignment="1" applyProtection="1">
      <alignment horizontal="right" vertical="center" wrapText="1"/>
    </xf>
    <xf numFmtId="9" fontId="2" fillId="2" borderId="9" xfId="2" applyFont="1" applyFill="1" applyBorder="1" applyAlignment="1" applyProtection="1">
      <alignment horizontal="right" vertical="center" wrapText="1"/>
    </xf>
    <xf numFmtId="172" fontId="0" fillId="0" borderId="10" xfId="4" applyNumberFormat="1" applyFont="1" applyBorder="1" applyAlignment="1" applyProtection="1">
      <alignment horizontal="center" vertical="center" wrapText="1"/>
    </xf>
    <xf numFmtId="172" fontId="0" fillId="0" borderId="19" xfId="4" applyNumberFormat="1" applyFont="1" applyBorder="1" applyAlignment="1" applyProtection="1">
      <alignment horizontal="center" vertical="center" wrapText="1"/>
    </xf>
    <xf numFmtId="37" fontId="0" fillId="15" borderId="43" xfId="0" applyNumberFormat="1" applyFill="1" applyBorder="1" applyAlignment="1">
      <alignment horizontal="right" vertical="center" wrapText="1"/>
    </xf>
    <xf numFmtId="37" fontId="0" fillId="15" borderId="0" xfId="0" applyNumberFormat="1" applyFill="1" applyAlignment="1">
      <alignment horizontal="right" vertical="center" wrapText="1"/>
    </xf>
    <xf numFmtId="173" fontId="0" fillId="0" borderId="12" xfId="4" applyNumberFormat="1" applyFont="1" applyFill="1" applyBorder="1" applyAlignment="1" applyProtection="1">
      <alignment horizontal="right" vertical="center" wrapText="1"/>
    </xf>
    <xf numFmtId="0" fontId="1" fillId="13" borderId="44" xfId="0" applyFont="1" applyFill="1" applyBorder="1" applyAlignment="1">
      <alignment horizontal="left" vertical="center" wrapText="1"/>
    </xf>
    <xf numFmtId="0" fontId="1" fillId="13" borderId="45" xfId="0" applyFont="1" applyFill="1" applyBorder="1" applyAlignment="1">
      <alignment horizontal="left" vertical="center" wrapText="1"/>
    </xf>
    <xf numFmtId="172" fontId="0" fillId="0" borderId="9" xfId="4" applyNumberFormat="1" applyFont="1" applyFill="1" applyBorder="1" applyAlignment="1" applyProtection="1">
      <alignment horizontal="right" vertical="center" wrapText="1"/>
    </xf>
    <xf numFmtId="9" fontId="5" fillId="0" borderId="9" xfId="2" applyFont="1" applyFill="1" applyBorder="1" applyAlignment="1" applyProtection="1">
      <alignment horizontal="right" vertical="center" wrapText="1"/>
      <protection locked="0"/>
    </xf>
    <xf numFmtId="9" fontId="8" fillId="0" borderId="9" xfId="2" applyFont="1" applyFill="1" applyBorder="1" applyAlignment="1" applyProtection="1">
      <alignment horizontal="right" vertical="center" wrapText="1"/>
    </xf>
    <xf numFmtId="0" fontId="23" fillId="15" borderId="10" xfId="0" applyFont="1" applyFill="1" applyBorder="1" applyAlignment="1">
      <alignment horizontal="left" vertical="center" wrapText="1"/>
    </xf>
    <xf numFmtId="0" fontId="23" fillId="15" borderId="11" xfId="0" applyFont="1" applyFill="1" applyBorder="1" applyAlignment="1">
      <alignment horizontal="left" vertical="center" wrapText="1"/>
    </xf>
    <xf numFmtId="0" fontId="23" fillId="15" borderId="81" xfId="0" applyFont="1" applyFill="1" applyBorder="1" applyAlignment="1">
      <alignment horizontal="left" vertical="center" wrapText="1"/>
    </xf>
    <xf numFmtId="167" fontId="0" fillId="0" borderId="26" xfId="0" applyNumberFormat="1" applyBorder="1" applyAlignment="1">
      <alignment vertical="center"/>
    </xf>
    <xf numFmtId="167" fontId="0" fillId="0" borderId="71" xfId="0" applyNumberFormat="1" applyBorder="1" applyAlignment="1">
      <alignment vertical="center"/>
    </xf>
    <xf numFmtId="0" fontId="1" fillId="15" borderId="21" xfId="0" applyFont="1" applyFill="1" applyBorder="1" applyAlignment="1">
      <alignment horizontal="left" vertical="center" wrapText="1"/>
    </xf>
    <xf numFmtId="0" fontId="1" fillId="15" borderId="17" xfId="0" applyFont="1" applyFill="1" applyBorder="1" applyAlignment="1">
      <alignment horizontal="left" vertical="center" wrapText="1"/>
    </xf>
    <xf numFmtId="0" fontId="1" fillId="15" borderId="42" xfId="0" applyFont="1" applyFill="1" applyBorder="1" applyAlignment="1">
      <alignment horizontal="left" vertical="center" wrapText="1"/>
    </xf>
    <xf numFmtId="0" fontId="23" fillId="15" borderId="19" xfId="0" applyFont="1" applyFill="1" applyBorder="1" applyAlignment="1">
      <alignment horizontal="left" vertical="center" wrapText="1"/>
    </xf>
    <xf numFmtId="167" fontId="8" fillId="0" borderId="23" xfId="4" applyNumberFormat="1" applyFont="1" applyFill="1" applyBorder="1" applyAlignment="1" applyProtection="1">
      <alignment horizontal="right" vertical="center" wrapText="1"/>
    </xf>
    <xf numFmtId="167" fontId="8" fillId="0" borderId="62" xfId="4" applyNumberFormat="1" applyFont="1" applyFill="1" applyBorder="1" applyAlignment="1" applyProtection="1">
      <alignment horizontal="right" vertical="center" wrapText="1"/>
    </xf>
    <xf numFmtId="0" fontId="1" fillId="15" borderId="9" xfId="0" applyFont="1" applyFill="1" applyBorder="1" applyAlignment="1">
      <alignment horizontal="left" vertical="center" wrapText="1"/>
    </xf>
    <xf numFmtId="167" fontId="2" fillId="15" borderId="44" xfId="0" applyNumberFormat="1" applyFont="1" applyFill="1" applyBorder="1" applyAlignment="1">
      <alignment horizontal="center" vertical="center" wrapText="1"/>
    </xf>
    <xf numFmtId="167" fontId="2" fillId="15" borderId="47" xfId="0" applyNumberFormat="1" applyFont="1" applyFill="1" applyBorder="1" applyAlignment="1">
      <alignment horizontal="center" vertical="center" wrapText="1"/>
    </xf>
    <xf numFmtId="166" fontId="8" fillId="0" borderId="20" xfId="2" applyNumberFormat="1" applyFont="1" applyFill="1" applyBorder="1" applyAlignment="1" applyProtection="1">
      <alignment vertical="center" wrapText="1"/>
      <protection locked="0"/>
    </xf>
    <xf numFmtId="166" fontId="8" fillId="0" borderId="10" xfId="2" applyNumberFormat="1" applyFont="1" applyFill="1" applyBorder="1" applyAlignment="1" applyProtection="1">
      <alignment vertical="center" wrapText="1"/>
      <protection locked="0"/>
    </xf>
    <xf numFmtId="167" fontId="0" fillId="0" borderId="19" xfId="0" applyNumberFormat="1" applyBorder="1" applyAlignment="1">
      <alignment horizontal="right" vertical="center" wrapText="1"/>
    </xf>
    <xf numFmtId="167" fontId="0" fillId="0" borderId="9" xfId="0" applyNumberFormat="1" applyBorder="1" applyAlignment="1">
      <alignment horizontal="right" vertical="center" wrapText="1"/>
    </xf>
    <xf numFmtId="0" fontId="2" fillId="23" borderId="44" xfId="0" applyFont="1" applyFill="1" applyBorder="1" applyAlignment="1" applyProtection="1">
      <alignment horizontal="center"/>
      <protection locked="0"/>
    </xf>
    <xf numFmtId="0" fontId="2" fillId="23" borderId="45" xfId="0" applyFont="1" applyFill="1" applyBorder="1" applyAlignment="1" applyProtection="1">
      <alignment horizontal="center"/>
      <protection locked="0"/>
    </xf>
    <xf numFmtId="0" fontId="2" fillId="23" borderId="47" xfId="0" applyFont="1" applyFill="1" applyBorder="1" applyAlignment="1" applyProtection="1">
      <alignment horizontal="center"/>
      <protection locked="0"/>
    </xf>
    <xf numFmtId="0" fontId="12" fillId="0" borderId="27" xfId="0" applyFont="1" applyBorder="1" applyAlignment="1" applyProtection="1">
      <alignment horizontal="center"/>
      <protection locked="0"/>
    </xf>
    <xf numFmtId="0" fontId="12" fillId="0" borderId="29" xfId="0" applyFont="1" applyBorder="1" applyAlignment="1" applyProtection="1">
      <alignment horizontal="center"/>
      <protection locked="0"/>
    </xf>
    <xf numFmtId="168" fontId="8" fillId="0" borderId="64" xfId="4" applyNumberFormat="1" applyFont="1" applyFill="1" applyBorder="1" applyAlignment="1" applyProtection="1">
      <alignment horizontal="right" vertical="center" wrapText="1"/>
    </xf>
    <xf numFmtId="168" fontId="8" fillId="0" borderId="65" xfId="4" applyNumberFormat="1" applyFont="1" applyFill="1" applyBorder="1" applyAlignment="1" applyProtection="1">
      <alignment horizontal="right" vertical="center" wrapText="1"/>
    </xf>
    <xf numFmtId="167" fontId="8" fillId="0" borderId="64" xfId="4" applyNumberFormat="1" applyFont="1" applyFill="1" applyBorder="1" applyAlignment="1" applyProtection="1">
      <alignment horizontal="right" vertical="center" wrapText="1"/>
    </xf>
    <xf numFmtId="167" fontId="8" fillId="0" borderId="65" xfId="4" applyNumberFormat="1" applyFont="1" applyFill="1" applyBorder="1" applyAlignment="1" applyProtection="1">
      <alignment horizontal="right" vertical="center" wrapText="1"/>
    </xf>
    <xf numFmtId="0" fontId="2" fillId="15" borderId="44" xfId="0" applyFont="1" applyFill="1" applyBorder="1" applyAlignment="1" applyProtection="1">
      <alignment horizontal="center"/>
      <protection locked="0"/>
    </xf>
    <xf numFmtId="0" fontId="2" fillId="15" borderId="45" xfId="0" applyFont="1" applyFill="1" applyBorder="1" applyAlignment="1" applyProtection="1">
      <alignment horizontal="center"/>
      <protection locked="0"/>
    </xf>
    <xf numFmtId="0" fontId="2" fillId="15" borderId="28" xfId="0" applyFont="1" applyFill="1" applyBorder="1" applyAlignment="1" applyProtection="1">
      <alignment horizontal="center"/>
      <protection locked="0"/>
    </xf>
    <xf numFmtId="0" fontId="2" fillId="15" borderId="47" xfId="0" applyFont="1" applyFill="1" applyBorder="1" applyAlignment="1" applyProtection="1">
      <alignment horizontal="center"/>
      <protection locked="0"/>
    </xf>
    <xf numFmtId="37" fontId="1" fillId="11" borderId="23" xfId="0" applyNumberFormat="1" applyFont="1" applyFill="1" applyBorder="1" applyAlignment="1" applyProtection="1">
      <alignment horizontal="center"/>
      <protection locked="0"/>
    </xf>
    <xf numFmtId="37" fontId="1" fillId="11" borderId="24" xfId="0" applyNumberFormat="1" applyFont="1" applyFill="1" applyBorder="1" applyAlignment="1" applyProtection="1">
      <alignment horizontal="center"/>
      <protection locked="0"/>
    </xf>
    <xf numFmtId="37" fontId="1" fillId="11" borderId="83" xfId="0" applyNumberFormat="1" applyFont="1" applyFill="1" applyBorder="1" applyAlignment="1" applyProtection="1">
      <alignment horizontal="center"/>
      <protection locked="0"/>
    </xf>
    <xf numFmtId="37" fontId="1" fillId="11" borderId="54" xfId="0" applyNumberFormat="1" applyFont="1" applyFill="1" applyBorder="1" applyAlignment="1" applyProtection="1">
      <alignment horizontal="center"/>
      <protection locked="0"/>
    </xf>
    <xf numFmtId="0" fontId="12" fillId="0" borderId="44" xfId="0" applyFont="1" applyBorder="1" applyAlignment="1" applyProtection="1">
      <alignment horizontal="center"/>
      <protection locked="0"/>
    </xf>
    <xf numFmtId="0" fontId="12" fillId="0" borderId="47"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12" fillId="0" borderId="59" xfId="0" applyFont="1" applyBorder="1" applyAlignment="1" applyProtection="1">
      <alignment horizontal="center"/>
      <protection locked="0"/>
    </xf>
    <xf numFmtId="0" fontId="12" fillId="0" borderId="0" xfId="0" applyFont="1" applyAlignment="1" applyProtection="1">
      <alignment horizontal="center"/>
      <protection locked="0"/>
    </xf>
    <xf numFmtId="0" fontId="0" fillId="0" borderId="0" xfId="0" applyAlignment="1">
      <alignment vertical="center" wrapText="1"/>
    </xf>
    <xf numFmtId="0" fontId="20" fillId="22" borderId="44" xfId="0" applyFont="1" applyFill="1" applyBorder="1" applyAlignment="1" applyProtection="1">
      <alignment horizontal="center" wrapText="1"/>
      <protection locked="0"/>
    </xf>
    <xf numFmtId="0" fontId="20" fillId="22" borderId="47" xfId="0" applyFont="1" applyFill="1" applyBorder="1" applyAlignment="1" applyProtection="1">
      <alignment horizontal="center" wrapText="1"/>
      <protection locked="0"/>
    </xf>
    <xf numFmtId="0" fontId="20" fillId="8" borderId="49"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0" fillId="0" borderId="15" xfId="0" applyBorder="1" applyAlignment="1">
      <alignment vertical="center"/>
    </xf>
    <xf numFmtId="0" fontId="0" fillId="0" borderId="16" xfId="0" applyBorder="1" applyAlignment="1">
      <alignment vertical="center"/>
    </xf>
    <xf numFmtId="0" fontId="7" fillId="0" borderId="15" xfId="1" applyBorder="1" applyAlignment="1">
      <alignment vertical="center"/>
    </xf>
    <xf numFmtId="0" fontId="7" fillId="0" borderId="16" xfId="1" applyBorder="1" applyAlignment="1">
      <alignment vertical="center"/>
    </xf>
    <xf numFmtId="0" fontId="0" fillId="0" borderId="15" xfId="0"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34" borderId="0" xfId="0" applyFill="1"/>
  </cellXfs>
  <cellStyles count="7">
    <cellStyle name="Comma" xfId="6" builtinId="3"/>
    <cellStyle name="Currency" xfId="4" builtinId="4"/>
    <cellStyle name="Currency 2" xfId="5" xr:uid="{9A94FFB9-E29C-4BC7-807D-CFF76266C2A6}"/>
    <cellStyle name="Hyperlink" xfId="1" builtinId="8"/>
    <cellStyle name="Normal" xfId="0" builtinId="0"/>
    <cellStyle name="Normal 2 112" xfId="3" xr:uid="{00000000-0005-0000-0000-000003000000}"/>
    <cellStyle name="Percent" xfId="2" builtinId="5"/>
  </cellStyles>
  <dxfs count="15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s>
  <tableStyles count="0" defaultTableStyle="TableStyleMedium2" defaultPivotStyle="PivotStyleLight16"/>
  <colors>
    <mruColors>
      <color rgb="FFFF99FF"/>
      <color rgb="FFCC00FF"/>
      <color rgb="FFECD9FF"/>
      <color rgb="FFFFCCFF"/>
      <color rgb="FF9900CC"/>
      <color rgb="FFFFFF00"/>
      <color rgb="FFCCCCFF"/>
      <color rgb="FF9999FF"/>
      <color rgb="FFFF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1</xdr:row>
      <xdr:rowOff>71437</xdr:rowOff>
    </xdr:from>
    <xdr:to>
      <xdr:col>3</xdr:col>
      <xdr:colOff>345722</xdr:colOff>
      <xdr:row>5</xdr:row>
      <xdr:rowOff>28575</xdr:rowOff>
    </xdr:to>
    <xdr:pic>
      <xdr:nvPicPr>
        <xdr:cNvPr id="3" name="Picture 2" descr="Gavi, the Vaccine Alliance">
          <a:extLst>
            <a:ext uri="{FF2B5EF4-FFF2-40B4-BE49-F238E27FC236}">
              <a16:creationId xmlns:a16="http://schemas.microsoft.com/office/drawing/2014/main" id="{32B91A7E-C763-4277-A1C7-D7E953A27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41312"/>
          <a:ext cx="2465035" cy="912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183444</xdr:colOff>
      <xdr:row>24</xdr:row>
      <xdr:rowOff>77611</xdr:rowOff>
    </xdr:from>
    <xdr:to>
      <xdr:col>0</xdr:col>
      <xdr:colOff>515055</xdr:colOff>
      <xdr:row>59</xdr:row>
      <xdr:rowOff>0</xdr:rowOff>
    </xdr:to>
    <xdr:sp macro="" textlink="">
      <xdr:nvSpPr>
        <xdr:cNvPr id="4" name="Rectangle 3">
          <a:extLst>
            <a:ext uri="{FF2B5EF4-FFF2-40B4-BE49-F238E27FC236}">
              <a16:creationId xmlns:a16="http://schemas.microsoft.com/office/drawing/2014/main" id="{591C14E3-D4F5-400C-8204-627C5FB87F21}"/>
            </a:ext>
          </a:extLst>
        </xdr:cNvPr>
        <xdr:cNvSpPr>
          <a:spLocks noChangeArrowheads="1"/>
        </xdr:cNvSpPr>
      </xdr:nvSpPr>
      <xdr:spPr bwMode="auto">
        <a:xfrm>
          <a:off x="183444" y="3337278"/>
          <a:ext cx="331611" cy="8276165"/>
        </a:xfrm>
        <a:prstGeom prst="rect">
          <a:avLst/>
        </a:prstGeom>
        <a:solidFill>
          <a:schemeClr val="bg2"/>
        </a:solidFill>
        <a:ln>
          <a:noFill/>
        </a:ln>
        <a:effectLst/>
        <a:scene3d>
          <a:camera prst="orthographicFront"/>
          <a:lightRig rig="soft" dir="t"/>
        </a:scene3d>
        <a:sp3d prstMaterial="metal">
          <a:bevelB prst="angle"/>
        </a:sp3d>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eaLnBrk="1" hangingPunct="1"/>
          <a:endParaRPr lang="en-US" altLang="en-US"/>
        </a:p>
      </xdr:txBody>
    </xdr:sp>
    <xdr:clientData/>
  </xdr:twoCellAnchor>
  <xdr:twoCellAnchor>
    <xdr:from>
      <xdr:col>0</xdr:col>
      <xdr:colOff>239890</xdr:colOff>
      <xdr:row>24</xdr:row>
      <xdr:rowOff>176388</xdr:rowOff>
    </xdr:from>
    <xdr:to>
      <xdr:col>0</xdr:col>
      <xdr:colOff>465315</xdr:colOff>
      <xdr:row>25</xdr:row>
      <xdr:rowOff>216781</xdr:rowOff>
    </xdr:to>
    <xdr:sp macro="" textlink="">
      <xdr:nvSpPr>
        <xdr:cNvPr id="5" name="Oval 4">
          <a:extLst>
            <a:ext uri="{FF2B5EF4-FFF2-40B4-BE49-F238E27FC236}">
              <a16:creationId xmlns:a16="http://schemas.microsoft.com/office/drawing/2014/main" id="{D56810D2-25E0-4EAA-B63F-1F2AD59C5288}"/>
            </a:ext>
          </a:extLst>
        </xdr:cNvPr>
        <xdr:cNvSpPr>
          <a:spLocks noChangeArrowheads="1"/>
        </xdr:cNvSpPr>
      </xdr:nvSpPr>
      <xdr:spPr bwMode="gray">
        <a:xfrm>
          <a:off x="239890" y="3436055"/>
          <a:ext cx="225425" cy="223837"/>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1</a:t>
          </a:r>
        </a:p>
      </xdr:txBody>
    </xdr:sp>
    <xdr:clientData/>
  </xdr:twoCellAnchor>
  <xdr:twoCellAnchor>
    <xdr:from>
      <xdr:col>0</xdr:col>
      <xdr:colOff>222957</xdr:colOff>
      <xdr:row>26</xdr:row>
      <xdr:rowOff>25399</xdr:rowOff>
    </xdr:from>
    <xdr:to>
      <xdr:col>0</xdr:col>
      <xdr:colOff>448382</xdr:colOff>
      <xdr:row>26</xdr:row>
      <xdr:rowOff>256292</xdr:rowOff>
    </xdr:to>
    <xdr:sp macro="" textlink="">
      <xdr:nvSpPr>
        <xdr:cNvPr id="6" name="Oval 5">
          <a:extLst>
            <a:ext uri="{FF2B5EF4-FFF2-40B4-BE49-F238E27FC236}">
              <a16:creationId xmlns:a16="http://schemas.microsoft.com/office/drawing/2014/main" id="{E79F5C3D-7405-44ED-A348-5BCAF7A9B634}"/>
            </a:ext>
          </a:extLst>
        </xdr:cNvPr>
        <xdr:cNvSpPr>
          <a:spLocks noChangeArrowheads="1"/>
        </xdr:cNvSpPr>
      </xdr:nvSpPr>
      <xdr:spPr bwMode="gray">
        <a:xfrm>
          <a:off x="222957" y="3941232"/>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2</a:t>
          </a:r>
        </a:p>
      </xdr:txBody>
    </xdr:sp>
    <xdr:clientData/>
  </xdr:twoCellAnchor>
  <xdr:twoCellAnchor>
    <xdr:from>
      <xdr:col>0</xdr:col>
      <xdr:colOff>227192</xdr:colOff>
      <xdr:row>31</xdr:row>
      <xdr:rowOff>114299</xdr:rowOff>
    </xdr:from>
    <xdr:to>
      <xdr:col>0</xdr:col>
      <xdr:colOff>452617</xdr:colOff>
      <xdr:row>32</xdr:row>
      <xdr:rowOff>48859</xdr:rowOff>
    </xdr:to>
    <xdr:sp macro="" textlink="">
      <xdr:nvSpPr>
        <xdr:cNvPr id="7" name="Oval 6">
          <a:extLst>
            <a:ext uri="{FF2B5EF4-FFF2-40B4-BE49-F238E27FC236}">
              <a16:creationId xmlns:a16="http://schemas.microsoft.com/office/drawing/2014/main" id="{B31C4C79-2FCB-43CF-BB4A-3C902510F7EF}"/>
            </a:ext>
          </a:extLst>
        </xdr:cNvPr>
        <xdr:cNvSpPr>
          <a:spLocks noChangeArrowheads="1"/>
        </xdr:cNvSpPr>
      </xdr:nvSpPr>
      <xdr:spPr bwMode="gray">
        <a:xfrm>
          <a:off x="227192" y="6160910"/>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3</a:t>
          </a:r>
        </a:p>
      </xdr:txBody>
    </xdr:sp>
    <xdr:clientData/>
  </xdr:twoCellAnchor>
  <xdr:twoCellAnchor>
    <xdr:from>
      <xdr:col>0</xdr:col>
      <xdr:colOff>232307</xdr:colOff>
      <xdr:row>53</xdr:row>
      <xdr:rowOff>208644</xdr:rowOff>
    </xdr:from>
    <xdr:to>
      <xdr:col>0</xdr:col>
      <xdr:colOff>462643</xdr:colOff>
      <xdr:row>55</xdr:row>
      <xdr:rowOff>23863</xdr:rowOff>
    </xdr:to>
    <xdr:sp macro="" textlink="">
      <xdr:nvSpPr>
        <xdr:cNvPr id="10" name="Oval 9">
          <a:extLst>
            <a:ext uri="{FF2B5EF4-FFF2-40B4-BE49-F238E27FC236}">
              <a16:creationId xmlns:a16="http://schemas.microsoft.com/office/drawing/2014/main" id="{9BBB9A75-1BCB-477C-952F-118FE0D99AEA}"/>
            </a:ext>
          </a:extLst>
        </xdr:cNvPr>
        <xdr:cNvSpPr>
          <a:spLocks noChangeArrowheads="1"/>
        </xdr:cNvSpPr>
      </xdr:nvSpPr>
      <xdr:spPr bwMode="gray">
        <a:xfrm>
          <a:off x="232307" y="15194644"/>
          <a:ext cx="230336" cy="241576"/>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apps.who.int/immunization_standards/vaccine_quality/pqs_catalogue/PdfCatalogue.aspx?cat_typ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129"/>
  <sheetViews>
    <sheetView showGridLines="0" zoomScale="80" zoomScaleNormal="80" workbookViewId="0">
      <selection activeCell="C7" sqref="C7:E7"/>
    </sheetView>
  </sheetViews>
  <sheetFormatPr defaultColWidth="0" defaultRowHeight="14.5" zeroHeight="1" x14ac:dyDescent="0.35"/>
  <cols>
    <col min="1" max="1" width="7.453125" customWidth="1"/>
    <col min="2" max="2" width="9.1796875" customWidth="1"/>
    <col min="3" max="3" width="14.453125" customWidth="1"/>
    <col min="4" max="7" width="9.1796875" customWidth="1"/>
    <col min="8" max="9" width="15" customWidth="1"/>
    <col min="10" max="10" width="61.6328125" customWidth="1"/>
    <col min="11" max="12" width="9.1796875" customWidth="1"/>
  </cols>
  <sheetData>
    <row r="1" spans="1:10 16384:16384" s="38" customFormat="1" ht="21" customHeight="1" x14ac:dyDescent="0.45">
      <c r="A1" s="354" t="s">
        <v>350</v>
      </c>
      <c r="B1" s="355"/>
      <c r="C1" s="355"/>
      <c r="D1" s="355"/>
      <c r="E1" s="355"/>
      <c r="F1" s="355"/>
      <c r="G1" s="355"/>
      <c r="H1" s="355"/>
      <c r="I1" s="355"/>
      <c r="J1" s="356"/>
    </row>
    <row r="2" spans="1:10 16384:16384" s="38" customFormat="1" ht="18.5" x14ac:dyDescent="0.45">
      <c r="A2" s="217"/>
      <c r="B2" s="218"/>
      <c r="C2" s="218"/>
      <c r="D2" s="218"/>
      <c r="E2" s="218"/>
      <c r="F2" s="218"/>
      <c r="G2" s="218"/>
      <c r="H2" s="218"/>
      <c r="I2" s="218"/>
      <c r="J2" s="219"/>
    </row>
    <row r="3" spans="1:10 16384:16384" s="38" customFormat="1" ht="18.5" x14ac:dyDescent="0.45">
      <c r="A3" s="217"/>
      <c r="B3" s="218"/>
      <c r="C3" s="218"/>
      <c r="D3" s="218"/>
      <c r="E3" s="218"/>
      <c r="F3" s="218"/>
      <c r="G3" s="218"/>
      <c r="H3" s="218"/>
      <c r="I3" s="218"/>
      <c r="J3" s="219"/>
    </row>
    <row r="4" spans="1:10 16384:16384" s="38" customFormat="1" ht="18.5" x14ac:dyDescent="0.45">
      <c r="A4" s="217"/>
      <c r="B4" s="218"/>
      <c r="C4" s="218"/>
      <c r="D4" s="218"/>
      <c r="E4" s="218"/>
      <c r="F4" s="218"/>
      <c r="G4" s="218"/>
      <c r="H4"/>
      <c r="I4" s="218"/>
      <c r="J4" s="219"/>
    </row>
    <row r="5" spans="1:10 16384:16384" s="38" customFormat="1" ht="18.5" x14ac:dyDescent="0.45">
      <c r="A5" s="217"/>
      <c r="B5" s="218"/>
      <c r="C5" s="218"/>
      <c r="D5" s="218"/>
      <c r="E5" s="218"/>
      <c r="F5" s="218"/>
      <c r="G5" s="218"/>
      <c r="H5" s="218"/>
      <c r="I5" s="218"/>
      <c r="J5" s="220"/>
    </row>
    <row r="6" spans="1:10 16384:16384" s="38" customFormat="1" ht="19" thickBot="1" x14ac:dyDescent="0.5">
      <c r="A6" s="217"/>
      <c r="B6" s="218"/>
      <c r="C6" s="218"/>
      <c r="D6" s="218"/>
      <c r="E6" s="218"/>
      <c r="F6" s="218"/>
      <c r="G6" s="218"/>
      <c r="H6" s="218"/>
      <c r="I6" s="218"/>
      <c r="J6" s="94"/>
    </row>
    <row r="7" spans="1:10 16384:16384" s="38" customFormat="1" ht="19" thickBot="1" x14ac:dyDescent="0.5">
      <c r="A7" s="93" t="s">
        <v>245</v>
      </c>
      <c r="B7" s="39"/>
      <c r="C7" s="365"/>
      <c r="D7" s="366"/>
      <c r="E7" s="366"/>
      <c r="F7" s="88"/>
      <c r="G7" s="88"/>
      <c r="H7" s="88"/>
      <c r="I7" s="89"/>
      <c r="J7" s="94"/>
      <c r="XFD7" s="40"/>
    </row>
    <row r="8" spans="1:10 16384:16384" s="38" customFormat="1" ht="18.5" x14ac:dyDescent="0.45">
      <c r="A8" s="221"/>
      <c r="B8" s="222"/>
      <c r="C8" s="222"/>
      <c r="D8" s="222"/>
      <c r="E8" s="222"/>
      <c r="F8" s="222"/>
      <c r="G8" s="222"/>
      <c r="H8" s="222"/>
      <c r="I8" s="222"/>
      <c r="J8" s="223"/>
      <c r="XFD8" s="40"/>
    </row>
    <row r="9" spans="1:10 16384:16384" s="38" customFormat="1" ht="18.5" x14ac:dyDescent="0.45">
      <c r="A9" s="224" t="s">
        <v>349</v>
      </c>
      <c r="B9" s="222"/>
      <c r="C9" s="222"/>
      <c r="D9" s="222"/>
      <c r="E9" s="222"/>
      <c r="F9" s="222"/>
      <c r="G9" s="222"/>
      <c r="H9" s="222"/>
      <c r="I9" s="222"/>
      <c r="J9" s="223"/>
      <c r="XFD9" s="40"/>
    </row>
    <row r="10" spans="1:10 16384:16384" s="38" customFormat="1" ht="18.5" x14ac:dyDescent="0.45">
      <c r="A10" s="47" t="s">
        <v>246</v>
      </c>
      <c r="B10" s="46"/>
      <c r="C10" s="46"/>
      <c r="D10" s="46"/>
      <c r="E10" s="46"/>
      <c r="F10" s="46"/>
      <c r="G10" s="46"/>
      <c r="H10" s="46"/>
      <c r="I10" s="46"/>
      <c r="J10" s="45"/>
      <c r="XFD10" s="40"/>
    </row>
    <row r="11" spans="1:10 16384:16384" s="38" customFormat="1" ht="14.25" customHeight="1" x14ac:dyDescent="0.45">
      <c r="A11" s="95" t="s">
        <v>247</v>
      </c>
      <c r="B11" s="46"/>
      <c r="C11" s="46"/>
      <c r="D11" s="46"/>
      <c r="E11" s="46"/>
      <c r="F11" s="46"/>
      <c r="G11" s="46"/>
      <c r="H11" s="46"/>
      <c r="I11" s="46"/>
      <c r="J11" s="45"/>
      <c r="XFD11" s="40"/>
    </row>
    <row r="12" spans="1:10 16384:16384" s="38" customFormat="1" ht="18.5" x14ac:dyDescent="0.45">
      <c r="A12" s="47" t="s">
        <v>248</v>
      </c>
      <c r="B12" s="46"/>
      <c r="C12" s="46"/>
      <c r="D12" s="46"/>
      <c r="E12" s="46"/>
      <c r="F12" s="46"/>
      <c r="G12" s="46"/>
      <c r="H12"/>
      <c r="I12" s="46"/>
      <c r="J12" s="45"/>
      <c r="XFD12" s="40"/>
    </row>
    <row r="13" spans="1:10 16384:16384" s="38" customFormat="1" ht="18.5" x14ac:dyDescent="0.45">
      <c r="A13" s="225"/>
      <c r="B13" s="222"/>
      <c r="C13" s="222"/>
      <c r="D13" s="222"/>
      <c r="E13" s="222"/>
      <c r="F13" s="222"/>
      <c r="G13" s="222"/>
      <c r="H13"/>
      <c r="I13" s="222"/>
      <c r="J13" s="223"/>
      <c r="XFD13" s="40"/>
    </row>
    <row r="14" spans="1:10 16384:16384" s="38" customFormat="1" ht="18.75" customHeight="1" x14ac:dyDescent="0.45">
      <c r="A14" s="224" t="s">
        <v>351</v>
      </c>
      <c r="B14" s="224"/>
      <c r="C14" s="224"/>
      <c r="D14" s="224"/>
      <c r="E14" s="222"/>
      <c r="F14" s="222"/>
      <c r="G14" s="222"/>
      <c r="H14"/>
      <c r="I14" s="222"/>
      <c r="J14" s="223"/>
      <c r="XFD14" s="40"/>
    </row>
    <row r="15" spans="1:10 16384:16384" s="38" customFormat="1" ht="18.75" customHeight="1" x14ac:dyDescent="0.45">
      <c r="A15" s="225"/>
      <c r="B15" s="363" t="s">
        <v>352</v>
      </c>
      <c r="C15" s="363"/>
      <c r="D15" s="363"/>
      <c r="E15" s="363"/>
      <c r="F15" s="363"/>
      <c r="G15" s="363"/>
      <c r="H15" s="363"/>
      <c r="I15" s="363"/>
      <c r="J15" s="364"/>
      <c r="XFD15" s="40"/>
    </row>
    <row r="16" spans="1:10 16384:16384" s="38" customFormat="1" ht="18.75" customHeight="1" x14ac:dyDescent="0.45">
      <c r="A16" s="225"/>
      <c r="B16" s="363" t="s">
        <v>353</v>
      </c>
      <c r="C16" s="363"/>
      <c r="D16" s="363"/>
      <c r="E16" s="363"/>
      <c r="F16" s="363"/>
      <c r="G16" s="363"/>
      <c r="H16" s="363"/>
      <c r="I16" s="363"/>
      <c r="J16" s="364"/>
      <c r="XFD16" s="40"/>
    </row>
    <row r="17" spans="1:21 16384:16384" s="38" customFormat="1" ht="18.75" customHeight="1" x14ac:dyDescent="0.45">
      <c r="A17" s="225"/>
      <c r="B17" s="363" t="s">
        <v>354</v>
      </c>
      <c r="C17" s="363"/>
      <c r="D17" s="363"/>
      <c r="E17" s="363"/>
      <c r="F17" s="363"/>
      <c r="G17" s="363"/>
      <c r="H17" s="363"/>
      <c r="I17" s="363"/>
      <c r="J17" s="364"/>
      <c r="XFD17" s="40"/>
    </row>
    <row r="18" spans="1:21 16384:16384" s="38" customFormat="1" ht="30.75" customHeight="1" x14ac:dyDescent="0.45">
      <c r="A18" s="225"/>
      <c r="B18" s="363" t="s">
        <v>355</v>
      </c>
      <c r="C18" s="363"/>
      <c r="D18" s="363"/>
      <c r="E18" s="363"/>
      <c r="F18" s="363"/>
      <c r="G18" s="363"/>
      <c r="H18" s="363"/>
      <c r="I18" s="363"/>
      <c r="J18" s="364"/>
      <c r="XFD18" s="40"/>
    </row>
    <row r="19" spans="1:21 16384:16384" s="38" customFormat="1" ht="18.75" customHeight="1" x14ac:dyDescent="0.45">
      <c r="A19" s="225"/>
      <c r="B19" s="363" t="s">
        <v>356</v>
      </c>
      <c r="C19" s="363"/>
      <c r="D19" s="363"/>
      <c r="E19" s="363"/>
      <c r="F19" s="363"/>
      <c r="G19" s="363"/>
      <c r="H19" s="363"/>
      <c r="I19" s="363"/>
      <c r="J19" s="364"/>
      <c r="XFD19" s="40"/>
    </row>
    <row r="20" spans="1:21 16384:16384" s="38" customFormat="1" ht="18.75" customHeight="1" x14ac:dyDescent="0.45">
      <c r="A20" s="225"/>
      <c r="B20" s="363" t="s">
        <v>347</v>
      </c>
      <c r="C20" s="363"/>
      <c r="D20" s="363"/>
      <c r="E20" s="363"/>
      <c r="F20" s="363"/>
      <c r="G20" s="363"/>
      <c r="H20" s="363"/>
      <c r="I20" s="363"/>
      <c r="J20" s="364"/>
      <c r="XFD20" s="40"/>
    </row>
    <row r="21" spans="1:21 16384:16384" s="38" customFormat="1" ht="32.25" customHeight="1" x14ac:dyDescent="0.45">
      <c r="A21" s="225"/>
      <c r="B21" s="363" t="s">
        <v>357</v>
      </c>
      <c r="C21" s="363"/>
      <c r="D21" s="363"/>
      <c r="E21" s="363"/>
      <c r="F21" s="363"/>
      <c r="G21" s="363"/>
      <c r="H21" s="363"/>
      <c r="I21" s="363"/>
      <c r="J21" s="364"/>
      <c r="XFD21" s="40"/>
    </row>
    <row r="22" spans="1:21 16384:16384" s="38" customFormat="1" ht="19" customHeight="1" x14ac:dyDescent="0.45">
      <c r="A22" s="225"/>
      <c r="B22" s="363" t="s">
        <v>358</v>
      </c>
      <c r="C22" s="363"/>
      <c r="D22" s="363"/>
      <c r="E22" s="363"/>
      <c r="F22" s="363"/>
      <c r="G22" s="363"/>
      <c r="H22" s="363"/>
      <c r="I22" s="363"/>
      <c r="J22" s="364"/>
      <c r="XFD22" s="40"/>
    </row>
    <row r="23" spans="1:21 16384:16384" s="38" customFormat="1" ht="18.5" x14ac:dyDescent="0.45">
      <c r="A23" s="226"/>
      <c r="B23" s="122"/>
      <c r="C23" s="122"/>
      <c r="D23" s="122"/>
      <c r="E23" s="122"/>
      <c r="F23" s="122"/>
      <c r="G23" s="122"/>
      <c r="H23" s="122"/>
      <c r="I23" s="122"/>
      <c r="J23" s="94"/>
      <c r="P23" s="41"/>
      <c r="Q23" s="41"/>
      <c r="R23" s="41"/>
      <c r="S23" s="41"/>
      <c r="T23" s="41"/>
      <c r="U23" s="41"/>
      <c r="XFD23" s="40"/>
    </row>
    <row r="24" spans="1:21 16384:16384" s="38" customFormat="1" ht="19" thickBot="1" x14ac:dyDescent="0.5">
      <c r="A24" s="357" t="s">
        <v>359</v>
      </c>
      <c r="B24" s="358"/>
      <c r="C24" s="358"/>
      <c r="D24" s="358"/>
      <c r="E24" s="358"/>
      <c r="F24" s="358"/>
      <c r="G24" s="358"/>
      <c r="H24" s="358"/>
      <c r="I24" s="358"/>
      <c r="J24" s="359"/>
      <c r="XFD24" s="40"/>
    </row>
    <row r="25" spans="1:21 16384:16384" x14ac:dyDescent="0.35">
      <c r="A25" s="339"/>
      <c r="B25" s="340"/>
      <c r="C25" s="340"/>
      <c r="D25" s="340"/>
      <c r="E25" s="340"/>
      <c r="F25" s="340"/>
      <c r="G25" s="340"/>
      <c r="H25" s="340"/>
      <c r="I25" s="340"/>
      <c r="J25" s="341"/>
      <c r="XFD25" s="1"/>
    </row>
    <row r="26" spans="1:21 16384:16384" ht="37" customHeight="1" x14ac:dyDescent="0.35">
      <c r="A26" s="227"/>
      <c r="B26" s="363" t="s">
        <v>363</v>
      </c>
      <c r="C26" s="363"/>
      <c r="D26" s="363"/>
      <c r="E26" s="363"/>
      <c r="F26" s="363"/>
      <c r="G26" s="363"/>
      <c r="H26" s="363"/>
      <c r="I26" s="363"/>
      <c r="J26" s="364"/>
      <c r="XFD26" s="1"/>
    </row>
    <row r="27" spans="1:21 16384:16384" ht="28.5" customHeight="1" x14ac:dyDescent="0.35">
      <c r="A27" s="227"/>
      <c r="B27" s="363" t="s">
        <v>361</v>
      </c>
      <c r="C27" s="363"/>
      <c r="D27" s="363"/>
      <c r="E27" s="363"/>
      <c r="F27" s="363"/>
      <c r="G27" s="363"/>
      <c r="H27" s="363"/>
      <c r="I27" s="363"/>
      <c r="J27" s="364"/>
      <c r="XFD27" s="1"/>
    </row>
    <row r="28" spans="1:21 16384:16384" s="15" customFormat="1" ht="57" customHeight="1" x14ac:dyDescent="0.35">
      <c r="A28" s="228"/>
      <c r="C28" s="348" t="s">
        <v>360</v>
      </c>
      <c r="D28" s="348"/>
      <c r="E28" s="348"/>
      <c r="F28" s="348"/>
      <c r="G28" s="348"/>
      <c r="H28" s="348"/>
      <c r="I28" s="348"/>
      <c r="J28" s="349"/>
      <c r="XFD28" s="37"/>
    </row>
    <row r="29" spans="1:21 16384:16384" s="15" customFormat="1" ht="31" customHeight="1" x14ac:dyDescent="0.35">
      <c r="A29" s="228"/>
      <c r="C29" s="348" t="s">
        <v>362</v>
      </c>
      <c r="D29" s="348"/>
      <c r="E29" s="348"/>
      <c r="F29" s="348"/>
      <c r="G29" s="348"/>
      <c r="H29" s="348"/>
      <c r="I29" s="348"/>
      <c r="J29" s="349"/>
      <c r="XFD29" s="37"/>
    </row>
    <row r="30" spans="1:21 16384:16384" ht="73" customHeight="1" x14ac:dyDescent="0.35">
      <c r="A30" s="227"/>
      <c r="C30" s="348" t="s">
        <v>249</v>
      </c>
      <c r="D30" s="348"/>
      <c r="E30" s="348"/>
      <c r="F30" s="348"/>
      <c r="G30" s="348"/>
      <c r="H30" s="348"/>
      <c r="I30" s="348"/>
      <c r="J30" s="349"/>
      <c r="XFD30" s="1"/>
    </row>
    <row r="31" spans="1:21 16384:16384" ht="20.5" customHeight="1" x14ac:dyDescent="0.35">
      <c r="A31" s="227"/>
      <c r="B31" s="266"/>
      <c r="C31" s="266"/>
      <c r="D31" s="266"/>
      <c r="E31" s="266"/>
      <c r="F31" s="266"/>
      <c r="G31" s="266"/>
      <c r="H31" s="266"/>
      <c r="I31" s="266"/>
      <c r="J31" s="267"/>
      <c r="XFD31" s="1"/>
    </row>
    <row r="32" spans="1:21 16384:16384" ht="23.5" customHeight="1" x14ac:dyDescent="0.35">
      <c r="A32" s="227"/>
      <c r="B32" t="s">
        <v>364</v>
      </c>
      <c r="J32" s="229"/>
      <c r="XFD32" s="1"/>
    </row>
    <row r="33" spans="1:21 16384:16384" x14ac:dyDescent="0.35">
      <c r="A33" s="227"/>
      <c r="B33" s="240" t="s">
        <v>366</v>
      </c>
      <c r="J33" s="229"/>
      <c r="XFD33" s="1"/>
    </row>
    <row r="34" spans="1:21 16384:16384" x14ac:dyDescent="0.35">
      <c r="A34" s="227"/>
      <c r="C34" s="230" t="s">
        <v>365</v>
      </c>
      <c r="J34" s="229"/>
      <c r="XFD34" s="1"/>
    </row>
    <row r="35" spans="1:21 16384:16384" x14ac:dyDescent="0.35">
      <c r="A35" s="227"/>
      <c r="C35" s="230" t="s">
        <v>250</v>
      </c>
      <c r="J35" s="229"/>
      <c r="XFD35" s="1"/>
    </row>
    <row r="36" spans="1:21 16384:16384" hidden="1" x14ac:dyDescent="0.35">
      <c r="A36" s="360"/>
      <c r="B36" s="361"/>
      <c r="C36" s="361"/>
      <c r="D36" s="361"/>
      <c r="E36" s="361"/>
      <c r="F36" s="361"/>
      <c r="G36" s="361"/>
      <c r="H36" s="361"/>
      <c r="I36" s="361"/>
      <c r="J36" s="362"/>
      <c r="XFD36" s="1"/>
    </row>
    <row r="37" spans="1:21 16384:16384" x14ac:dyDescent="0.35">
      <c r="C37" s="230" t="s">
        <v>367</v>
      </c>
      <c r="D37" s="230"/>
      <c r="E37" s="230"/>
      <c r="F37" s="230"/>
      <c r="G37" s="230"/>
      <c r="H37" s="230"/>
      <c r="I37" s="230"/>
      <c r="J37" s="231"/>
      <c r="XFD37" s="1"/>
    </row>
    <row r="38" spans="1:21 16384:16384" x14ac:dyDescent="0.35">
      <c r="C38" s="230" t="s">
        <v>368</v>
      </c>
      <c r="D38" s="230"/>
      <c r="E38" s="230"/>
      <c r="F38" s="230"/>
      <c r="G38" s="230"/>
      <c r="H38" s="230"/>
      <c r="I38" s="230"/>
      <c r="J38" s="231"/>
      <c r="XFD38" s="1"/>
    </row>
    <row r="39" spans="1:21 16384:16384" x14ac:dyDescent="0.35">
      <c r="A39" s="227"/>
      <c r="C39" s="230" t="s">
        <v>369</v>
      </c>
      <c r="D39" s="230"/>
      <c r="E39" s="230"/>
      <c r="F39" s="230"/>
      <c r="G39" s="230"/>
      <c r="H39" s="230"/>
      <c r="I39" s="230"/>
      <c r="J39" s="231"/>
      <c r="XFD39" s="1"/>
    </row>
    <row r="40" spans="1:21 16384:16384" x14ac:dyDescent="0.35">
      <c r="A40" s="227"/>
      <c r="C40" s="230" t="s">
        <v>370</v>
      </c>
      <c r="D40" s="230"/>
      <c r="E40" s="230"/>
      <c r="F40" s="230"/>
      <c r="G40" s="230"/>
      <c r="H40" s="230"/>
      <c r="I40" s="230"/>
      <c r="J40" s="231"/>
      <c r="XFD40" s="1"/>
    </row>
    <row r="41" spans="1:21 16384:16384" x14ac:dyDescent="0.35">
      <c r="A41" s="227"/>
      <c r="C41" s="230" t="s">
        <v>371</v>
      </c>
      <c r="D41" s="230"/>
      <c r="E41" s="230"/>
      <c r="F41" s="230"/>
      <c r="G41" s="230"/>
      <c r="H41" s="230"/>
      <c r="I41" s="230"/>
      <c r="J41" s="231"/>
      <c r="XFD41" s="1"/>
    </row>
    <row r="42" spans="1:21 16384:16384" ht="30" customHeight="1" x14ac:dyDescent="0.35">
      <c r="A42" s="227"/>
      <c r="C42" s="352" t="s">
        <v>372</v>
      </c>
      <c r="D42" s="352"/>
      <c r="E42" s="352"/>
      <c r="F42" s="352"/>
      <c r="G42" s="352"/>
      <c r="H42" s="352"/>
      <c r="I42" s="352"/>
      <c r="J42" s="353"/>
      <c r="XFD42" s="1"/>
    </row>
    <row r="43" spans="1:21 16384:16384" x14ac:dyDescent="0.35">
      <c r="A43" s="227"/>
      <c r="C43" s="230" t="s">
        <v>348</v>
      </c>
      <c r="D43" s="230"/>
      <c r="E43" s="230"/>
      <c r="F43" s="230"/>
      <c r="G43" s="230"/>
      <c r="H43" s="230"/>
      <c r="I43" s="230"/>
      <c r="J43" s="231"/>
      <c r="XFD43" s="1"/>
    </row>
    <row r="44" spans="1:21 16384:16384" hidden="1" x14ac:dyDescent="0.35">
      <c r="A44" s="261"/>
      <c r="B44" s="232" t="s">
        <v>202</v>
      </c>
      <c r="C44" s="230"/>
      <c r="D44" s="230"/>
      <c r="E44" s="230"/>
      <c r="F44" s="230"/>
      <c r="G44" s="230"/>
      <c r="H44" s="230"/>
      <c r="I44" s="230"/>
      <c r="J44" s="231"/>
      <c r="XFD44" s="1"/>
    </row>
    <row r="45" spans="1:21 16384:16384" hidden="1" x14ac:dyDescent="0.35">
      <c r="A45" s="227"/>
      <c r="C45" s="342" t="s">
        <v>203</v>
      </c>
      <c r="D45" s="342"/>
      <c r="E45" s="342"/>
      <c r="F45" s="342"/>
      <c r="G45" s="342"/>
      <c r="H45" s="342"/>
      <c r="I45" s="342"/>
      <c r="J45" s="343"/>
      <c r="XFD45" s="1"/>
    </row>
    <row r="46" spans="1:21 16384:16384" ht="16" customHeight="1" x14ac:dyDescent="0.35">
      <c r="A46" s="227"/>
      <c r="J46" s="229"/>
      <c r="P46" s="2"/>
      <c r="Q46" s="2"/>
      <c r="R46" s="2"/>
      <c r="S46" s="2"/>
      <c r="T46" s="2"/>
      <c r="U46" s="2"/>
    </row>
    <row r="47" spans="1:21 16384:16384" ht="70.5" customHeight="1" x14ac:dyDescent="0.35">
      <c r="A47" s="227"/>
      <c r="C47" s="350" t="s">
        <v>373</v>
      </c>
      <c r="D47" s="348"/>
      <c r="E47" s="348"/>
      <c r="F47" s="348"/>
      <c r="G47" s="348"/>
      <c r="H47" s="348"/>
      <c r="I47" s="348"/>
      <c r="J47" s="351"/>
      <c r="K47" s="15"/>
      <c r="L47" s="15"/>
      <c r="P47" s="2"/>
      <c r="Q47" s="2"/>
      <c r="R47" s="2"/>
      <c r="S47" s="2"/>
      <c r="T47" s="2"/>
      <c r="U47" s="2"/>
    </row>
    <row r="48" spans="1:21 16384:16384" ht="15" customHeight="1" x14ac:dyDescent="0.35">
      <c r="A48" s="227"/>
      <c r="C48" s="266"/>
      <c r="D48" s="266"/>
      <c r="E48" s="266"/>
      <c r="F48" s="266"/>
      <c r="G48" s="266"/>
      <c r="H48" s="266"/>
      <c r="I48" s="266"/>
      <c r="J48" s="266"/>
      <c r="K48" s="15"/>
      <c r="L48" s="15"/>
      <c r="P48" s="2"/>
      <c r="Q48" s="2"/>
      <c r="R48" s="2"/>
      <c r="S48" s="2"/>
      <c r="T48" s="2"/>
      <c r="U48" s="2"/>
    </row>
    <row r="49" spans="1:21 16384:16384" ht="55.5" customHeight="1" x14ac:dyDescent="0.35">
      <c r="A49" s="227"/>
      <c r="C49" s="344" t="s">
        <v>374</v>
      </c>
      <c r="D49" s="344"/>
      <c r="E49" s="344"/>
      <c r="F49" s="344"/>
      <c r="G49" s="344"/>
      <c r="H49" s="344"/>
      <c r="I49" s="344"/>
      <c r="J49" s="345"/>
      <c r="P49" s="2"/>
      <c r="Q49" s="2"/>
      <c r="R49" s="2"/>
      <c r="S49" s="2"/>
      <c r="T49" s="2"/>
      <c r="U49" s="2"/>
    </row>
    <row r="50" spans="1:21 16384:16384" ht="17.25" customHeight="1" x14ac:dyDescent="0.35">
      <c r="A50" s="233"/>
      <c r="B50" s="234"/>
      <c r="C50" s="234"/>
      <c r="D50" s="234"/>
      <c r="E50" s="234"/>
      <c r="F50" s="234"/>
      <c r="G50" s="234"/>
      <c r="H50" s="234"/>
      <c r="I50" s="234"/>
      <c r="J50" s="235"/>
      <c r="XFD50" s="1"/>
    </row>
    <row r="51" spans="1:21 16384:16384" ht="29.25" customHeight="1" x14ac:dyDescent="0.35">
      <c r="A51" s="227"/>
      <c r="C51" s="346" t="s">
        <v>381</v>
      </c>
      <c r="D51" s="346"/>
      <c r="E51" s="346"/>
      <c r="F51" s="346"/>
      <c r="G51" s="346"/>
      <c r="H51" s="346"/>
      <c r="I51" s="346"/>
      <c r="J51" s="347"/>
      <c r="P51" s="2"/>
      <c r="Q51" s="2"/>
      <c r="R51" s="2"/>
      <c r="S51" s="2"/>
      <c r="T51" s="2"/>
      <c r="U51" s="2"/>
    </row>
    <row r="52" spans="1:21 16384:16384" ht="16" customHeight="1" x14ac:dyDescent="0.35">
      <c r="A52" s="227"/>
      <c r="C52" s="264"/>
      <c r="D52" s="264"/>
      <c r="E52" s="264"/>
      <c r="F52" s="264"/>
      <c r="G52" s="264"/>
      <c r="H52" s="264"/>
      <c r="I52" s="264"/>
      <c r="J52" s="265"/>
      <c r="P52" s="2"/>
      <c r="Q52" s="2"/>
      <c r="R52" s="2"/>
      <c r="S52" s="2"/>
      <c r="T52" s="2"/>
      <c r="U52" s="2"/>
    </row>
    <row r="53" spans="1:21 16384:16384" ht="45" customHeight="1" x14ac:dyDescent="0.35">
      <c r="A53" s="227"/>
      <c r="C53" s="346" t="s">
        <v>382</v>
      </c>
      <c r="D53" s="346"/>
      <c r="E53" s="346"/>
      <c r="F53" s="346"/>
      <c r="G53" s="346"/>
      <c r="H53" s="346"/>
      <c r="I53" s="346"/>
      <c r="J53" s="347"/>
    </row>
    <row r="54" spans="1:21 16384:16384" ht="19" customHeight="1" x14ac:dyDescent="0.35">
      <c r="A54" s="227"/>
      <c r="J54" s="229"/>
    </row>
    <row r="55" spans="1:21 16384:16384" x14ac:dyDescent="0.35">
      <c r="A55" s="227"/>
      <c r="B55" t="s">
        <v>375</v>
      </c>
      <c r="C55" s="15"/>
      <c r="D55" s="15"/>
      <c r="E55" s="15"/>
      <c r="F55" s="15"/>
      <c r="G55" s="15"/>
      <c r="H55" s="15"/>
      <c r="I55" s="15"/>
      <c r="J55" s="260"/>
    </row>
    <row r="56" spans="1:21 16384:16384" ht="32.5" customHeight="1" x14ac:dyDescent="0.35">
      <c r="A56" s="227"/>
      <c r="B56" s="348" t="s">
        <v>376</v>
      </c>
      <c r="C56" s="348"/>
      <c r="D56" s="348"/>
      <c r="E56" s="348"/>
      <c r="F56" s="348"/>
      <c r="G56" s="348"/>
      <c r="H56" s="348"/>
      <c r="I56" s="348"/>
      <c r="J56" s="349"/>
      <c r="K56" s="15"/>
    </row>
    <row r="57" spans="1:21 16384:16384" ht="32.25" customHeight="1" x14ac:dyDescent="0.35">
      <c r="A57" s="227"/>
      <c r="C57" s="342" t="s">
        <v>377</v>
      </c>
      <c r="D57" s="342"/>
      <c r="E57" s="342"/>
      <c r="F57" s="342"/>
      <c r="G57" s="342"/>
      <c r="H57" s="342"/>
      <c r="I57" s="342"/>
      <c r="J57" s="343"/>
    </row>
    <row r="58" spans="1:21 16384:16384" ht="28" customHeight="1" x14ac:dyDescent="0.35">
      <c r="A58" s="227"/>
      <c r="C58" s="342" t="s">
        <v>378</v>
      </c>
      <c r="D58" s="342"/>
      <c r="E58" s="342"/>
      <c r="F58" s="342"/>
      <c r="G58" s="342"/>
      <c r="H58" s="342"/>
      <c r="I58" s="342"/>
      <c r="J58" s="343"/>
    </row>
    <row r="59" spans="1:21 16384:16384" hidden="1" x14ac:dyDescent="0.35">
      <c r="A59" s="227"/>
      <c r="B59" s="262"/>
      <c r="C59" s="262"/>
      <c r="D59" s="262"/>
      <c r="E59" s="262"/>
      <c r="F59" s="262"/>
      <c r="G59" s="262"/>
      <c r="H59" s="262"/>
      <c r="I59" s="262"/>
      <c r="J59" s="263"/>
    </row>
    <row r="60" spans="1:21 16384:16384" x14ac:dyDescent="0.35">
      <c r="A60" s="336"/>
      <c r="B60" s="337"/>
      <c r="C60" s="337"/>
      <c r="D60" s="337"/>
      <c r="E60" s="337"/>
      <c r="F60" s="337"/>
      <c r="G60" s="337"/>
      <c r="H60" s="337"/>
      <c r="I60" s="337"/>
      <c r="J60" s="338"/>
    </row>
    <row r="61" spans="1:21 16384:16384" x14ac:dyDescent="0.35">
      <c r="A61" s="227"/>
      <c r="B61" s="236"/>
      <c r="J61" s="229"/>
    </row>
    <row r="62" spans="1:21 16384:16384" ht="15" thickBot="1" x14ac:dyDescent="0.4">
      <c r="A62" s="237"/>
      <c r="B62" s="238"/>
      <c r="C62" s="238"/>
      <c r="D62" s="238"/>
      <c r="E62" s="238"/>
      <c r="F62" s="238"/>
      <c r="G62" s="238"/>
      <c r="H62" s="238"/>
      <c r="I62" s="238"/>
      <c r="J62" s="239"/>
    </row>
    <row r="63" spans="1:21 16384:16384" x14ac:dyDescent="0.35"/>
    <row r="64" spans="1:21 16384:1638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sheetData>
  <sheetProtection algorithmName="SHA-512" hashValue="xfGL6deKYMEcl00ekbZsjUgPCAWQolLZvVjvfyKYfG4fVtRc0tgGdHb5OwaZDfmeMWAgdoeWD8uBj4NAiRLigQ==" saltValue="3/42GlbJZ9R++POgF88ulQ==" spinCount="100000" sheet="1" objects="1" selectLockedCells="1"/>
  <mergeCells count="28">
    <mergeCell ref="A1:J1"/>
    <mergeCell ref="A24:J24"/>
    <mergeCell ref="A36:J36"/>
    <mergeCell ref="B26:J26"/>
    <mergeCell ref="B27:J27"/>
    <mergeCell ref="C7:E7"/>
    <mergeCell ref="B19:J19"/>
    <mergeCell ref="B21:J21"/>
    <mergeCell ref="B18:J18"/>
    <mergeCell ref="B17:J17"/>
    <mergeCell ref="B20:J20"/>
    <mergeCell ref="B22:J22"/>
    <mergeCell ref="B15:J15"/>
    <mergeCell ref="B16:J16"/>
    <mergeCell ref="A60:J60"/>
    <mergeCell ref="A25:J25"/>
    <mergeCell ref="C57:J57"/>
    <mergeCell ref="C58:J58"/>
    <mergeCell ref="C45:J45"/>
    <mergeCell ref="C49:J49"/>
    <mergeCell ref="C51:J51"/>
    <mergeCell ref="C53:J53"/>
    <mergeCell ref="C28:J28"/>
    <mergeCell ref="C29:J29"/>
    <mergeCell ref="C30:J30"/>
    <mergeCell ref="C47:J47"/>
    <mergeCell ref="C42:J42"/>
    <mergeCell ref="B56:J56"/>
  </mergeCells>
  <hyperlinks>
    <hyperlink ref="A10" location="'CCE Options Summary'!A1" display="'CCE Options Summary'" xr:uid="{00000000-0004-0000-0000-000000000000}"/>
    <hyperlink ref="A12" location="'Specified CCE Model Price List'!A1" display="Specified CCE Model Price List'" xr:uid="{00000000-0004-0000-0000-000004000000}"/>
    <hyperlink ref="A11" location="'Options_CCE Model selection'!A1" display="Options CCE Model Selection'" xr:uid="{0FFA83B2-2250-4D29-89C0-21F07600A6C2}"/>
  </hyperlinks>
  <pageMargins left="0.7" right="0.7" top="0.75" bottom="0.75" header="0.3" footer="0.3"/>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F837EE-0B25-471E-B3D8-18BE841D5DAA}">
          <x14:formula1>
            <xm:f>Dropdowns3_countries!$B$3:$B$56</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Q36"/>
  <sheetViews>
    <sheetView showGridLines="0" zoomScale="80" zoomScaleNormal="80" workbookViewId="0">
      <selection activeCell="B11" sqref="B11:E11"/>
    </sheetView>
  </sheetViews>
  <sheetFormatPr defaultColWidth="8.81640625" defaultRowHeight="14.5" x14ac:dyDescent="0.35"/>
  <cols>
    <col min="1" max="1" width="1.453125" customWidth="1"/>
    <col min="2" max="2" width="34.81640625" customWidth="1"/>
    <col min="3" max="3" width="18.6328125" customWidth="1"/>
    <col min="4" max="4" width="19.453125" customWidth="1"/>
    <col min="5" max="5" width="19.81640625" customWidth="1"/>
    <col min="8" max="8" width="21.81640625" customWidth="1"/>
    <col min="9" max="9" width="17.453125" customWidth="1"/>
  </cols>
  <sheetData>
    <row r="1" spans="2:17" ht="21" x14ac:dyDescent="0.5">
      <c r="B1" s="99" t="s">
        <v>339</v>
      </c>
      <c r="C1" s="99"/>
      <c r="D1" s="99"/>
      <c r="E1" s="99"/>
      <c r="F1" s="99"/>
      <c r="G1" s="99"/>
      <c r="H1" s="99"/>
      <c r="I1" s="99"/>
      <c r="J1" s="99"/>
      <c r="K1" s="99"/>
      <c r="L1" s="99"/>
      <c r="M1" s="99"/>
      <c r="N1" s="99"/>
      <c r="O1" s="99"/>
      <c r="P1" s="99"/>
      <c r="Q1" s="99"/>
    </row>
    <row r="2" spans="2:17" x14ac:dyDescent="0.35">
      <c r="B2" s="367" t="s">
        <v>379</v>
      </c>
      <c r="C2" s="367"/>
      <c r="D2" s="367"/>
      <c r="E2" s="367"/>
      <c r="F2" s="367"/>
      <c r="G2" s="367"/>
      <c r="H2" s="367"/>
      <c r="I2" s="367"/>
      <c r="J2" s="367"/>
      <c r="K2" s="367"/>
      <c r="L2" s="367"/>
    </row>
    <row r="3" spans="2:17" x14ac:dyDescent="0.35">
      <c r="B3" s="367"/>
      <c r="C3" s="367"/>
      <c r="D3" s="367"/>
      <c r="E3" s="367"/>
      <c r="F3" s="367"/>
      <c r="G3" s="367"/>
      <c r="H3" s="367"/>
      <c r="I3" s="367"/>
      <c r="J3" s="367"/>
      <c r="K3" s="367"/>
      <c r="L3" s="367"/>
    </row>
    <row r="4" spans="2:17" x14ac:dyDescent="0.35">
      <c r="B4" s="367"/>
      <c r="C4" s="367"/>
      <c r="D4" s="367"/>
      <c r="E4" s="367"/>
      <c r="F4" s="367"/>
      <c r="G4" s="367"/>
      <c r="H4" s="367"/>
      <c r="I4" s="367"/>
      <c r="J4" s="367"/>
      <c r="K4" s="367"/>
      <c r="L4" s="367"/>
    </row>
    <row r="5" spans="2:17" x14ac:dyDescent="0.35">
      <c r="B5" s="96"/>
      <c r="C5" s="96"/>
      <c r="D5" s="96"/>
      <c r="E5" s="96"/>
      <c r="F5" s="96"/>
      <c r="G5" s="96"/>
      <c r="H5" s="96"/>
      <c r="I5" s="96"/>
      <c r="J5" s="96"/>
      <c r="K5" s="96"/>
      <c r="L5" s="96"/>
    </row>
    <row r="6" spans="2:17" ht="21" x14ac:dyDescent="0.35">
      <c r="B6" s="98" t="s">
        <v>380</v>
      </c>
      <c r="C6" s="97"/>
      <c r="D6" s="97"/>
      <c r="E6" s="97"/>
      <c r="F6" s="96"/>
      <c r="G6" s="96"/>
      <c r="H6" s="96"/>
      <c r="I6" s="96"/>
      <c r="J6" s="96"/>
      <c r="K6" s="96"/>
      <c r="L6" s="96"/>
    </row>
    <row r="7" spans="2:17" ht="15" thickBot="1" x14ac:dyDescent="0.4"/>
    <row r="8" spans="2:17" ht="36" customHeight="1" x14ac:dyDescent="0.35">
      <c r="B8" s="110"/>
      <c r="C8" s="111" t="s">
        <v>0</v>
      </c>
      <c r="D8" s="112" t="s">
        <v>1</v>
      </c>
      <c r="E8" s="113" t="s">
        <v>2</v>
      </c>
    </row>
    <row r="9" spans="2:17" ht="17.25" customHeight="1" x14ac:dyDescent="0.35">
      <c r="B9" s="373" t="s">
        <v>344</v>
      </c>
      <c r="C9" s="374"/>
      <c r="D9" s="374"/>
      <c r="E9" s="375"/>
    </row>
    <row r="10" spans="2:17" x14ac:dyDescent="0.35">
      <c r="B10" s="114" t="s">
        <v>340</v>
      </c>
      <c r="C10" s="44">
        <f>SUMIFS('Options_modèle spécifié d''ECF'!$P$6:$P$38,'Options_modèle spécifié d''ECF'!$V$6:$V$38,"_1.")+SUMIFS('Options_modèle spécifié d''ECF'!$P$6:$P$38,'Options_modèle spécifié d''ECF'!$V$6:$V$38,"_2.")+SUMIFS('Options_modèle spécifié d''ECF'!$P$6:$P$38,'Options_modèle spécifié d''ECF'!$V$6:$V$38,"_3.")+SUMIFS('Options_modèle spécifié d''ECF'!$P$6:$P$38,'Options_modèle spécifié d''ECF'!$V$6:$V$38,"_4.")+SUMIFS('Options_modèle spécifié d''ECF'!$P$6:$P$38,'Options_modèle spécifié d''ECF'!$V$6:$V$38,"_5.")+SUMIFS('Options_modèle spécifié d''ECF'!$P$6:$P$38,'Options_modèle spécifié d''ECF'!$V$6:$V$38,"_6.")</f>
        <v>0</v>
      </c>
      <c r="D10" s="44">
        <f>SUMIFS('Options_modèle spécifié d''ECF'!$AC$6:$AC$38,'Options_modèle spécifié d''ECF'!$V$6:$V$38,"_1.")+SUMIFS('Options_modèle spécifié d''ECF'!$AC$6:$AC$38,'Options_modèle spécifié d''ECF'!$V$6:$V$38,"_2.")+SUMIFS('Options_modèle spécifié d''ECF'!$AC$6:$AC$38,'Options_modèle spécifié d''ECF'!$V$6:$V$38,"_3.")+SUMIFS('Options_modèle spécifié d''ECF'!$AC$6:$AC$38,'Options_modèle spécifié d''ECF'!$V$6:$V$38,"_4.")+SUMIFS('Options_modèle spécifié d''ECF'!$AC$6:$AC$38,'Options_modèle spécifié d''ECF'!$V$6:$V$38,"_5.")+SUMIFS('Options_modèle spécifié d''ECF'!$AC$6:$AC$38,'Options_modèle spécifié d''ECF'!$V$6:$V$38,"_6.")</f>
        <v>0</v>
      </c>
      <c r="E10" s="115">
        <f>SUMIFS('Options_modèle spécifié d''ECF'!$AO$6:$AO$38,'Options_modèle spécifié d''ECF'!$V$6:$V$38,"_1.")+SUMIFS('Options_modèle spécifié d''ECF'!$AO$6:$AO$38,'Options_modèle spécifié d''ECF'!$V$6:$V$38,"_2.")+SUMIFS('Options_modèle spécifié d''ECF'!$AO$6:$AO$38,'Options_modèle spécifié d''ECF'!$V$6:$V$38,"_3.")+SUMIFS('Options_modèle spécifié d''ECF'!$AO$6:$AO$38,'Options_modèle spécifié d''ECF'!$V$6:$V$38,"_4.")+SUMIFS('Options_modèle spécifié d''ECF'!$AO$6:$AO$38,'Options_modèle spécifié d''ECF'!$V$6:$V$38,"_5.")+SUMIFS('Options_modèle spécifié d''ECF'!$AO$6:$AO$38,'Options_modèle spécifié d''ECF'!$V$6:$V$38,"_6.")</f>
        <v>0</v>
      </c>
    </row>
    <row r="11" spans="2:17" x14ac:dyDescent="0.35">
      <c r="B11" s="370" t="s">
        <v>345</v>
      </c>
      <c r="C11" s="371"/>
      <c r="D11" s="371"/>
      <c r="E11" s="372"/>
    </row>
    <row r="12" spans="2:17" x14ac:dyDescent="0.35">
      <c r="B12" s="116" t="s">
        <v>342</v>
      </c>
      <c r="C12" s="87">
        <f>'Options_modèle spécifié d''ECF'!P57</f>
        <v>0</v>
      </c>
      <c r="D12" s="87">
        <f>'Options_modèle spécifié d''ECF'!R57</f>
        <v>0</v>
      </c>
      <c r="E12" s="117">
        <f>'Options_modèle spécifié d''ECF'!S57</f>
        <v>0</v>
      </c>
    </row>
    <row r="13" spans="2:17" ht="29" x14ac:dyDescent="0.35">
      <c r="B13" s="114" t="s">
        <v>341</v>
      </c>
      <c r="C13" s="44">
        <f>'Options_modèle spécifié d''ECF'!P61</f>
        <v>0</v>
      </c>
      <c r="D13" s="44">
        <f>'Options_modèle spécifié d''ECF'!R61</f>
        <v>0</v>
      </c>
      <c r="E13" s="115">
        <f>'Options_modèle spécifié d''ECF'!S61</f>
        <v>0</v>
      </c>
    </row>
    <row r="14" spans="2:17" ht="15" thickBot="1" x14ac:dyDescent="0.4">
      <c r="B14" s="118" t="s">
        <v>384</v>
      </c>
      <c r="C14" s="119">
        <f>'Options_modèle spécifié d''ECF'!P64</f>
        <v>0</v>
      </c>
      <c r="D14" s="119">
        <f>'Options_modèle spécifié d''ECF'!R64</f>
        <v>0</v>
      </c>
      <c r="E14" s="120">
        <f>'Options_modèle spécifié d''ECF'!S64</f>
        <v>0</v>
      </c>
    </row>
    <row r="15" spans="2:17" ht="31.5" customHeight="1" thickBot="1" x14ac:dyDescent="0.4">
      <c r="B15" s="107" t="s">
        <v>343</v>
      </c>
      <c r="C15" s="108">
        <f>'Options_modèle spécifié d''ECF'!P58+'Options_modèle spécifié d''ECF'!P63</f>
        <v>0</v>
      </c>
      <c r="D15" s="108">
        <f>'Options_modèle spécifié d''ECF'!R58+'Options_modèle spécifié d''ECF'!R63</f>
        <v>0</v>
      </c>
      <c r="E15" s="109">
        <f>'Options_modèle spécifié d''ECF'!S58+'Options_modèle spécifié d''ECF'!S63</f>
        <v>0</v>
      </c>
      <c r="G15" s="100"/>
    </row>
    <row r="16" spans="2:17" ht="10" customHeight="1" x14ac:dyDescent="0.35">
      <c r="G16" s="100"/>
    </row>
    <row r="17" spans="2:10" ht="14.25" customHeight="1" x14ac:dyDescent="0.35">
      <c r="B17" s="60" t="s">
        <v>385</v>
      </c>
      <c r="G17" s="100"/>
    </row>
    <row r="18" spans="2:10" ht="14.25" customHeight="1" x14ac:dyDescent="0.35">
      <c r="B18" s="60" t="s">
        <v>383</v>
      </c>
      <c r="G18" s="100"/>
    </row>
    <row r="19" spans="2:10" x14ac:dyDescent="0.35">
      <c r="B19" s="60" t="s">
        <v>386</v>
      </c>
    </row>
    <row r="20" spans="2:10" x14ac:dyDescent="0.35">
      <c r="B20" s="60" t="s">
        <v>346</v>
      </c>
    </row>
    <row r="22" spans="2:10" hidden="1" x14ac:dyDescent="0.35">
      <c r="B22" s="368" t="s">
        <v>3</v>
      </c>
      <c r="C22" s="368"/>
      <c r="D22" s="368"/>
      <c r="E22" s="368"/>
      <c r="F22" s="368"/>
      <c r="G22" s="368"/>
      <c r="H22" s="368"/>
      <c r="I22" s="368"/>
      <c r="J22" s="368"/>
    </row>
    <row r="23" spans="2:10" hidden="1" x14ac:dyDescent="0.35">
      <c r="B23" s="368"/>
      <c r="C23" s="368"/>
      <c r="D23" s="368"/>
      <c r="E23" s="368"/>
      <c r="F23" s="368"/>
      <c r="G23" s="368"/>
      <c r="H23" s="368"/>
      <c r="I23" s="368"/>
      <c r="J23" s="368"/>
    </row>
    <row r="24" spans="2:10" hidden="1" x14ac:dyDescent="0.35">
      <c r="B24" s="369"/>
      <c r="C24" s="369"/>
      <c r="D24" s="369"/>
      <c r="E24" s="369"/>
      <c r="F24" s="369"/>
      <c r="G24" s="369"/>
      <c r="H24" s="369"/>
      <c r="I24" s="369"/>
      <c r="J24" s="369"/>
    </row>
    <row r="25" spans="2:10" hidden="1" x14ac:dyDescent="0.35">
      <c r="B25" s="369"/>
      <c r="C25" s="369"/>
      <c r="D25" s="369"/>
      <c r="E25" s="369"/>
      <c r="F25" s="369"/>
      <c r="G25" s="369"/>
      <c r="H25" s="369"/>
      <c r="I25" s="369"/>
      <c r="J25" s="369"/>
    </row>
    <row r="26" spans="2:10" hidden="1" x14ac:dyDescent="0.35">
      <c r="B26" s="369"/>
      <c r="C26" s="369"/>
      <c r="D26" s="369"/>
      <c r="E26" s="369"/>
      <c r="F26" s="369"/>
      <c r="G26" s="369"/>
      <c r="H26" s="369"/>
      <c r="I26" s="369"/>
      <c r="J26" s="369"/>
    </row>
    <row r="27" spans="2:10" hidden="1" x14ac:dyDescent="0.35">
      <c r="B27" s="369"/>
      <c r="C27" s="369"/>
      <c r="D27" s="369"/>
      <c r="E27" s="369"/>
      <c r="F27" s="369"/>
      <c r="G27" s="369"/>
      <c r="H27" s="369"/>
      <c r="I27" s="369"/>
      <c r="J27" s="369"/>
    </row>
    <row r="28" spans="2:10" hidden="1" x14ac:dyDescent="0.35">
      <c r="B28" s="369"/>
      <c r="C28" s="369"/>
      <c r="D28" s="369"/>
      <c r="E28" s="369"/>
      <c r="F28" s="369"/>
      <c r="G28" s="369"/>
      <c r="H28" s="369"/>
      <c r="I28" s="369"/>
      <c r="J28" s="369"/>
    </row>
    <row r="29" spans="2:10" hidden="1" x14ac:dyDescent="0.35">
      <c r="B29" s="369"/>
      <c r="C29" s="369"/>
      <c r="D29" s="369"/>
      <c r="E29" s="369"/>
      <c r="F29" s="369"/>
      <c r="G29" s="369"/>
      <c r="H29" s="369"/>
      <c r="I29" s="369"/>
      <c r="J29" s="369"/>
    </row>
    <row r="30" spans="2:10" hidden="1" x14ac:dyDescent="0.35">
      <c r="B30" s="369"/>
      <c r="C30" s="369"/>
      <c r="D30" s="369"/>
      <c r="E30" s="369"/>
      <c r="F30" s="369"/>
      <c r="G30" s="369"/>
      <c r="H30" s="369"/>
      <c r="I30" s="369"/>
      <c r="J30" s="369"/>
    </row>
    <row r="31" spans="2:10" hidden="1" x14ac:dyDescent="0.35">
      <c r="B31" s="369"/>
      <c r="C31" s="369"/>
      <c r="D31" s="369"/>
      <c r="E31" s="369"/>
      <c r="F31" s="369"/>
      <c r="G31" s="369"/>
      <c r="H31" s="369"/>
      <c r="I31" s="369"/>
      <c r="J31" s="369"/>
    </row>
    <row r="32" spans="2:10" hidden="1" x14ac:dyDescent="0.35">
      <c r="B32" s="369"/>
      <c r="C32" s="369"/>
      <c r="D32" s="369"/>
      <c r="E32" s="369"/>
      <c r="F32" s="369"/>
      <c r="G32" s="369"/>
      <c r="H32" s="369"/>
      <c r="I32" s="369"/>
      <c r="J32" s="369"/>
    </row>
    <row r="33" spans="2:10" hidden="1" x14ac:dyDescent="0.35">
      <c r="B33" s="369"/>
      <c r="C33" s="369"/>
      <c r="D33" s="369"/>
      <c r="E33" s="369"/>
      <c r="F33" s="369"/>
      <c r="G33" s="369"/>
      <c r="H33" s="369"/>
      <c r="I33" s="369"/>
      <c r="J33" s="369"/>
    </row>
    <row r="34" spans="2:10" hidden="1" x14ac:dyDescent="0.35">
      <c r="B34" s="369"/>
      <c r="C34" s="369"/>
      <c r="D34" s="369"/>
      <c r="E34" s="369"/>
      <c r="F34" s="369"/>
      <c r="G34" s="369"/>
      <c r="H34" s="369"/>
      <c r="I34" s="369"/>
      <c r="J34" s="369"/>
    </row>
    <row r="35" spans="2:10" hidden="1" x14ac:dyDescent="0.35">
      <c r="B35" s="369"/>
      <c r="C35" s="369"/>
      <c r="D35" s="369"/>
      <c r="E35" s="369"/>
      <c r="F35" s="369"/>
      <c r="G35" s="369"/>
      <c r="H35" s="369"/>
      <c r="I35" s="369"/>
      <c r="J35" s="369"/>
    </row>
    <row r="36" spans="2:10" hidden="1" x14ac:dyDescent="0.35">
      <c r="B36" s="369"/>
      <c r="C36" s="369"/>
      <c r="D36" s="369"/>
      <c r="E36" s="369"/>
      <c r="F36" s="369"/>
      <c r="G36" s="369"/>
      <c r="H36" s="369"/>
      <c r="I36" s="369"/>
      <c r="J36" s="369"/>
    </row>
  </sheetData>
  <sheetProtection algorithmName="SHA-512" hashValue="2C2tRkgf1O4rWCN7MLioql3VhhMXKeNqNr57h7VHs5lpL0s9wVPEt+Ow38a4dK/qiqHrDPpbnOI97o2tBOCKnQ==" saltValue="cCqUn09YkhWsQrYqAEMfgA==" spinCount="100000" sheet="1" selectLockedCells="1" selectUnlockedCells="1"/>
  <mergeCells count="5">
    <mergeCell ref="B2:L4"/>
    <mergeCell ref="B22:J23"/>
    <mergeCell ref="B24:J36"/>
    <mergeCell ref="B11:E11"/>
    <mergeCell ref="B9: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AP64"/>
  <sheetViews>
    <sheetView showGridLines="0" tabSelected="1" zoomScale="80" zoomScaleNormal="80" zoomScaleSheetLayoutView="100" workbookViewId="0">
      <pane xSplit="2" ySplit="5" topLeftCell="C6" activePane="bottomRight" state="frozen"/>
      <selection pane="topRight" activeCell="C1" sqref="C1"/>
      <selection pane="bottomLeft" activeCell="A6" sqref="A6"/>
      <selection pane="bottomRight" activeCell="C22" sqref="C22"/>
    </sheetView>
  </sheetViews>
  <sheetFormatPr defaultColWidth="9.1796875" defaultRowHeight="27" customHeight="1" x14ac:dyDescent="0.35"/>
  <cols>
    <col min="1" max="1" width="32.1796875" customWidth="1"/>
    <col min="2" max="2" width="18.36328125" customWidth="1"/>
    <col min="3" max="3" width="28" customWidth="1"/>
    <col min="4" max="4" width="15.453125" customWidth="1"/>
    <col min="5" max="5" width="15.453125" style="18" customWidth="1"/>
    <col min="6" max="6" width="11.453125" style="18" bestFit="1" customWidth="1"/>
    <col min="7" max="7" width="13.453125" style="18" bestFit="1" customWidth="1"/>
    <col min="8" max="8" width="21.453125" style="18" bestFit="1" customWidth="1"/>
    <col min="9" max="15" width="14.36328125" style="18" customWidth="1"/>
    <col min="16" max="17" width="12.453125" style="18" customWidth="1"/>
    <col min="18" max="18" width="17.453125" customWidth="1"/>
    <col min="19" max="19" width="18.1796875" customWidth="1"/>
    <col min="20" max="20" width="15.6328125" customWidth="1"/>
    <col min="21" max="21" width="18.6328125" customWidth="1"/>
    <col min="22" max="22" width="9.1796875" hidden="1" customWidth="1"/>
    <col min="23" max="23" width="14.453125" customWidth="1"/>
    <col min="24" max="24" width="13.453125" customWidth="1"/>
    <col min="25" max="25" width="14.453125" customWidth="1"/>
    <col min="26" max="26" width="13.453125" customWidth="1"/>
    <col min="27" max="27" width="14.453125" customWidth="1"/>
    <col min="28" max="30" width="13.453125" customWidth="1"/>
    <col min="31" max="42" width="15.6328125" customWidth="1"/>
  </cols>
  <sheetData>
    <row r="1" spans="1:42" ht="27" customHeight="1" thickBot="1" x14ac:dyDescent="0.4">
      <c r="A1" s="189"/>
      <c r="B1" s="189"/>
      <c r="C1" s="189"/>
      <c r="D1" s="189"/>
      <c r="E1" s="190"/>
      <c r="F1" s="190"/>
      <c r="G1" s="190"/>
      <c r="H1" s="190"/>
      <c r="I1" s="190"/>
      <c r="J1" s="448" t="s">
        <v>141</v>
      </c>
      <c r="K1" s="449"/>
      <c r="L1" s="449"/>
      <c r="M1" s="449"/>
      <c r="N1" s="449"/>
      <c r="O1" s="449"/>
      <c r="P1" s="450"/>
      <c r="Q1" s="451"/>
      <c r="R1" s="444" t="s">
        <v>142</v>
      </c>
      <c r="S1" s="445"/>
      <c r="T1" s="445"/>
      <c r="U1" s="445"/>
      <c r="V1" s="445"/>
      <c r="W1" s="445"/>
      <c r="X1" s="445"/>
      <c r="Y1" s="446"/>
      <c r="Z1" s="446"/>
      <c r="AA1" s="445"/>
      <c r="AB1" s="445"/>
      <c r="AC1" s="445"/>
      <c r="AD1" s="447"/>
      <c r="AE1" s="435" t="s">
        <v>143</v>
      </c>
      <c r="AF1" s="436"/>
      <c r="AG1" s="436"/>
      <c r="AH1" s="436"/>
      <c r="AI1" s="436"/>
      <c r="AJ1" s="436"/>
      <c r="AK1" s="436"/>
      <c r="AL1" s="436"/>
      <c r="AM1" s="436"/>
      <c r="AN1" s="436"/>
      <c r="AO1" s="436"/>
      <c r="AP1" s="437"/>
    </row>
    <row r="2" spans="1:42" ht="16.5" customHeight="1" thickBot="1" x14ac:dyDescent="0.4">
      <c r="A2" s="191"/>
      <c r="B2" s="191"/>
      <c r="C2" s="191"/>
      <c r="D2" s="191"/>
      <c r="E2" s="191"/>
      <c r="F2" s="191"/>
      <c r="G2" s="191"/>
      <c r="H2" s="191"/>
      <c r="I2" s="191"/>
      <c r="J2" s="454" t="s">
        <v>324</v>
      </c>
      <c r="K2" s="455"/>
      <c r="L2" s="454" t="s">
        <v>325</v>
      </c>
      <c r="M2" s="455"/>
      <c r="N2" s="454" t="s">
        <v>326</v>
      </c>
      <c r="O2" s="456"/>
      <c r="P2" s="438" t="s">
        <v>4</v>
      </c>
      <c r="Q2" s="439"/>
      <c r="R2" s="192"/>
      <c r="S2" s="193"/>
      <c r="T2" s="193"/>
      <c r="U2" s="194"/>
      <c r="V2" s="195"/>
      <c r="W2" s="438" t="s">
        <v>324</v>
      </c>
      <c r="X2" s="439"/>
      <c r="Y2" s="452" t="s">
        <v>325</v>
      </c>
      <c r="Z2" s="453"/>
      <c r="AA2" s="452" t="s">
        <v>326</v>
      </c>
      <c r="AB2" s="453"/>
      <c r="AC2" s="438" t="s">
        <v>4</v>
      </c>
      <c r="AD2" s="439"/>
      <c r="AE2" s="193"/>
      <c r="AF2" s="193"/>
      <c r="AG2" s="193"/>
      <c r="AH2" s="193"/>
      <c r="AI2" s="438" t="s">
        <v>324</v>
      </c>
      <c r="AJ2" s="439"/>
      <c r="AK2" s="438" t="s">
        <v>325</v>
      </c>
      <c r="AL2" s="439"/>
      <c r="AM2" s="438" t="s">
        <v>326</v>
      </c>
      <c r="AN2" s="439"/>
      <c r="AO2" s="438" t="s">
        <v>4</v>
      </c>
      <c r="AP2" s="439"/>
    </row>
    <row r="3" spans="1:42" ht="16.5" customHeight="1" thickBot="1" x14ac:dyDescent="0.4">
      <c r="A3" s="191"/>
      <c r="B3" s="191"/>
      <c r="C3" s="191"/>
      <c r="D3" s="191"/>
      <c r="E3" s="191"/>
      <c r="F3" s="191"/>
      <c r="G3" s="191"/>
      <c r="H3" s="191"/>
      <c r="I3" s="191"/>
      <c r="J3" s="196" t="s">
        <v>283</v>
      </c>
      <c r="K3" s="197">
        <v>2022</v>
      </c>
      <c r="L3" s="196" t="s">
        <v>283</v>
      </c>
      <c r="M3" s="197">
        <v>2023</v>
      </c>
      <c r="N3" s="196" t="s">
        <v>283</v>
      </c>
      <c r="O3" s="207">
        <v>2024</v>
      </c>
      <c r="P3" s="204"/>
      <c r="Q3" s="199"/>
      <c r="R3" s="200"/>
      <c r="S3" s="201"/>
      <c r="T3" s="201"/>
      <c r="U3" s="202"/>
      <c r="V3" s="195"/>
      <c r="W3" s="203" t="s">
        <v>283</v>
      </c>
      <c r="X3" s="197"/>
      <c r="Y3" s="256" t="s">
        <v>283</v>
      </c>
      <c r="Z3" s="270"/>
      <c r="AA3" s="256" t="s">
        <v>283</v>
      </c>
      <c r="AB3" s="270"/>
      <c r="AC3" s="204"/>
      <c r="AD3" s="199"/>
      <c r="AE3" s="201"/>
      <c r="AF3" s="201"/>
      <c r="AG3" s="201"/>
      <c r="AH3" s="201"/>
      <c r="AI3" s="205" t="s">
        <v>283</v>
      </c>
      <c r="AJ3" s="197"/>
      <c r="AK3" s="205" t="s">
        <v>283</v>
      </c>
      <c r="AL3" s="197"/>
      <c r="AM3" s="206" t="s">
        <v>283</v>
      </c>
      <c r="AN3" s="198"/>
      <c r="AO3" s="204"/>
      <c r="AP3" s="199"/>
    </row>
    <row r="4" spans="1:42" s="3" customFormat="1" ht="64.5" customHeight="1" x14ac:dyDescent="0.35">
      <c r="A4" s="271" t="s">
        <v>328</v>
      </c>
      <c r="B4" s="271" t="s">
        <v>255</v>
      </c>
      <c r="C4" s="271" t="s">
        <v>257</v>
      </c>
      <c r="D4" s="271" t="s">
        <v>256</v>
      </c>
      <c r="E4" s="272" t="s">
        <v>258</v>
      </c>
      <c r="F4" s="272" t="s">
        <v>259</v>
      </c>
      <c r="G4" s="272" t="s">
        <v>265</v>
      </c>
      <c r="H4" s="272" t="s">
        <v>275</v>
      </c>
      <c r="I4" s="273" t="s">
        <v>277</v>
      </c>
      <c r="J4" s="274" t="s">
        <v>278</v>
      </c>
      <c r="K4" s="275" t="s">
        <v>280</v>
      </c>
      <c r="L4" s="276" t="s">
        <v>278</v>
      </c>
      <c r="M4" s="273" t="s">
        <v>281</v>
      </c>
      <c r="N4" s="274" t="s">
        <v>278</v>
      </c>
      <c r="O4" s="273" t="s">
        <v>282</v>
      </c>
      <c r="P4" s="277" t="s">
        <v>284</v>
      </c>
      <c r="Q4" s="278" t="s">
        <v>285</v>
      </c>
      <c r="R4" s="314" t="s">
        <v>257</v>
      </c>
      <c r="S4" s="279" t="s">
        <v>256</v>
      </c>
      <c r="T4" s="280" t="s">
        <v>265</v>
      </c>
      <c r="U4" s="284" t="s">
        <v>275</v>
      </c>
      <c r="V4" s="281"/>
      <c r="W4" s="282" t="s">
        <v>278</v>
      </c>
      <c r="X4" s="283" t="s">
        <v>280</v>
      </c>
      <c r="Y4" s="282" t="s">
        <v>278</v>
      </c>
      <c r="Z4" s="283" t="s">
        <v>281</v>
      </c>
      <c r="AA4" s="282" t="s">
        <v>278</v>
      </c>
      <c r="AB4" s="283" t="s">
        <v>282</v>
      </c>
      <c r="AC4" s="306" t="s">
        <v>284</v>
      </c>
      <c r="AD4" s="284" t="s">
        <v>285</v>
      </c>
      <c r="AE4" s="304" t="s">
        <v>257</v>
      </c>
      <c r="AF4" s="285" t="s">
        <v>256</v>
      </c>
      <c r="AG4" s="286" t="s">
        <v>265</v>
      </c>
      <c r="AH4" s="287" t="s">
        <v>275</v>
      </c>
      <c r="AI4" s="288" t="s">
        <v>278</v>
      </c>
      <c r="AJ4" s="289" t="s">
        <v>280</v>
      </c>
      <c r="AK4" s="288" t="s">
        <v>278</v>
      </c>
      <c r="AL4" s="289" t="s">
        <v>281</v>
      </c>
      <c r="AM4" s="288" t="s">
        <v>278</v>
      </c>
      <c r="AN4" s="289" t="s">
        <v>282</v>
      </c>
      <c r="AO4" s="288" t="s">
        <v>284</v>
      </c>
      <c r="AP4" s="289" t="s">
        <v>285</v>
      </c>
    </row>
    <row r="5" spans="1:42" s="3" customFormat="1" ht="41.5" customHeight="1" thickBot="1" x14ac:dyDescent="0.4">
      <c r="A5" s="290"/>
      <c r="B5" s="291" t="s">
        <v>274</v>
      </c>
      <c r="C5" s="291" t="s">
        <v>274</v>
      </c>
      <c r="D5" s="290"/>
      <c r="E5" s="292"/>
      <c r="F5" s="292"/>
      <c r="G5" s="292"/>
      <c r="H5" s="293" t="s">
        <v>276</v>
      </c>
      <c r="I5" s="294"/>
      <c r="J5" s="295" t="s">
        <v>279</v>
      </c>
      <c r="K5" s="275"/>
      <c r="L5" s="296" t="s">
        <v>279</v>
      </c>
      <c r="M5" s="273"/>
      <c r="N5" s="297" t="s">
        <v>279</v>
      </c>
      <c r="O5" s="294"/>
      <c r="P5" s="298"/>
      <c r="Q5" s="299"/>
      <c r="R5" s="315" t="s">
        <v>274</v>
      </c>
      <c r="S5" s="279"/>
      <c r="T5" s="280"/>
      <c r="U5" s="284"/>
      <c r="V5" s="281"/>
      <c r="W5" s="300" t="s">
        <v>279</v>
      </c>
      <c r="X5" s="284"/>
      <c r="Y5" s="300" t="s">
        <v>279</v>
      </c>
      <c r="Z5" s="284"/>
      <c r="AA5" s="300" t="s">
        <v>279</v>
      </c>
      <c r="AB5" s="284"/>
      <c r="AC5" s="300"/>
      <c r="AD5" s="284"/>
      <c r="AE5" s="305" t="s">
        <v>274</v>
      </c>
      <c r="AF5" s="285"/>
      <c r="AG5" s="286"/>
      <c r="AH5" s="287"/>
      <c r="AI5" s="301" t="s">
        <v>279</v>
      </c>
      <c r="AJ5" s="289"/>
      <c r="AK5" s="301" t="s">
        <v>279</v>
      </c>
      <c r="AL5" s="289"/>
      <c r="AM5" s="301" t="s">
        <v>279</v>
      </c>
      <c r="AN5" s="289"/>
      <c r="AO5" s="301"/>
      <c r="AP5" s="289"/>
    </row>
    <row r="6" spans="1:42" s="7" customFormat="1" ht="27" customHeight="1" x14ac:dyDescent="0.35">
      <c r="A6" s="242" t="s">
        <v>329</v>
      </c>
      <c r="B6" s="78"/>
      <c r="C6" s="27"/>
      <c r="D6" s="129" t="str">
        <f>IFERROR(INDEX('Prix et modèle des ECF''	'!$A$3:$O$300,MATCH('Options_modèle spécifié d''ECF'!$C6,'Prix et modèle des ECF''	'!$E$3:$E$300,0),MATCH('Options_modèle spécifié d''ECF'!D$4,'Prix et modèle des ECF''	'!$A$3:$O$3,0)),"")</f>
        <v/>
      </c>
      <c r="E6" s="130" t="str">
        <f>IFERROR(INDEX('Prix et modèle des ECF''	'!$A$3:$O$300,MATCH('Options_modèle spécifié d''ECF'!$C6,'Prix et modèle des ECF''	'!$E$3:$E$300,0),MATCH('Options_modèle spécifié d''ECF'!E$4,'Prix et modèle des ECF''	'!$A$3:$O$3,0)),"")</f>
        <v/>
      </c>
      <c r="F6" s="130" t="str">
        <f>IFERROR(INDEX('Prix et modèle des ECF''	'!$A$3:$O$300,MATCH('Options_modèle spécifié d''ECF'!$C6,'Prix et modèle des ECF''	'!$E$3:$E$300,0),MATCH('Options_modèle spécifié d''ECF'!F$4,'Prix et modèle des ECF''	'!$A$3:$O$3,0)),"")</f>
        <v/>
      </c>
      <c r="G6" s="131" t="str">
        <f>IFERROR(INDEX('Prix et modèle des ECF''	'!$A$3:$O$300,MATCH('Options_modèle spécifié d''ECF'!$C6,'Prix et modèle des ECF''	'!$E$3:$E$300,0),MATCH('Options_modèle spécifié d''ECF'!G$4,'Prix et modèle des ECF''	'!$A$3:$O$3,0)),"")</f>
        <v/>
      </c>
      <c r="H6" s="36"/>
      <c r="I6" s="48" t="str">
        <f>IF(ISERROR(IF(ISERROR(MATCH($A6,Reference_Dropdown1!$B$27:$B$39,0)),G6+$H6,G6)),"",IF(ISERROR(MATCH($A6,Reference_Dropdown1!$B$27:$B$39,0)),G6+$H6,"N/A"))</f>
        <v/>
      </c>
      <c r="J6" s="208"/>
      <c r="K6" s="79" t="str">
        <f>IFERROR(IF(I6="N/A",G6*J6,I6*J6),"")</f>
        <v/>
      </c>
      <c r="L6" s="208"/>
      <c r="M6" s="79" t="str">
        <f>IFERROR(IF(I6="N/A",G6*L6,I6*L6),"")</f>
        <v/>
      </c>
      <c r="N6" s="209"/>
      <c r="O6" s="320" t="str">
        <f>IFERROR(IF(I6="N/A",G6*N6,I6*N6),"")</f>
        <v/>
      </c>
      <c r="P6" s="322">
        <f t="shared" ref="P6:P38" si="0">SUMIFS(N:N,C:C,C6)+SUMIFS(L:L,C:C,C6)+SUMIFS(J:J,C:C,C6)</f>
        <v>0</v>
      </c>
      <c r="Q6" s="80" t="str">
        <f t="shared" ref="Q6:Q11" si="1">IFERROR(IF(I6="N/A",G6*P6,I6*P6),"")</f>
        <v/>
      </c>
      <c r="R6" s="214"/>
      <c r="S6" s="129" t="str">
        <f>IFERROR(INDEX('Prix et modèle des ECF''	'!$A$3:$O$300,MATCH('Options_modèle spécifié d''ECF'!$R6,'Prix et modèle des ECF''	'!$E$3:$E$300,0),MATCH('Options_modèle spécifié d''ECF'!S$4,'Prix et modèle des ECF''	'!$A$3:$O$3,0)),"")</f>
        <v/>
      </c>
      <c r="T6" s="130" t="str">
        <f>IFERROR(INDEX('Prix et modèle des ECF''	'!$A$3:$O$300,MATCH('Options_modèle spécifié d''ECF'!$R6,'Prix et modèle des ECF''	'!$E$3:$E$300,0),MATCH('Options_modèle spécifié d''ECF'!T$4,'Prix et modèle des ECF''	'!$A$3:$O$3,0)),"")</f>
        <v/>
      </c>
      <c r="U6" s="316" t="str">
        <f>IF(ISERROR(IF(ISERROR(MATCH($A6,Reference_Dropdown1!$B$27:$B$39,0)),T6+$H6,T6)),"",IF(ISERROR(MATCH($A6,Reference_Dropdown1!$B$27:$B$39,0)),T6+$H6,"N/A"))</f>
        <v/>
      </c>
      <c r="V6" s="311" t="str">
        <f t="shared" ref="V6:V38" si="2">LEFT(A6,3)</f>
        <v>_1.</v>
      </c>
      <c r="W6" s="210"/>
      <c r="X6" s="127" t="str">
        <f>IFERROR(IF(U6="N/A",T6*W6,U6*W6),"")</f>
        <v/>
      </c>
      <c r="Y6" s="211"/>
      <c r="Z6" s="257" t="str">
        <f>IFERROR(IF(U6="N/A",T6*Y6,U6*Y6),"")</f>
        <v/>
      </c>
      <c r="AA6" s="211"/>
      <c r="AB6" s="257" t="str">
        <f>IFERROR(IF(U6="N/A",T6*AA6,U6*AA6),"")</f>
        <v/>
      </c>
      <c r="AC6" s="307">
        <f t="shared" ref="AC6:AC38" si="3">SUMIFS(W:W,C:C,C6)+SUMIFS(Y:Y,C:C,C6)+SUMIFS(AA:AA,C:C,C6)</f>
        <v>0</v>
      </c>
      <c r="AD6" s="128" t="str">
        <f>IFERROR(IF(U6="N/A",T6*AC6,U6*AC6),"")</f>
        <v/>
      </c>
      <c r="AE6" s="212"/>
      <c r="AF6" s="269" t="str">
        <f>IFERROR(INDEX('Prix et modèle des ECF''	'!$A$3:$O$300,MATCH('Options_modèle spécifié d''ECF'!$AE6,'Prix et modèle des ECF''	'!$E$3:$E$300,0),MATCH('Options_modèle spécifié d''ECF'!AF$4,'Prix et modèle des ECF''	'!$A$3:$O$3,0)),"")</f>
        <v/>
      </c>
      <c r="AG6" s="131" t="str">
        <f>IFERROR(INDEX('Prix et modèle des ECF''	'!$A$3:$O$300,MATCH('Options_modèle spécifié d''ECF'!$AE6,'Prix et modèle des ECF''	'!$E$3:$E$300,0),MATCH('Options_modèle spécifié d''ECF'!AG$4,'Prix et modèle des ECF''	'!$A$3:$O$3,0)),"")</f>
        <v/>
      </c>
      <c r="AH6" s="302" t="str">
        <f>IF(ISERROR(IF(ISERROR(MATCH($A6,Reference_Dropdown1!$B$27:$B$39,0)),AG6+$H6,AG6)),"",IF(ISERROR(MATCH($A6,Reference_Dropdown1!$B$27:$B$39,0)),AG6+$H6,"N/A"))</f>
        <v/>
      </c>
      <c r="AI6" s="214"/>
      <c r="AJ6" s="128" t="str">
        <f t="shared" ref="AJ6:AJ38" si="4">IFERROR(IF(U6="N/A",AG6*AI6,AH6*AI6),"")</f>
        <v/>
      </c>
      <c r="AK6" s="214"/>
      <c r="AL6" s="128" t="str">
        <f t="shared" ref="AL6:AL38" si="5">IFERROR(IF(U6="N/A",AG6*AK6,AH6*AK6),"")</f>
        <v/>
      </c>
      <c r="AM6" s="214"/>
      <c r="AN6" s="128" t="str">
        <f t="shared" ref="AN6:AN38" si="6">IFERROR(IF(U6="N/A",AG6*AM6,AH6*AM6),"")</f>
        <v/>
      </c>
      <c r="AO6" s="114">
        <f t="shared" ref="AO6:AO38" si="7">SUMIFS(AM:AM,C:C,C6)+SUMIFS(AK:AK,C:C,C6)+SUMIFS(AI:AI,C:C,C6)</f>
        <v>0</v>
      </c>
      <c r="AP6" s="128" t="str">
        <f>IFERROR(IF(AH6="N/A",AG6*AO6,AH6*AO6),"")</f>
        <v/>
      </c>
    </row>
    <row r="7" spans="1:42" s="7" customFormat="1" ht="27" customHeight="1" x14ac:dyDescent="0.35">
      <c r="A7" s="242" t="s">
        <v>266</v>
      </c>
      <c r="B7" s="78"/>
      <c r="C7" s="27"/>
      <c r="D7" s="129" t="str">
        <f>IFERROR(INDEX('Prix et modèle des ECF''	'!$A$3:$O$300,MATCH('Options_modèle spécifié d''ECF'!$C7,'Prix et modèle des ECF''	'!$E$3:$E$300,0),MATCH('Options_modèle spécifié d''ECF'!D$4,'Prix et modèle des ECF''	'!$A$3:$O$3,0)),"")</f>
        <v/>
      </c>
      <c r="E7" s="130" t="str">
        <f>IFERROR(INDEX('Prix et modèle des ECF''	'!$A$3:$O$300,MATCH('Options_modèle spécifié d''ECF'!$C7,'Prix et modèle des ECF''	'!$E$3:$E$300,0),MATCH('Options_modèle spécifié d''ECF'!E$4,'Prix et modèle des ECF''	'!$A$3:$O$3,0)),"")</f>
        <v/>
      </c>
      <c r="F7" s="130" t="str">
        <f>IFERROR(INDEX('Prix et modèle des ECF''	'!$A$3:$O$300,MATCH('Options_modèle spécifié d''ECF'!$C7,'Prix et modèle des ECF''	'!$E$3:$E$300,0),MATCH('Options_modèle spécifié d''ECF'!F$4,'Prix et modèle des ECF''	'!$A$3:$O$3,0)),"")</f>
        <v/>
      </c>
      <c r="G7" s="131" t="str">
        <f>IFERROR(INDEX('Prix et modèle des ECF''	'!$A$3:$O$300,MATCH('Options_modèle spécifié d''ECF'!$C7,'Prix et modèle des ECF''	'!$E$3:$E$300,0),MATCH('Options_modèle spécifié d''ECF'!G$4,'Prix et modèle des ECF''	'!$A$3:$O$3,0)),"")</f>
        <v/>
      </c>
      <c r="H7" s="36"/>
      <c r="I7" s="48" t="str">
        <f>IF(ISERROR(IF(ISERROR(MATCH($A7,Reference_Dropdown1!$B$27:$B$39,0)),G7+$H7,G7)),"",IF(ISERROR(MATCH($A7,Reference_Dropdown1!$B$27:$B$39,0)),G7+$H7,"N/A"))</f>
        <v/>
      </c>
      <c r="J7" s="213"/>
      <c r="K7" s="80" t="str">
        <f t="shared" ref="K7:K38" si="8">IFERROR(IF(I7="N/A",G7*J7,I7*J7),"")</f>
        <v/>
      </c>
      <c r="L7" s="213"/>
      <c r="M7" s="80" t="str">
        <f t="shared" ref="M7:M38" si="9">IFERROR(IF(I7="N/A",G7*L7,I7*L7),"")</f>
        <v/>
      </c>
      <c r="N7" s="209"/>
      <c r="O7" s="320" t="str">
        <f t="shared" ref="O7:O38" si="10">IFERROR(IF(I7="N/A",G7*N7,I7*N7),"")</f>
        <v/>
      </c>
      <c r="P7" s="322">
        <f t="shared" si="0"/>
        <v>0</v>
      </c>
      <c r="Q7" s="80" t="str">
        <f t="shared" si="1"/>
        <v/>
      </c>
      <c r="R7" s="214"/>
      <c r="S7" s="129" t="str">
        <f>IFERROR(INDEX('Prix et modèle des ECF''	'!$A$3:$O$300,MATCH('Options_modèle spécifié d''ECF'!$R7,'Prix et modèle des ECF''	'!$E$3:$E$300,0),MATCH('Options_modèle spécifié d''ECF'!S$4,'Prix et modèle des ECF''	'!$A$3:$O$3,0)),"")</f>
        <v/>
      </c>
      <c r="T7" s="130" t="str">
        <f>IFERROR(INDEX('Prix et modèle des ECF''	'!$A$3:$O$300,MATCH('Options_modèle spécifié d''ECF'!$R7,'Prix et modèle des ECF''	'!$E$3:$E$300,0),MATCH('Options_modèle spécifié d''ECF'!T$4,'Prix et modèle des ECF''	'!$A$3:$O$3,0)),"")</f>
        <v/>
      </c>
      <c r="U7" s="316" t="str">
        <f>IF(ISERROR(IF(ISERROR(MATCH($A7,Reference_Dropdown1!$B$27:$B$39,0)),T7+$H7,T7)),"",IF(ISERROR(MATCH($A7,Reference_Dropdown1!$B$27:$B$39,0)),T7+$H7,"N/A"))</f>
        <v/>
      </c>
      <c r="V7" s="311" t="str">
        <f t="shared" si="2"/>
        <v>_1.</v>
      </c>
      <c r="W7" s="214"/>
      <c r="X7" s="128" t="str">
        <f>IFERROR(IF(U7="N/A",T7*W7,U7*W7),"")</f>
        <v/>
      </c>
      <c r="Y7" s="214"/>
      <c r="Z7" s="128" t="str">
        <f t="shared" ref="Z7:Z38" si="11">IFERROR(IF(U7="N/A",T7*Y7,U7*Y7),"")</f>
        <v/>
      </c>
      <c r="AA7" s="214"/>
      <c r="AB7" s="128" t="str">
        <f t="shared" ref="AB7:AB38" si="12">IFERROR(IF(U7="N/A",T7*AA7,U7*AA7),"")</f>
        <v/>
      </c>
      <c r="AC7" s="308">
        <f t="shared" si="3"/>
        <v>0</v>
      </c>
      <c r="AD7" s="128" t="str">
        <f t="shared" ref="AD7:AD38" si="13">IFERROR(IF(U7="N/A",T7*AC7,U7*AC7),"")</f>
        <v/>
      </c>
      <c r="AE7" s="212"/>
      <c r="AF7" s="269" t="str">
        <f>IFERROR(INDEX('Prix et modèle des ECF''	'!$A$3:$O$300,MATCH('Options_modèle spécifié d''ECF'!$AE7,'Prix et modèle des ECF''	'!$E$3:$E$300,0),MATCH('Options_modèle spécifié d''ECF'!AF$4,'Prix et modèle des ECF''	'!$A$3:$O$3,0)),"")</f>
        <v/>
      </c>
      <c r="AG7" s="131" t="str">
        <f>IFERROR(INDEX('Prix et modèle des ECF''	'!$A$3:$O$300,MATCH('Options_modèle spécifié d''ECF'!$AE7,'Prix et modèle des ECF''	'!$E$3:$E$300,0),MATCH('Options_modèle spécifié d''ECF'!AG$4,'Prix et modèle des ECF''	'!$A$3:$O$3,0)),"")</f>
        <v/>
      </c>
      <c r="AH7" s="302" t="str">
        <f>IF(ISERROR(IF(ISERROR(MATCH($A7,Reference_Dropdown1!$B$27:$B$39,0)),AG7+$H7,AG7)),"",IF(ISERROR(MATCH($A7,Reference_Dropdown1!$B$27:$B$39,0)),AG7+$H7,"N/A"))</f>
        <v/>
      </c>
      <c r="AI7" s="214"/>
      <c r="AJ7" s="128" t="str">
        <f t="shared" si="4"/>
        <v/>
      </c>
      <c r="AK7" s="214"/>
      <c r="AL7" s="128" t="str">
        <f t="shared" si="5"/>
        <v/>
      </c>
      <c r="AM7" s="214"/>
      <c r="AN7" s="128" t="str">
        <f t="shared" si="6"/>
        <v/>
      </c>
      <c r="AO7" s="114">
        <f t="shared" si="7"/>
        <v>0</v>
      </c>
      <c r="AP7" s="128" t="str">
        <f t="shared" ref="AP7:AP38" si="14">IFERROR(IF(AH7="N/A",AG7*AO7,AH7*AO7),"")</f>
        <v/>
      </c>
    </row>
    <row r="8" spans="1:42" s="7" customFormat="1" ht="27" customHeight="1" x14ac:dyDescent="0.35">
      <c r="A8" s="242" t="s">
        <v>266</v>
      </c>
      <c r="B8" s="78"/>
      <c r="C8" s="27"/>
      <c r="D8" s="129" t="str">
        <f>IFERROR(INDEX('Prix et modèle des ECF''	'!$A$3:$O$300,MATCH('Options_modèle spécifié d''ECF'!$C8,'Prix et modèle des ECF''	'!$E$3:$E$300,0),MATCH('Options_modèle spécifié d''ECF'!D$4,'Prix et modèle des ECF''	'!$A$3:$O$3,0)),"")</f>
        <v/>
      </c>
      <c r="E8" s="130" t="str">
        <f>IFERROR(INDEX('Prix et modèle des ECF''	'!$A$3:$O$300,MATCH('Options_modèle spécifié d''ECF'!$C8,'Prix et modèle des ECF''	'!$E$3:$E$300,0),MATCH('Options_modèle spécifié d''ECF'!E$4,'Prix et modèle des ECF''	'!$A$3:$O$3,0)),"")</f>
        <v/>
      </c>
      <c r="F8" s="130" t="str">
        <f>IFERROR(INDEX('Prix et modèle des ECF''	'!$A$3:$O$300,MATCH('Options_modèle spécifié d''ECF'!$C8,'Prix et modèle des ECF''	'!$E$3:$E$300,0),MATCH('Options_modèle spécifié d''ECF'!F$4,'Prix et modèle des ECF''	'!$A$3:$O$3,0)),"")</f>
        <v/>
      </c>
      <c r="G8" s="131" t="str">
        <f>IFERROR(INDEX('Prix et modèle des ECF''	'!$A$3:$O$300,MATCH('Options_modèle spécifié d''ECF'!$C8,'Prix et modèle des ECF''	'!$E$3:$E$300,0),MATCH('Options_modèle spécifié d''ECF'!G$4,'Prix et modèle des ECF''	'!$A$3:$O$3,0)),"")</f>
        <v/>
      </c>
      <c r="H8" s="36"/>
      <c r="I8" s="48" t="str">
        <f>IF(ISERROR(IF(ISERROR(MATCH($A8,Reference_Dropdown1!$B$27:$B$39,0)),G8+$H8,G8)),"",IF(ISERROR(MATCH($A8,Reference_Dropdown1!$B$27:$B$39,0)),G8+$H8,"N/A"))</f>
        <v/>
      </c>
      <c r="J8" s="213"/>
      <c r="K8" s="80" t="str">
        <f t="shared" si="8"/>
        <v/>
      </c>
      <c r="L8" s="213"/>
      <c r="M8" s="80" t="str">
        <f t="shared" si="9"/>
        <v/>
      </c>
      <c r="N8" s="209"/>
      <c r="O8" s="320" t="str">
        <f t="shared" si="10"/>
        <v/>
      </c>
      <c r="P8" s="322">
        <f t="shared" si="0"/>
        <v>0</v>
      </c>
      <c r="Q8" s="80" t="str">
        <f t="shared" si="1"/>
        <v/>
      </c>
      <c r="R8" s="214"/>
      <c r="S8" s="129" t="str">
        <f>IFERROR(INDEX('Prix et modèle des ECF''	'!$A$3:$O$300,MATCH('Options_modèle spécifié d''ECF'!$R8,'Prix et modèle des ECF''	'!$E$3:$E$300,0),MATCH('Options_modèle spécifié d''ECF'!S$4,'Prix et modèle des ECF''	'!$A$3:$O$3,0)),"")</f>
        <v/>
      </c>
      <c r="T8" s="130" t="str">
        <f>IFERROR(INDEX('Prix et modèle des ECF''	'!$A$3:$O$300,MATCH('Options_modèle spécifié d''ECF'!$R8,'Prix et modèle des ECF''	'!$E$3:$E$300,0),MATCH('Options_modèle spécifié d''ECF'!T$4,'Prix et modèle des ECF''	'!$A$3:$O$3,0)),"")</f>
        <v/>
      </c>
      <c r="U8" s="316" t="str">
        <f>IF(ISERROR(IF(ISERROR(MATCH($A8,Reference_Dropdown1!$B$27:$B$39,0)),T8+$H8,T8)),"",IF(ISERROR(MATCH($A8,Reference_Dropdown1!$B$27:$B$39,0)),T8+$H8,"N/A"))</f>
        <v/>
      </c>
      <c r="V8" s="311" t="str">
        <f t="shared" si="2"/>
        <v>_1.</v>
      </c>
      <c r="W8" s="214"/>
      <c r="X8" s="128" t="str">
        <f t="shared" ref="X8:X38" si="15">IFERROR(IF(U8="N/A",T8*W8,U8*W8),"")</f>
        <v/>
      </c>
      <c r="Y8" s="214"/>
      <c r="Z8" s="128" t="str">
        <f t="shared" si="11"/>
        <v/>
      </c>
      <c r="AA8" s="214"/>
      <c r="AB8" s="128" t="str">
        <f t="shared" si="12"/>
        <v/>
      </c>
      <c r="AC8" s="308">
        <f t="shared" si="3"/>
        <v>0</v>
      </c>
      <c r="AD8" s="128" t="str">
        <f t="shared" si="13"/>
        <v/>
      </c>
      <c r="AE8" s="212"/>
      <c r="AF8" s="269" t="str">
        <f>IFERROR(INDEX('Prix et modèle des ECF''	'!$A$3:$O$300,MATCH('Options_modèle spécifié d''ECF'!$AE8,'Prix et modèle des ECF''	'!$E$3:$E$300,0),MATCH('Options_modèle spécifié d''ECF'!AF$4,'Prix et modèle des ECF''	'!$A$3:$O$3,0)),"")</f>
        <v/>
      </c>
      <c r="AG8" s="131" t="str">
        <f>IFERROR(INDEX('Prix et modèle des ECF''	'!$A$3:$O$300,MATCH('Options_modèle spécifié d''ECF'!$AE8,'Prix et modèle des ECF''	'!$E$3:$E$300,0),MATCH('Options_modèle spécifié d''ECF'!AG$4,'Prix et modèle des ECF''	'!$A$3:$O$3,0)),"")</f>
        <v/>
      </c>
      <c r="AH8" s="302" t="str">
        <f>IF(ISERROR(IF(ISERROR(MATCH($A8,Reference_Dropdown1!$B$27:$B$39,0)),AG8+$H8,AG8)),"",IF(ISERROR(MATCH($A8,Reference_Dropdown1!$B$27:$B$39,0)),AG8+$H8,"N/A"))</f>
        <v/>
      </c>
      <c r="AI8" s="214"/>
      <c r="AJ8" s="128" t="str">
        <f t="shared" si="4"/>
        <v/>
      </c>
      <c r="AK8" s="214"/>
      <c r="AL8" s="128" t="str">
        <f t="shared" si="5"/>
        <v/>
      </c>
      <c r="AM8" s="214"/>
      <c r="AN8" s="128" t="str">
        <f t="shared" si="6"/>
        <v/>
      </c>
      <c r="AO8" s="114">
        <f t="shared" si="7"/>
        <v>0</v>
      </c>
      <c r="AP8" s="128" t="str">
        <f t="shared" si="14"/>
        <v/>
      </c>
    </row>
    <row r="9" spans="1:42" s="7" customFormat="1" ht="27" customHeight="1" x14ac:dyDescent="0.35">
      <c r="A9" s="243" t="s">
        <v>267</v>
      </c>
      <c r="B9" s="78"/>
      <c r="C9" s="27"/>
      <c r="D9" s="129" t="str">
        <f>IFERROR(INDEX('Prix et modèle des ECF''	'!$A$3:$O$300,MATCH('Options_modèle spécifié d''ECF'!$C9,'Prix et modèle des ECF''	'!$E$3:$E$300,0),MATCH('Options_modèle spécifié d''ECF'!D$4,'Prix et modèle des ECF''	'!$A$3:$O$3,0)),"")</f>
        <v/>
      </c>
      <c r="E9" s="130" t="str">
        <f>IFERROR(INDEX('Prix et modèle des ECF''	'!$A$3:$O$300,MATCH('Options_modèle spécifié d''ECF'!$C9,'Prix et modèle des ECF''	'!$E$3:$E$300,0),MATCH('Options_modèle spécifié d''ECF'!E$4,'Prix et modèle des ECF''	'!$A$3:$O$3,0)),"")</f>
        <v/>
      </c>
      <c r="F9" s="130" t="str">
        <f>IFERROR(INDEX('Prix et modèle des ECF''	'!$A$3:$O$300,MATCH('Options_modèle spécifié d''ECF'!$C9,'Prix et modèle des ECF''	'!$E$3:$E$300,0),MATCH('Options_modèle spécifié d''ECF'!F$4,'Prix et modèle des ECF''	'!$A$3:$O$3,0)),"")</f>
        <v/>
      </c>
      <c r="G9" s="131" t="str">
        <f>IFERROR(INDEX('Prix et modèle des ECF''	'!$A$3:$O$300,MATCH('Options_modèle spécifié d''ECF'!$C9,'Prix et modèle des ECF''	'!$E$3:$E$300,0),MATCH('Options_modèle spécifié d''ECF'!G$4,'Prix et modèle des ECF''	'!$A$3:$O$3,0)),"")</f>
        <v/>
      </c>
      <c r="H9" s="36"/>
      <c r="I9" s="48" t="str">
        <f>IF(ISERROR(IF(ISERROR(MATCH($A9,Reference_Dropdown1!$B$27:$B$39,0)),G9+$H9,G9)),"",IF(ISERROR(MATCH($A9,Reference_Dropdown1!$B$27:$B$39,0)),G9+$H9,"N/A"))</f>
        <v/>
      </c>
      <c r="J9" s="213"/>
      <c r="K9" s="80" t="str">
        <f t="shared" si="8"/>
        <v/>
      </c>
      <c r="L9" s="213"/>
      <c r="M9" s="80" t="str">
        <f t="shared" si="9"/>
        <v/>
      </c>
      <c r="N9" s="209"/>
      <c r="O9" s="320" t="str">
        <f t="shared" si="10"/>
        <v/>
      </c>
      <c r="P9" s="322">
        <f t="shared" si="0"/>
        <v>0</v>
      </c>
      <c r="Q9" s="80" t="str">
        <f t="shared" si="1"/>
        <v/>
      </c>
      <c r="R9" s="214"/>
      <c r="S9" s="129" t="str">
        <f>IFERROR(INDEX('Prix et modèle des ECF''	'!$A$3:$O$300,MATCH('Options_modèle spécifié d''ECF'!$R9,'Prix et modèle des ECF''	'!$E$3:$E$300,0),MATCH('Options_modèle spécifié d''ECF'!S$4,'Prix et modèle des ECF''	'!$A$3:$O$3,0)),"")</f>
        <v/>
      </c>
      <c r="T9" s="130" t="str">
        <f>IFERROR(INDEX('Prix et modèle des ECF''	'!$A$3:$O$300,MATCH('Options_modèle spécifié d''ECF'!$R9,'Prix et modèle des ECF''	'!$E$3:$E$300,0),MATCH('Options_modèle spécifié d''ECF'!T$4,'Prix et modèle des ECF''	'!$A$3:$O$3,0)),"")</f>
        <v/>
      </c>
      <c r="U9" s="316" t="str">
        <f>IF(ISERROR(IF(ISERROR(MATCH($A9,Reference_Dropdown1!$B$27:$B$39,0)),T9+$H9,T9)),"",IF(ISERROR(MATCH($A9,Reference_Dropdown1!$B$27:$B$39,0)),T9+$H9,"N/A"))</f>
        <v/>
      </c>
      <c r="V9" s="311" t="str">
        <f t="shared" si="2"/>
        <v>_2.</v>
      </c>
      <c r="W9" s="214"/>
      <c r="X9" s="128" t="str">
        <f t="shared" si="15"/>
        <v/>
      </c>
      <c r="Y9" s="214"/>
      <c r="Z9" s="128" t="str">
        <f t="shared" si="11"/>
        <v/>
      </c>
      <c r="AA9" s="214"/>
      <c r="AB9" s="128" t="str">
        <f t="shared" si="12"/>
        <v/>
      </c>
      <c r="AC9" s="308">
        <f t="shared" si="3"/>
        <v>0</v>
      </c>
      <c r="AD9" s="128" t="str">
        <f t="shared" si="13"/>
        <v/>
      </c>
      <c r="AE9" s="212"/>
      <c r="AF9" s="269" t="str">
        <f>IFERROR(INDEX('Prix et modèle des ECF''	'!$A$3:$O$300,MATCH('Options_modèle spécifié d''ECF'!$AE9,'Prix et modèle des ECF''	'!$E$3:$E$300,0),MATCH('Options_modèle spécifié d''ECF'!AF$4,'Prix et modèle des ECF''	'!$A$3:$O$3,0)),"")</f>
        <v/>
      </c>
      <c r="AG9" s="131" t="str">
        <f>IFERROR(INDEX('Prix et modèle des ECF''	'!$A$3:$O$300,MATCH('Options_modèle spécifié d''ECF'!$AE9,'Prix et modèle des ECF''	'!$E$3:$E$300,0),MATCH('Options_modèle spécifié d''ECF'!AG$4,'Prix et modèle des ECF''	'!$A$3:$O$3,0)),"")</f>
        <v/>
      </c>
      <c r="AH9" s="302" t="str">
        <f>IF(ISERROR(IF(ISERROR(MATCH($A9,Reference_Dropdown1!$B$27:$B$39,0)),AG9+$H9,AG9)),"",IF(ISERROR(MATCH($A9,Reference_Dropdown1!$B$27:$B$39,0)),AG9+$H9,"N/A"))</f>
        <v/>
      </c>
      <c r="AI9" s="214"/>
      <c r="AJ9" s="128" t="str">
        <f t="shared" si="4"/>
        <v/>
      </c>
      <c r="AK9" s="214"/>
      <c r="AL9" s="128" t="str">
        <f t="shared" si="5"/>
        <v/>
      </c>
      <c r="AM9" s="214"/>
      <c r="AN9" s="128" t="str">
        <f t="shared" si="6"/>
        <v/>
      </c>
      <c r="AO9" s="114">
        <f t="shared" si="7"/>
        <v>0</v>
      </c>
      <c r="AP9" s="128" t="str">
        <f t="shared" si="14"/>
        <v/>
      </c>
    </row>
    <row r="10" spans="1:42" s="7" customFormat="1" ht="27" customHeight="1" x14ac:dyDescent="0.35">
      <c r="A10" s="243" t="s">
        <v>267</v>
      </c>
      <c r="B10" s="78"/>
      <c r="C10" s="27"/>
      <c r="D10" s="129" t="str">
        <f>IFERROR(INDEX('Prix et modèle des ECF''	'!$A$3:$O$300,MATCH('Options_modèle spécifié d''ECF'!$C10,'Prix et modèle des ECF''	'!$E$3:$E$300,0),MATCH('Options_modèle spécifié d''ECF'!D$4,'Prix et modèle des ECF''	'!$A$3:$O$3,0)),"")</f>
        <v/>
      </c>
      <c r="E10" s="130" t="str">
        <f>IFERROR(INDEX('Prix et modèle des ECF''	'!$A$3:$O$300,MATCH('Options_modèle spécifié d''ECF'!$C10,'Prix et modèle des ECF''	'!$E$3:$E$300,0),MATCH('Options_modèle spécifié d''ECF'!E$4,'Prix et modèle des ECF''	'!$A$3:$O$3,0)),"")</f>
        <v/>
      </c>
      <c r="F10" s="130" t="str">
        <f>IFERROR(INDEX('Prix et modèle des ECF''	'!$A$3:$O$300,MATCH('Options_modèle spécifié d''ECF'!$C10,'Prix et modèle des ECF''	'!$E$3:$E$300,0),MATCH('Options_modèle spécifié d''ECF'!F$4,'Prix et modèle des ECF''	'!$A$3:$O$3,0)),"")</f>
        <v/>
      </c>
      <c r="G10" s="131" t="str">
        <f>IFERROR(INDEX('Prix et modèle des ECF''	'!$A$3:$O$300,MATCH('Options_modèle spécifié d''ECF'!$C10,'Prix et modèle des ECF''	'!$E$3:$E$300,0),MATCH('Options_modèle spécifié d''ECF'!G$4,'Prix et modèle des ECF''	'!$A$3:$O$3,0)),"")</f>
        <v/>
      </c>
      <c r="H10" s="36"/>
      <c r="I10" s="48" t="str">
        <f>IF(ISERROR(IF(ISERROR(MATCH($A10,Reference_Dropdown1!$B$27:$B$39,0)),G10+$H10,G10)),"",IF(ISERROR(MATCH($A10,Reference_Dropdown1!$B$27:$B$39,0)),G10+$H10,"N/A"))</f>
        <v/>
      </c>
      <c r="J10" s="213"/>
      <c r="K10" s="80" t="str">
        <f t="shared" si="8"/>
        <v/>
      </c>
      <c r="L10" s="213"/>
      <c r="M10" s="80" t="str">
        <f t="shared" si="9"/>
        <v/>
      </c>
      <c r="N10" s="209"/>
      <c r="O10" s="320" t="str">
        <f t="shared" si="10"/>
        <v/>
      </c>
      <c r="P10" s="322">
        <f t="shared" si="0"/>
        <v>0</v>
      </c>
      <c r="Q10" s="80" t="str">
        <f t="shared" si="1"/>
        <v/>
      </c>
      <c r="R10" s="214"/>
      <c r="S10" s="129" t="str">
        <f>IFERROR(INDEX('Prix et modèle des ECF''	'!$A$3:$O$300,MATCH('Options_modèle spécifié d''ECF'!$R10,'Prix et modèle des ECF''	'!$E$3:$E$300,0),MATCH('Options_modèle spécifié d''ECF'!S$4,'Prix et modèle des ECF''	'!$A$3:$O$3,0)),"")</f>
        <v/>
      </c>
      <c r="T10" s="130" t="str">
        <f>IFERROR(INDEX('Prix et modèle des ECF''	'!$A$3:$O$300,MATCH('Options_modèle spécifié d''ECF'!$R10,'Prix et modèle des ECF''	'!$E$3:$E$300,0),MATCH('Options_modèle spécifié d''ECF'!T$4,'Prix et modèle des ECF''	'!$A$3:$O$3,0)),"")</f>
        <v/>
      </c>
      <c r="U10" s="316" t="str">
        <f>IF(ISERROR(IF(ISERROR(MATCH($A10,Reference_Dropdown1!$B$27:$B$39,0)),T10+$H10,T10)),"",IF(ISERROR(MATCH($A10,Reference_Dropdown1!$B$27:$B$39,0)),T10+$H10,"N/A"))</f>
        <v/>
      </c>
      <c r="V10" s="311" t="str">
        <f t="shared" si="2"/>
        <v>_2.</v>
      </c>
      <c r="W10" s="214"/>
      <c r="X10" s="128" t="str">
        <f t="shared" si="15"/>
        <v/>
      </c>
      <c r="Y10" s="214"/>
      <c r="Z10" s="128" t="str">
        <f t="shared" si="11"/>
        <v/>
      </c>
      <c r="AA10" s="214"/>
      <c r="AB10" s="128" t="str">
        <f t="shared" si="12"/>
        <v/>
      </c>
      <c r="AC10" s="308">
        <f t="shared" si="3"/>
        <v>0</v>
      </c>
      <c r="AD10" s="128" t="str">
        <f t="shared" si="13"/>
        <v/>
      </c>
      <c r="AE10" s="212"/>
      <c r="AF10" s="269" t="str">
        <f>IFERROR(INDEX('Prix et modèle des ECF''	'!$A$3:$O$300,MATCH('Options_modèle spécifié d''ECF'!$AE10,'Prix et modèle des ECF''	'!$E$3:$E$300,0),MATCH('Options_modèle spécifié d''ECF'!AF$4,'Prix et modèle des ECF''	'!$A$3:$O$3,0)),"")</f>
        <v/>
      </c>
      <c r="AG10" s="131" t="str">
        <f>IFERROR(INDEX('Prix et modèle des ECF''	'!$A$3:$O$300,MATCH('Options_modèle spécifié d''ECF'!$AE10,'Prix et modèle des ECF''	'!$E$3:$E$300,0),MATCH('Options_modèle spécifié d''ECF'!AG$4,'Prix et modèle des ECF''	'!$A$3:$O$3,0)),"")</f>
        <v/>
      </c>
      <c r="AH10" s="302" t="str">
        <f>IF(ISERROR(IF(ISERROR(MATCH($A10,Reference_Dropdown1!$B$27:$B$39,0)),AG10+$H10,AG10)),"",IF(ISERROR(MATCH($A10,Reference_Dropdown1!$B$27:$B$39,0)),AG10+$H10,"N/A"))</f>
        <v/>
      </c>
      <c r="AI10" s="214"/>
      <c r="AJ10" s="128" t="str">
        <f t="shared" si="4"/>
        <v/>
      </c>
      <c r="AK10" s="214"/>
      <c r="AL10" s="128" t="str">
        <f t="shared" si="5"/>
        <v/>
      </c>
      <c r="AM10" s="214"/>
      <c r="AN10" s="128" t="str">
        <f t="shared" si="6"/>
        <v/>
      </c>
      <c r="AO10" s="114">
        <f t="shared" si="7"/>
        <v>0</v>
      </c>
      <c r="AP10" s="128" t="str">
        <f t="shared" si="14"/>
        <v/>
      </c>
    </row>
    <row r="11" spans="1:42" s="7" customFormat="1" ht="27" customHeight="1" x14ac:dyDescent="0.35">
      <c r="A11" s="244" t="s">
        <v>268</v>
      </c>
      <c r="B11" s="78"/>
      <c r="C11" s="27"/>
      <c r="D11" s="129" t="str">
        <f>IFERROR(INDEX('Prix et modèle des ECF''	'!$A$3:$O$300,MATCH('Options_modèle spécifié d''ECF'!$C11,'Prix et modèle des ECF''	'!$E$3:$E$300,0),MATCH('Options_modèle spécifié d''ECF'!D$4,'Prix et modèle des ECF''	'!$A$3:$O$3,0)),"")</f>
        <v/>
      </c>
      <c r="E11" s="130" t="str">
        <f>IFERROR(INDEX('Prix et modèle des ECF''	'!$A$3:$O$300,MATCH('Options_modèle spécifié d''ECF'!$C11,'Prix et modèle des ECF''	'!$E$3:$E$300,0),MATCH('Options_modèle spécifié d''ECF'!E$4,'Prix et modèle des ECF''	'!$A$3:$O$3,0)),"")</f>
        <v/>
      </c>
      <c r="F11" s="130" t="str">
        <f>IFERROR(INDEX('Prix et modèle des ECF''	'!$A$3:$O$300,MATCH('Options_modèle spécifié d''ECF'!$C11,'Prix et modèle des ECF''	'!$E$3:$E$300,0),MATCH('Options_modèle spécifié d''ECF'!F$4,'Prix et modèle des ECF''	'!$A$3:$O$3,0)),"")</f>
        <v/>
      </c>
      <c r="G11" s="131" t="str">
        <f>IFERROR(INDEX('Prix et modèle des ECF''	'!$A$3:$O$300,MATCH('Options_modèle spécifié d''ECF'!$C11,'Prix et modèle des ECF''	'!$E$3:$E$300,0),MATCH('Options_modèle spécifié d''ECF'!G$4,'Prix et modèle des ECF''	'!$A$3:$O$3,0)),"")</f>
        <v/>
      </c>
      <c r="H11" s="36"/>
      <c r="I11" s="48" t="str">
        <f>IF(ISERROR(IF(ISERROR(MATCH($A11,Reference_Dropdown1!$B$27:$B$39,0)),G11+$H11,G11)),"",IF(ISERROR(MATCH($A11,Reference_Dropdown1!$B$27:$B$39,0)),G11+$H11,"N/A"))</f>
        <v/>
      </c>
      <c r="J11" s="213"/>
      <c r="K11" s="80" t="str">
        <f t="shared" si="8"/>
        <v/>
      </c>
      <c r="L11" s="213"/>
      <c r="M11" s="80" t="str">
        <f t="shared" si="9"/>
        <v/>
      </c>
      <c r="N11" s="209"/>
      <c r="O11" s="320" t="str">
        <f t="shared" si="10"/>
        <v/>
      </c>
      <c r="P11" s="322">
        <f t="shared" si="0"/>
        <v>0</v>
      </c>
      <c r="Q11" s="80" t="str">
        <f t="shared" si="1"/>
        <v/>
      </c>
      <c r="R11" s="214"/>
      <c r="S11" s="129" t="str">
        <f>IFERROR(INDEX('Prix et modèle des ECF''	'!$A$3:$O$300,MATCH('Options_modèle spécifié d''ECF'!$R11,'Prix et modèle des ECF''	'!$E$3:$E$300,0),MATCH('Options_modèle spécifié d''ECF'!S$4,'Prix et modèle des ECF''	'!$A$3:$O$3,0)),"")</f>
        <v/>
      </c>
      <c r="T11" s="130" t="str">
        <f>IFERROR(INDEX('Prix et modèle des ECF''	'!$A$3:$O$300,MATCH('Options_modèle spécifié d''ECF'!$R11,'Prix et modèle des ECF''	'!$E$3:$E$300,0),MATCH('Options_modèle spécifié d''ECF'!T$4,'Prix et modèle des ECF''	'!$A$3:$O$3,0)),"")</f>
        <v/>
      </c>
      <c r="U11" s="316" t="str">
        <f>IF(ISERROR(IF(ISERROR(MATCH($A11,Reference_Dropdown1!$B$27:$B$39,0)),T11+$H11,T11)),"",IF(ISERROR(MATCH($A11,Reference_Dropdown1!$B$27:$B$39,0)),T11+$H11,"N/A"))</f>
        <v/>
      </c>
      <c r="V11" s="311" t="str">
        <f t="shared" si="2"/>
        <v>_3.</v>
      </c>
      <c r="W11" s="214"/>
      <c r="X11" s="128" t="str">
        <f t="shared" si="15"/>
        <v/>
      </c>
      <c r="Y11" s="214"/>
      <c r="Z11" s="128" t="str">
        <f t="shared" si="11"/>
        <v/>
      </c>
      <c r="AA11" s="214"/>
      <c r="AB11" s="128" t="str">
        <f t="shared" si="12"/>
        <v/>
      </c>
      <c r="AC11" s="308">
        <f t="shared" si="3"/>
        <v>0</v>
      </c>
      <c r="AD11" s="128" t="str">
        <f t="shared" si="13"/>
        <v/>
      </c>
      <c r="AE11" s="212"/>
      <c r="AF11" s="269" t="str">
        <f>IFERROR(INDEX('Prix et modèle des ECF''	'!$A$3:$O$300,MATCH('Options_modèle spécifié d''ECF'!$AE11,'Prix et modèle des ECF''	'!$E$3:$E$300,0),MATCH('Options_modèle spécifié d''ECF'!AF$4,'Prix et modèle des ECF''	'!$A$3:$O$3,0)),"")</f>
        <v/>
      </c>
      <c r="AG11" s="131" t="str">
        <f>IFERROR(INDEX('Prix et modèle des ECF''	'!$A$3:$O$300,MATCH('Options_modèle spécifié d''ECF'!$AE11,'Prix et modèle des ECF''	'!$E$3:$E$300,0),MATCH('Options_modèle spécifié d''ECF'!AG$4,'Prix et modèle des ECF''	'!$A$3:$O$3,0)),"")</f>
        <v/>
      </c>
      <c r="AH11" s="302" t="str">
        <f>IF(ISERROR(IF(ISERROR(MATCH($A11,Reference_Dropdown1!$B$27:$B$39,0)),AG11+$H11,AG11)),"",IF(ISERROR(MATCH($A11,Reference_Dropdown1!$B$27:$B$39,0)),AG11+$H11,"N/A"))</f>
        <v/>
      </c>
      <c r="AI11" s="214"/>
      <c r="AJ11" s="128" t="str">
        <f t="shared" si="4"/>
        <v/>
      </c>
      <c r="AK11" s="214"/>
      <c r="AL11" s="128" t="str">
        <f t="shared" si="5"/>
        <v/>
      </c>
      <c r="AM11" s="214"/>
      <c r="AN11" s="128" t="str">
        <f t="shared" si="6"/>
        <v/>
      </c>
      <c r="AO11" s="114">
        <f t="shared" si="7"/>
        <v>0</v>
      </c>
      <c r="AP11" s="128" t="str">
        <f t="shared" si="14"/>
        <v/>
      </c>
    </row>
    <row r="12" spans="1:42" s="7" customFormat="1" ht="27" customHeight="1" x14ac:dyDescent="0.35">
      <c r="A12" s="244" t="s">
        <v>268</v>
      </c>
      <c r="B12" s="78"/>
      <c r="C12" s="27"/>
      <c r="D12" s="129" t="str">
        <f>IFERROR(INDEX('Prix et modèle des ECF''	'!$A$3:$O$300,MATCH('Options_modèle spécifié d''ECF'!$C12,'Prix et modèle des ECF''	'!$E$3:$E$300,0),MATCH('Options_modèle spécifié d''ECF'!D$4,'Prix et modèle des ECF''	'!$A$3:$O$3,0)),"")</f>
        <v/>
      </c>
      <c r="E12" s="130" t="str">
        <f>IFERROR(INDEX('Prix et modèle des ECF''	'!$A$3:$O$300,MATCH('Options_modèle spécifié d''ECF'!$C12,'Prix et modèle des ECF''	'!$E$3:$E$300,0),MATCH('Options_modèle spécifié d''ECF'!E$4,'Prix et modèle des ECF''	'!$A$3:$O$3,0)),"")</f>
        <v/>
      </c>
      <c r="F12" s="130" t="str">
        <f>IFERROR(INDEX('Prix et modèle des ECF''	'!$A$3:$O$300,MATCH('Options_modèle spécifié d''ECF'!$C12,'Prix et modèle des ECF''	'!$E$3:$E$300,0),MATCH('Options_modèle spécifié d''ECF'!F$4,'Prix et modèle des ECF''	'!$A$3:$O$3,0)),"")</f>
        <v/>
      </c>
      <c r="G12" s="131" t="str">
        <f>IFERROR(INDEX('Prix et modèle des ECF''	'!$A$3:$O$300,MATCH('Options_modèle spécifié d''ECF'!$C12,'Prix et modèle des ECF''	'!$E$3:$E$300,0),MATCH('Options_modèle spécifié d''ECF'!G$4,'Prix et modèle des ECF''	'!$A$3:$O$3,0)),"")</f>
        <v/>
      </c>
      <c r="H12" s="36"/>
      <c r="I12" s="48" t="str">
        <f>IF(ISERROR(IF(ISERROR(MATCH($A12,Reference_Dropdown1!$B$27:$B$39,0)),G12+$H12,G12)),"",IF(ISERROR(MATCH($A12,Reference_Dropdown1!$B$27:$B$39,0)),G12+$H12,"N/A"))</f>
        <v/>
      </c>
      <c r="J12" s="213"/>
      <c r="K12" s="80" t="str">
        <f t="shared" si="8"/>
        <v/>
      </c>
      <c r="L12" s="213"/>
      <c r="M12" s="80" t="str">
        <f t="shared" si="9"/>
        <v/>
      </c>
      <c r="N12" s="209"/>
      <c r="O12" s="320" t="str">
        <f t="shared" si="10"/>
        <v/>
      </c>
      <c r="P12" s="322">
        <f t="shared" si="0"/>
        <v>0</v>
      </c>
      <c r="Q12" s="80" t="str">
        <f t="shared" ref="Q12:Q38" si="16">IFERROR(IF(I12="N/A",G12*P12,I12*P12),"")</f>
        <v/>
      </c>
      <c r="R12" s="214"/>
      <c r="S12" s="129" t="str">
        <f>IFERROR(INDEX('Prix et modèle des ECF''	'!$A$3:$O$300,MATCH('Options_modèle spécifié d''ECF'!$R12,'Prix et modèle des ECF''	'!$E$3:$E$300,0),MATCH('Options_modèle spécifié d''ECF'!S$4,'Prix et modèle des ECF''	'!$A$3:$O$3,0)),"")</f>
        <v/>
      </c>
      <c r="T12" s="130" t="str">
        <f>IFERROR(INDEX('Prix et modèle des ECF''	'!$A$3:$O$300,MATCH('Options_modèle spécifié d''ECF'!$R12,'Prix et modèle des ECF''	'!$E$3:$E$300,0),MATCH('Options_modèle spécifié d''ECF'!T$4,'Prix et modèle des ECF''	'!$A$3:$O$3,0)),"")</f>
        <v/>
      </c>
      <c r="U12" s="316" t="str">
        <f>IF(ISERROR(IF(ISERROR(MATCH($A12,Reference_Dropdown1!$B$27:$B$39,0)),T12+$H12,T12)),"",IF(ISERROR(MATCH($A12,Reference_Dropdown1!$B$27:$B$39,0)),T12+$H12,"N/A"))</f>
        <v/>
      </c>
      <c r="V12" s="311" t="str">
        <f t="shared" si="2"/>
        <v>_3.</v>
      </c>
      <c r="W12" s="214"/>
      <c r="X12" s="128" t="str">
        <f t="shared" si="15"/>
        <v/>
      </c>
      <c r="Y12" s="214"/>
      <c r="Z12" s="128" t="str">
        <f t="shared" si="11"/>
        <v/>
      </c>
      <c r="AA12" s="214"/>
      <c r="AB12" s="128" t="str">
        <f t="shared" si="12"/>
        <v/>
      </c>
      <c r="AC12" s="308">
        <f t="shared" si="3"/>
        <v>0</v>
      </c>
      <c r="AD12" s="128" t="str">
        <f t="shared" si="13"/>
        <v/>
      </c>
      <c r="AE12" s="212"/>
      <c r="AF12" s="269" t="str">
        <f>IFERROR(INDEX('Prix et modèle des ECF''	'!$A$3:$O$300,MATCH('Options_modèle spécifié d''ECF'!$AE12,'Prix et modèle des ECF''	'!$E$3:$E$300,0),MATCH('Options_modèle spécifié d''ECF'!AF$4,'Prix et modèle des ECF''	'!$A$3:$O$3,0)),"")</f>
        <v/>
      </c>
      <c r="AG12" s="131" t="str">
        <f>IFERROR(INDEX('Prix et modèle des ECF''	'!$A$3:$O$300,MATCH('Options_modèle spécifié d''ECF'!$AE12,'Prix et modèle des ECF''	'!$E$3:$E$300,0),MATCH('Options_modèle spécifié d''ECF'!AG$4,'Prix et modèle des ECF''	'!$A$3:$O$3,0)),"")</f>
        <v/>
      </c>
      <c r="AH12" s="302" t="str">
        <f>IF(ISERROR(IF(ISERROR(MATCH($A12,Reference_Dropdown1!$B$27:$B$39,0)),AG12+$H12,AG12)),"",IF(ISERROR(MATCH($A12,Reference_Dropdown1!$B$27:$B$39,0)),AG12+$H12,"N/A"))</f>
        <v/>
      </c>
      <c r="AI12" s="214"/>
      <c r="AJ12" s="128" t="str">
        <f t="shared" si="4"/>
        <v/>
      </c>
      <c r="AK12" s="214"/>
      <c r="AL12" s="128" t="str">
        <f t="shared" si="5"/>
        <v/>
      </c>
      <c r="AM12" s="214"/>
      <c r="AN12" s="128" t="str">
        <f t="shared" si="6"/>
        <v/>
      </c>
      <c r="AO12" s="114">
        <f t="shared" si="7"/>
        <v>0</v>
      </c>
      <c r="AP12" s="128" t="str">
        <f t="shared" si="14"/>
        <v/>
      </c>
    </row>
    <row r="13" spans="1:42" s="7" customFormat="1" ht="27" customHeight="1" x14ac:dyDescent="0.35">
      <c r="A13" s="245" t="s">
        <v>269</v>
      </c>
      <c r="B13" s="78"/>
      <c r="C13" s="27"/>
      <c r="D13" s="129" t="str">
        <f>IFERROR(INDEX('Prix et modèle des ECF''	'!$A$3:$O$300,MATCH('Options_modèle spécifié d''ECF'!$C13,'Prix et modèle des ECF''	'!$E$3:$E$300,0),MATCH('Options_modèle spécifié d''ECF'!D$4,'Prix et modèle des ECF''	'!$A$3:$O$3,0)),"")</f>
        <v/>
      </c>
      <c r="E13" s="130" t="str">
        <f>IFERROR(INDEX('Prix et modèle des ECF''	'!$A$3:$O$300,MATCH('Options_modèle spécifié d''ECF'!$C13,'Prix et modèle des ECF''	'!$E$3:$E$300,0),MATCH('Options_modèle spécifié d''ECF'!E$4,'Prix et modèle des ECF''	'!$A$3:$O$3,0)),"")</f>
        <v/>
      </c>
      <c r="F13" s="130" t="str">
        <f>IFERROR(INDEX('Prix et modèle des ECF''	'!$A$3:$O$300,MATCH('Options_modèle spécifié d''ECF'!$C13,'Prix et modèle des ECF''	'!$E$3:$E$300,0),MATCH('Options_modèle spécifié d''ECF'!F$4,'Prix et modèle des ECF''	'!$A$3:$O$3,0)),"")</f>
        <v/>
      </c>
      <c r="G13" s="131" t="str">
        <f>IFERROR(INDEX('Prix et modèle des ECF''	'!$A$3:$O$300,MATCH('Options_modèle spécifié d''ECF'!$C13,'Prix et modèle des ECF''	'!$E$3:$E$300,0),MATCH('Options_modèle spécifié d''ECF'!G$4,'Prix et modèle des ECF''	'!$A$3:$O$3,0)),"")</f>
        <v/>
      </c>
      <c r="H13" s="36"/>
      <c r="I13" s="48" t="str">
        <f>IF(ISERROR(IF(ISERROR(MATCH($A13,Reference_Dropdown1!$B$27:$B$39,0)),G13+$H13,G13)),"",IF(ISERROR(MATCH($A13,Reference_Dropdown1!$B$27:$B$39,0)),G13+$H13,"N/A"))</f>
        <v/>
      </c>
      <c r="J13" s="213"/>
      <c r="K13" s="80" t="str">
        <f t="shared" si="8"/>
        <v/>
      </c>
      <c r="L13" s="213"/>
      <c r="M13" s="80" t="str">
        <f t="shared" si="9"/>
        <v/>
      </c>
      <c r="N13" s="209"/>
      <c r="O13" s="320" t="str">
        <f t="shared" si="10"/>
        <v/>
      </c>
      <c r="P13" s="322">
        <f t="shared" si="0"/>
        <v>0</v>
      </c>
      <c r="Q13" s="80" t="str">
        <f t="shared" si="16"/>
        <v/>
      </c>
      <c r="R13" s="214"/>
      <c r="S13" s="129" t="str">
        <f>IFERROR(INDEX('Prix et modèle des ECF''	'!$A$3:$O$300,MATCH('Options_modèle spécifié d''ECF'!$R13,'Prix et modèle des ECF''	'!$E$3:$E$300,0),MATCH('Options_modèle spécifié d''ECF'!S$4,'Prix et modèle des ECF''	'!$A$3:$O$3,0)),"")</f>
        <v/>
      </c>
      <c r="T13" s="130" t="str">
        <f>IFERROR(INDEX('Prix et modèle des ECF''	'!$A$3:$O$300,MATCH('Options_modèle spécifié d''ECF'!$R13,'Prix et modèle des ECF''	'!$E$3:$E$300,0),MATCH('Options_modèle spécifié d''ECF'!T$4,'Prix et modèle des ECF''	'!$A$3:$O$3,0)),"")</f>
        <v/>
      </c>
      <c r="U13" s="316" t="str">
        <f>IF(ISERROR(IF(ISERROR(MATCH($A13,Reference_Dropdown1!$B$27:$B$39,0)),T13+$H13,T13)),"",IF(ISERROR(MATCH($A13,Reference_Dropdown1!$B$27:$B$39,0)),T13+$H13,"N/A"))</f>
        <v/>
      </c>
      <c r="V13" s="311" t="str">
        <f t="shared" si="2"/>
        <v>_4.</v>
      </c>
      <c r="W13" s="214"/>
      <c r="X13" s="128" t="str">
        <f t="shared" si="15"/>
        <v/>
      </c>
      <c r="Y13" s="214"/>
      <c r="Z13" s="128" t="str">
        <f t="shared" si="11"/>
        <v/>
      </c>
      <c r="AA13" s="214"/>
      <c r="AB13" s="128" t="str">
        <f t="shared" si="12"/>
        <v/>
      </c>
      <c r="AC13" s="308">
        <f t="shared" si="3"/>
        <v>0</v>
      </c>
      <c r="AD13" s="128" t="str">
        <f t="shared" si="13"/>
        <v/>
      </c>
      <c r="AE13" s="212"/>
      <c r="AF13" s="269" t="str">
        <f>IFERROR(INDEX('Prix et modèle des ECF''	'!$A$3:$O$300,MATCH('Options_modèle spécifié d''ECF'!$AE13,'Prix et modèle des ECF''	'!$E$3:$E$300,0),MATCH('Options_modèle spécifié d''ECF'!AF$4,'Prix et modèle des ECF''	'!$A$3:$O$3,0)),"")</f>
        <v/>
      </c>
      <c r="AG13" s="131" t="str">
        <f>IFERROR(INDEX('Prix et modèle des ECF''	'!$A$3:$O$300,MATCH('Options_modèle spécifié d''ECF'!$AE13,'Prix et modèle des ECF''	'!$E$3:$E$300,0),MATCH('Options_modèle spécifié d''ECF'!AG$4,'Prix et modèle des ECF''	'!$A$3:$O$3,0)),"")</f>
        <v/>
      </c>
      <c r="AH13" s="302" t="str">
        <f>IF(ISERROR(IF(ISERROR(MATCH($A13,Reference_Dropdown1!$B$27:$B$39,0)),AG13+$H13,AG13)),"",IF(ISERROR(MATCH($A13,Reference_Dropdown1!$B$27:$B$39,0)),AG13+$H13,"N/A"))</f>
        <v/>
      </c>
      <c r="AI13" s="214"/>
      <c r="AJ13" s="128" t="str">
        <f t="shared" si="4"/>
        <v/>
      </c>
      <c r="AK13" s="214"/>
      <c r="AL13" s="128" t="str">
        <f t="shared" si="5"/>
        <v/>
      </c>
      <c r="AM13" s="214"/>
      <c r="AN13" s="128" t="str">
        <f t="shared" si="6"/>
        <v/>
      </c>
      <c r="AO13" s="114">
        <f t="shared" si="7"/>
        <v>0</v>
      </c>
      <c r="AP13" s="128" t="str">
        <f t="shared" si="14"/>
        <v/>
      </c>
    </row>
    <row r="14" spans="1:42" s="7" customFormat="1" ht="27" customHeight="1" x14ac:dyDescent="0.35">
      <c r="A14" s="245" t="s">
        <v>269</v>
      </c>
      <c r="B14" s="78"/>
      <c r="C14" s="27"/>
      <c r="D14" s="129" t="str">
        <f>IFERROR(INDEX('Prix et modèle des ECF''	'!$A$3:$O$300,MATCH('Options_modèle spécifié d''ECF'!$C14,'Prix et modèle des ECF''	'!$E$3:$E$300,0),MATCH('Options_modèle spécifié d''ECF'!D$4,'Prix et modèle des ECF''	'!$A$3:$O$3,0)),"")</f>
        <v/>
      </c>
      <c r="E14" s="130" t="str">
        <f>IFERROR(INDEX('Prix et modèle des ECF''	'!$A$3:$O$300,MATCH('Options_modèle spécifié d''ECF'!$C14,'Prix et modèle des ECF''	'!$E$3:$E$300,0),MATCH('Options_modèle spécifié d''ECF'!E$4,'Prix et modèle des ECF''	'!$A$3:$O$3,0)),"")</f>
        <v/>
      </c>
      <c r="F14" s="130" t="str">
        <f>IFERROR(INDEX('Prix et modèle des ECF''	'!$A$3:$O$300,MATCH('Options_modèle spécifié d''ECF'!$C14,'Prix et modèle des ECF''	'!$E$3:$E$300,0),MATCH('Options_modèle spécifié d''ECF'!F$4,'Prix et modèle des ECF''	'!$A$3:$O$3,0)),"")</f>
        <v/>
      </c>
      <c r="G14" s="131" t="str">
        <f>IFERROR(INDEX('Prix et modèle des ECF''	'!$A$3:$O$300,MATCH('Options_modèle spécifié d''ECF'!$C14,'Prix et modèle des ECF''	'!$E$3:$E$300,0),MATCH('Options_modèle spécifié d''ECF'!G$4,'Prix et modèle des ECF''	'!$A$3:$O$3,0)),"")</f>
        <v/>
      </c>
      <c r="H14" s="36"/>
      <c r="I14" s="48" t="str">
        <f>IF(ISERROR(IF(ISERROR(MATCH($A14,Reference_Dropdown1!$B$27:$B$39,0)),G14+$H14,G14)),"",IF(ISERROR(MATCH($A14,Reference_Dropdown1!$B$27:$B$39,0)),G14+$H14,"N/A"))</f>
        <v/>
      </c>
      <c r="J14" s="213"/>
      <c r="K14" s="80" t="str">
        <f t="shared" si="8"/>
        <v/>
      </c>
      <c r="L14" s="213"/>
      <c r="M14" s="80" t="str">
        <f t="shared" si="9"/>
        <v/>
      </c>
      <c r="N14" s="209"/>
      <c r="O14" s="320" t="str">
        <f t="shared" si="10"/>
        <v/>
      </c>
      <c r="P14" s="322">
        <f t="shared" si="0"/>
        <v>0</v>
      </c>
      <c r="Q14" s="80" t="str">
        <f t="shared" si="16"/>
        <v/>
      </c>
      <c r="R14" s="214"/>
      <c r="S14" s="129" t="str">
        <f>IFERROR(INDEX('Prix et modèle des ECF''	'!$A$3:$O$300,MATCH('Options_modèle spécifié d''ECF'!$R14,'Prix et modèle des ECF''	'!$E$3:$E$300,0),MATCH('Options_modèle spécifié d''ECF'!S$4,'Prix et modèle des ECF''	'!$A$3:$O$3,0)),"")</f>
        <v/>
      </c>
      <c r="T14" s="130" t="str">
        <f>IFERROR(INDEX('Prix et modèle des ECF''	'!$A$3:$O$300,MATCH('Options_modèle spécifié d''ECF'!$R14,'Prix et modèle des ECF''	'!$E$3:$E$300,0),MATCH('Options_modèle spécifié d''ECF'!T$4,'Prix et modèle des ECF''	'!$A$3:$O$3,0)),"")</f>
        <v/>
      </c>
      <c r="U14" s="316" t="str">
        <f>IF(ISERROR(IF(ISERROR(MATCH($A14,Reference_Dropdown1!$B$27:$B$39,0)),T14+$H14,T14)),"",IF(ISERROR(MATCH($A14,Reference_Dropdown1!$B$27:$B$39,0)),T14+$H14,"N/A"))</f>
        <v/>
      </c>
      <c r="V14" s="311" t="str">
        <f t="shared" si="2"/>
        <v>_4.</v>
      </c>
      <c r="W14" s="214"/>
      <c r="X14" s="128" t="str">
        <f t="shared" si="15"/>
        <v/>
      </c>
      <c r="Y14" s="214"/>
      <c r="Z14" s="128" t="str">
        <f t="shared" si="11"/>
        <v/>
      </c>
      <c r="AA14" s="214"/>
      <c r="AB14" s="128" t="str">
        <f t="shared" si="12"/>
        <v/>
      </c>
      <c r="AC14" s="308">
        <f t="shared" si="3"/>
        <v>0</v>
      </c>
      <c r="AD14" s="128" t="str">
        <f t="shared" si="13"/>
        <v/>
      </c>
      <c r="AE14" s="212"/>
      <c r="AF14" s="269" t="str">
        <f>IFERROR(INDEX('Prix et modèle des ECF''	'!$A$3:$O$300,MATCH('Options_modèle spécifié d''ECF'!$AE14,'Prix et modèle des ECF''	'!$E$3:$E$300,0),MATCH('Options_modèle spécifié d''ECF'!AF$4,'Prix et modèle des ECF''	'!$A$3:$O$3,0)),"")</f>
        <v/>
      </c>
      <c r="AG14" s="131" t="str">
        <f>IFERROR(INDEX('Prix et modèle des ECF''	'!$A$3:$O$300,MATCH('Options_modèle spécifié d''ECF'!$AE14,'Prix et modèle des ECF''	'!$E$3:$E$300,0),MATCH('Options_modèle spécifié d''ECF'!AG$4,'Prix et modèle des ECF''	'!$A$3:$O$3,0)),"")</f>
        <v/>
      </c>
      <c r="AH14" s="302" t="str">
        <f>IF(ISERROR(IF(ISERROR(MATCH($A14,Reference_Dropdown1!$B$27:$B$39,0)),AG14+$H14,AG14)),"",IF(ISERROR(MATCH($A14,Reference_Dropdown1!$B$27:$B$39,0)),AG14+$H14,"N/A"))</f>
        <v/>
      </c>
      <c r="AI14" s="214"/>
      <c r="AJ14" s="128" t="str">
        <f t="shared" si="4"/>
        <v/>
      </c>
      <c r="AK14" s="214"/>
      <c r="AL14" s="128" t="str">
        <f t="shared" si="5"/>
        <v/>
      </c>
      <c r="AM14" s="214"/>
      <c r="AN14" s="128" t="str">
        <f t="shared" si="6"/>
        <v/>
      </c>
      <c r="AO14" s="114">
        <f t="shared" si="7"/>
        <v>0</v>
      </c>
      <c r="AP14" s="128" t="str">
        <f t="shared" si="14"/>
        <v/>
      </c>
    </row>
    <row r="15" spans="1:42" s="7" customFormat="1" ht="27" customHeight="1" x14ac:dyDescent="0.35">
      <c r="A15" s="245" t="s">
        <v>269</v>
      </c>
      <c r="B15" s="78"/>
      <c r="C15" s="27"/>
      <c r="D15" s="129" t="str">
        <f>IFERROR(INDEX('Prix et modèle des ECF''	'!$A$3:$O$300,MATCH('Options_modèle spécifié d''ECF'!$C15,'Prix et modèle des ECF''	'!$E$3:$E$300,0),MATCH('Options_modèle spécifié d''ECF'!D$4,'Prix et modèle des ECF''	'!$A$3:$O$3,0)),"")</f>
        <v/>
      </c>
      <c r="E15" s="130" t="str">
        <f>IFERROR(INDEX('Prix et modèle des ECF''	'!$A$3:$O$300,MATCH('Options_modèle spécifié d''ECF'!$C15,'Prix et modèle des ECF''	'!$E$3:$E$300,0),MATCH('Options_modèle spécifié d''ECF'!E$4,'Prix et modèle des ECF''	'!$A$3:$O$3,0)),"")</f>
        <v/>
      </c>
      <c r="F15" s="130" t="str">
        <f>IFERROR(INDEX('Prix et modèle des ECF''	'!$A$3:$O$300,MATCH('Options_modèle spécifié d''ECF'!$C15,'Prix et modèle des ECF''	'!$E$3:$E$300,0),MATCH('Options_modèle spécifié d''ECF'!F$4,'Prix et modèle des ECF''	'!$A$3:$O$3,0)),"")</f>
        <v/>
      </c>
      <c r="G15" s="131" t="str">
        <f>IFERROR(INDEX('Prix et modèle des ECF''	'!$A$3:$O$300,MATCH('Options_modèle spécifié d''ECF'!$C15,'Prix et modèle des ECF''	'!$E$3:$E$300,0),MATCH('Options_modèle spécifié d''ECF'!G$4,'Prix et modèle des ECF''	'!$A$3:$O$3,0)),"")</f>
        <v/>
      </c>
      <c r="H15" s="36"/>
      <c r="I15" s="48" t="str">
        <f>IF(ISERROR(IF(ISERROR(MATCH($A15,Reference_Dropdown1!$B$27:$B$39,0)),G15+$H15,G15)),"",IF(ISERROR(MATCH($A15,Reference_Dropdown1!$B$27:$B$39,0)),G15+$H15,"N/A"))</f>
        <v/>
      </c>
      <c r="J15" s="213"/>
      <c r="K15" s="80" t="str">
        <f t="shared" si="8"/>
        <v/>
      </c>
      <c r="L15" s="213"/>
      <c r="M15" s="80" t="str">
        <f t="shared" si="9"/>
        <v/>
      </c>
      <c r="N15" s="209"/>
      <c r="O15" s="320" t="str">
        <f t="shared" si="10"/>
        <v/>
      </c>
      <c r="P15" s="322">
        <f t="shared" si="0"/>
        <v>0</v>
      </c>
      <c r="Q15" s="80" t="str">
        <f t="shared" si="16"/>
        <v/>
      </c>
      <c r="R15" s="214"/>
      <c r="S15" s="129" t="str">
        <f>IFERROR(INDEX('Prix et modèle des ECF''	'!$A$3:$O$300,MATCH('Options_modèle spécifié d''ECF'!$R15,'Prix et modèle des ECF''	'!$E$3:$E$300,0),MATCH('Options_modèle spécifié d''ECF'!S$4,'Prix et modèle des ECF''	'!$A$3:$O$3,0)),"")</f>
        <v/>
      </c>
      <c r="T15" s="130" t="str">
        <f>IFERROR(INDEX('Prix et modèle des ECF''	'!$A$3:$O$300,MATCH('Options_modèle spécifié d''ECF'!$R15,'Prix et modèle des ECF''	'!$E$3:$E$300,0),MATCH('Options_modèle spécifié d''ECF'!T$4,'Prix et modèle des ECF''	'!$A$3:$O$3,0)),"")</f>
        <v/>
      </c>
      <c r="U15" s="316" t="str">
        <f>IF(ISERROR(IF(ISERROR(MATCH($A15,Reference_Dropdown1!$B$27:$B$39,0)),T15+$H15,T15)),"",IF(ISERROR(MATCH($A15,Reference_Dropdown1!$B$27:$B$39,0)),T15+$H15,"N/A"))</f>
        <v/>
      </c>
      <c r="V15" s="311" t="str">
        <f t="shared" si="2"/>
        <v>_4.</v>
      </c>
      <c r="W15" s="214"/>
      <c r="X15" s="128" t="str">
        <f t="shared" si="15"/>
        <v/>
      </c>
      <c r="Y15" s="214"/>
      <c r="Z15" s="128" t="str">
        <f t="shared" si="11"/>
        <v/>
      </c>
      <c r="AA15" s="214"/>
      <c r="AB15" s="128" t="str">
        <f t="shared" si="12"/>
        <v/>
      </c>
      <c r="AC15" s="308">
        <f t="shared" si="3"/>
        <v>0</v>
      </c>
      <c r="AD15" s="128" t="str">
        <f t="shared" si="13"/>
        <v/>
      </c>
      <c r="AE15" s="212"/>
      <c r="AF15" s="269" t="str">
        <f>IFERROR(INDEX('Prix et modèle des ECF''	'!$A$3:$O$300,MATCH('Options_modèle spécifié d''ECF'!$AE15,'Prix et modèle des ECF''	'!$E$3:$E$300,0),MATCH('Options_modèle spécifié d''ECF'!AF$4,'Prix et modèle des ECF''	'!$A$3:$O$3,0)),"")</f>
        <v/>
      </c>
      <c r="AG15" s="131" t="str">
        <f>IFERROR(INDEX('Prix et modèle des ECF''	'!$A$3:$O$300,MATCH('Options_modèle spécifié d''ECF'!$AE15,'Prix et modèle des ECF''	'!$E$3:$E$300,0),MATCH('Options_modèle spécifié d''ECF'!AG$4,'Prix et modèle des ECF''	'!$A$3:$O$3,0)),"")</f>
        <v/>
      </c>
      <c r="AH15" s="302" t="str">
        <f>IF(ISERROR(IF(ISERROR(MATCH($A15,Reference_Dropdown1!$B$27:$B$39,0)),AG15+$H15,AG15)),"",IF(ISERROR(MATCH($A15,Reference_Dropdown1!$B$27:$B$39,0)),AG15+$H15,"N/A"))</f>
        <v/>
      </c>
      <c r="AI15" s="214"/>
      <c r="AJ15" s="128" t="str">
        <f t="shared" si="4"/>
        <v/>
      </c>
      <c r="AK15" s="214"/>
      <c r="AL15" s="128" t="str">
        <f t="shared" si="5"/>
        <v/>
      </c>
      <c r="AM15" s="214"/>
      <c r="AN15" s="128" t="str">
        <f t="shared" si="6"/>
        <v/>
      </c>
      <c r="AO15" s="114">
        <f t="shared" si="7"/>
        <v>0</v>
      </c>
      <c r="AP15" s="128" t="str">
        <f t="shared" si="14"/>
        <v/>
      </c>
    </row>
    <row r="16" spans="1:42" s="7" customFormat="1" ht="27" customHeight="1" x14ac:dyDescent="0.35">
      <c r="A16" s="241" t="s">
        <v>270</v>
      </c>
      <c r="B16" s="78"/>
      <c r="C16" s="27"/>
      <c r="D16" s="129" t="str">
        <f>IFERROR(INDEX('Prix et modèle des ECF''	'!$A$3:$O$300,MATCH('Options_modèle spécifié d''ECF'!$C16,'Prix et modèle des ECF''	'!$E$3:$E$300,0),MATCH('Options_modèle spécifié d''ECF'!D$4,'Prix et modèle des ECF''	'!$A$3:$O$3,0)),"")</f>
        <v/>
      </c>
      <c r="E16" s="130" t="str">
        <f>IFERROR(INDEX('Prix et modèle des ECF''	'!$A$3:$O$300,MATCH('Options_modèle spécifié d''ECF'!$C16,'Prix et modèle des ECF''	'!$E$3:$E$300,0),MATCH('Options_modèle spécifié d''ECF'!E$4,'Prix et modèle des ECF''	'!$A$3:$O$3,0)),"")</f>
        <v/>
      </c>
      <c r="F16" s="130" t="str">
        <f>IFERROR(INDEX('Prix et modèle des ECF''	'!$A$3:$O$300,MATCH('Options_modèle spécifié d''ECF'!$C16,'Prix et modèle des ECF''	'!$E$3:$E$300,0),MATCH('Options_modèle spécifié d''ECF'!F$4,'Prix et modèle des ECF''	'!$A$3:$O$3,0)),"")</f>
        <v/>
      </c>
      <c r="G16" s="131" t="str">
        <f>IFERROR(INDEX('Prix et modèle des ECF''	'!$A$3:$O$300,MATCH('Options_modèle spécifié d''ECF'!$C16,'Prix et modèle des ECF''	'!$E$3:$E$300,0),MATCH('Options_modèle spécifié d''ECF'!G$4,'Prix et modèle des ECF''	'!$A$3:$O$3,0)),"")</f>
        <v/>
      </c>
      <c r="H16" s="36"/>
      <c r="I16" s="48" t="str">
        <f>IF(ISERROR(IF(ISERROR(MATCH($A16,Reference_Dropdown1!$B$27:$B$39,0)),G16+$H16,G16)),"",IF(ISERROR(MATCH($A16,Reference_Dropdown1!$B$27:$B$39,0)),G16+$H16,"N/A"))</f>
        <v/>
      </c>
      <c r="J16" s="213"/>
      <c r="K16" s="80" t="str">
        <f t="shared" si="8"/>
        <v/>
      </c>
      <c r="L16" s="213"/>
      <c r="M16" s="80" t="str">
        <f t="shared" si="9"/>
        <v/>
      </c>
      <c r="N16" s="209"/>
      <c r="O16" s="320" t="str">
        <f t="shared" si="10"/>
        <v/>
      </c>
      <c r="P16" s="322">
        <f t="shared" si="0"/>
        <v>0</v>
      </c>
      <c r="Q16" s="80" t="str">
        <f t="shared" si="16"/>
        <v/>
      </c>
      <c r="R16" s="214"/>
      <c r="S16" s="129" t="str">
        <f>IFERROR(INDEX('Prix et modèle des ECF''	'!$A$3:$O$300,MATCH('Options_modèle spécifié d''ECF'!$R16,'Prix et modèle des ECF''	'!$E$3:$E$300,0),MATCH('Options_modèle spécifié d''ECF'!S$4,'Prix et modèle des ECF''	'!$A$3:$O$3,0)),"")</f>
        <v/>
      </c>
      <c r="T16" s="130" t="str">
        <f>IFERROR(INDEX('Prix et modèle des ECF''	'!$A$3:$O$300,MATCH('Options_modèle spécifié d''ECF'!$R16,'Prix et modèle des ECF''	'!$E$3:$E$300,0),MATCH('Options_modèle spécifié d''ECF'!T$4,'Prix et modèle des ECF''	'!$A$3:$O$3,0)),"")</f>
        <v/>
      </c>
      <c r="U16" s="316" t="str">
        <f>IF(ISERROR(IF(ISERROR(MATCH($A16,Reference_Dropdown1!$B$27:$B$39,0)),T16+$H16,T16)),"",IF(ISERROR(MATCH($A16,Reference_Dropdown1!$B$27:$B$39,0)),T16+$H16,"N/A"))</f>
        <v/>
      </c>
      <c r="V16" s="311" t="str">
        <f t="shared" si="2"/>
        <v>_5.</v>
      </c>
      <c r="W16" s="214"/>
      <c r="X16" s="128" t="str">
        <f t="shared" si="15"/>
        <v/>
      </c>
      <c r="Y16" s="214"/>
      <c r="Z16" s="128" t="str">
        <f t="shared" si="11"/>
        <v/>
      </c>
      <c r="AA16" s="214"/>
      <c r="AB16" s="128" t="str">
        <f t="shared" si="12"/>
        <v/>
      </c>
      <c r="AC16" s="308">
        <f t="shared" si="3"/>
        <v>0</v>
      </c>
      <c r="AD16" s="128" t="str">
        <f t="shared" si="13"/>
        <v/>
      </c>
      <c r="AE16" s="212"/>
      <c r="AF16" s="269" t="str">
        <f>IFERROR(INDEX('Prix et modèle des ECF''	'!$A$3:$O$300,MATCH('Options_modèle spécifié d''ECF'!$AE16,'Prix et modèle des ECF''	'!$E$3:$E$300,0),MATCH('Options_modèle spécifié d''ECF'!AF$4,'Prix et modèle des ECF''	'!$A$3:$O$3,0)),"")</f>
        <v/>
      </c>
      <c r="AG16" s="131" t="str">
        <f>IFERROR(INDEX('Prix et modèle des ECF''	'!$A$3:$O$300,MATCH('Options_modèle spécifié d''ECF'!$AE16,'Prix et modèle des ECF''	'!$E$3:$E$300,0),MATCH('Options_modèle spécifié d''ECF'!AG$4,'Prix et modèle des ECF''	'!$A$3:$O$3,0)),"")</f>
        <v/>
      </c>
      <c r="AH16" s="302" t="str">
        <f>IF(ISERROR(IF(ISERROR(MATCH($A16,Reference_Dropdown1!$B$27:$B$39,0)),AG16+$H16,AG16)),"",IF(ISERROR(MATCH($A16,Reference_Dropdown1!$B$27:$B$39,0)),AG16+$H16,"N/A"))</f>
        <v/>
      </c>
      <c r="AI16" s="214"/>
      <c r="AJ16" s="128" t="str">
        <f t="shared" si="4"/>
        <v/>
      </c>
      <c r="AK16" s="214"/>
      <c r="AL16" s="128" t="str">
        <f t="shared" si="5"/>
        <v/>
      </c>
      <c r="AM16" s="214"/>
      <c r="AN16" s="128" t="str">
        <f t="shared" si="6"/>
        <v/>
      </c>
      <c r="AO16" s="114">
        <f t="shared" si="7"/>
        <v>0</v>
      </c>
      <c r="AP16" s="128" t="str">
        <f t="shared" si="14"/>
        <v/>
      </c>
    </row>
    <row r="17" spans="1:42" s="7" customFormat="1" ht="27" customHeight="1" x14ac:dyDescent="0.35">
      <c r="A17" s="241" t="s">
        <v>270</v>
      </c>
      <c r="B17" s="78"/>
      <c r="C17" s="27"/>
      <c r="D17" s="129" t="str">
        <f>IFERROR(INDEX('Prix et modèle des ECF''	'!$A$3:$O$300,MATCH('Options_modèle spécifié d''ECF'!$C17,'Prix et modèle des ECF''	'!$E$3:$E$300,0),MATCH('Options_modèle spécifié d''ECF'!D$4,'Prix et modèle des ECF''	'!$A$3:$O$3,0)),"")</f>
        <v/>
      </c>
      <c r="E17" s="130" t="str">
        <f>IFERROR(INDEX('Prix et modèle des ECF''	'!$A$3:$O$300,MATCH('Options_modèle spécifié d''ECF'!$C17,'Prix et modèle des ECF''	'!$E$3:$E$300,0),MATCH('Options_modèle spécifié d''ECF'!E$4,'Prix et modèle des ECF''	'!$A$3:$O$3,0)),"")</f>
        <v/>
      </c>
      <c r="F17" s="130" t="str">
        <f>IFERROR(INDEX('Prix et modèle des ECF''	'!$A$3:$O$300,MATCH('Options_modèle spécifié d''ECF'!$C17,'Prix et modèle des ECF''	'!$E$3:$E$300,0),MATCH('Options_modèle spécifié d''ECF'!F$4,'Prix et modèle des ECF''	'!$A$3:$O$3,0)),"")</f>
        <v/>
      </c>
      <c r="G17" s="131" t="str">
        <f>IFERROR(INDEX('Prix et modèle des ECF''	'!$A$3:$O$300,MATCH('Options_modèle spécifié d''ECF'!$C17,'Prix et modèle des ECF''	'!$E$3:$E$300,0),MATCH('Options_modèle spécifié d''ECF'!G$4,'Prix et modèle des ECF''	'!$A$3:$O$3,0)),"")</f>
        <v/>
      </c>
      <c r="H17" s="36"/>
      <c r="I17" s="48" t="str">
        <f>IF(ISERROR(IF(ISERROR(MATCH($A17,Reference_Dropdown1!$B$27:$B$39,0)),G17+$H17,G17)),"",IF(ISERROR(MATCH($A17,Reference_Dropdown1!$B$27:$B$39,0)),G17+$H17,"N/A"))</f>
        <v/>
      </c>
      <c r="J17" s="213"/>
      <c r="K17" s="80" t="str">
        <f t="shared" si="8"/>
        <v/>
      </c>
      <c r="L17" s="213"/>
      <c r="M17" s="80" t="str">
        <f t="shared" si="9"/>
        <v/>
      </c>
      <c r="N17" s="209"/>
      <c r="O17" s="320" t="str">
        <f t="shared" si="10"/>
        <v/>
      </c>
      <c r="P17" s="322">
        <f t="shared" si="0"/>
        <v>0</v>
      </c>
      <c r="Q17" s="80" t="str">
        <f t="shared" si="16"/>
        <v/>
      </c>
      <c r="R17" s="214"/>
      <c r="S17" s="129" t="str">
        <f>IFERROR(INDEX('Prix et modèle des ECF''	'!$A$3:$O$300,MATCH('Options_modèle spécifié d''ECF'!$R17,'Prix et modèle des ECF''	'!$E$3:$E$300,0),MATCH('Options_modèle spécifié d''ECF'!S$4,'Prix et modèle des ECF''	'!$A$3:$O$3,0)),"")</f>
        <v/>
      </c>
      <c r="T17" s="130" t="str">
        <f>IFERROR(INDEX('Prix et modèle des ECF''	'!$A$3:$O$300,MATCH('Options_modèle spécifié d''ECF'!$R17,'Prix et modèle des ECF''	'!$E$3:$E$300,0),MATCH('Options_modèle spécifié d''ECF'!T$4,'Prix et modèle des ECF''	'!$A$3:$O$3,0)),"")</f>
        <v/>
      </c>
      <c r="U17" s="316" t="str">
        <f>IF(ISERROR(IF(ISERROR(MATCH($A17,Reference_Dropdown1!$B$27:$B$39,0)),T17+$H17,T17)),"",IF(ISERROR(MATCH($A17,Reference_Dropdown1!$B$27:$B$39,0)),T17+$H17,"N/A"))</f>
        <v/>
      </c>
      <c r="V17" s="311" t="str">
        <f t="shared" si="2"/>
        <v>_5.</v>
      </c>
      <c r="W17" s="214"/>
      <c r="X17" s="128" t="str">
        <f t="shared" si="15"/>
        <v/>
      </c>
      <c r="Y17" s="214"/>
      <c r="Z17" s="128" t="str">
        <f t="shared" si="11"/>
        <v/>
      </c>
      <c r="AA17" s="214"/>
      <c r="AB17" s="128" t="str">
        <f t="shared" si="12"/>
        <v/>
      </c>
      <c r="AC17" s="308">
        <f t="shared" si="3"/>
        <v>0</v>
      </c>
      <c r="AD17" s="128" t="str">
        <f t="shared" si="13"/>
        <v/>
      </c>
      <c r="AE17" s="212"/>
      <c r="AF17" s="269" t="str">
        <f>IFERROR(INDEX('Prix et modèle des ECF''	'!$A$3:$O$300,MATCH('Options_modèle spécifié d''ECF'!$AE17,'Prix et modèle des ECF''	'!$E$3:$E$300,0),MATCH('Options_modèle spécifié d''ECF'!AF$4,'Prix et modèle des ECF''	'!$A$3:$O$3,0)),"")</f>
        <v/>
      </c>
      <c r="AG17" s="131" t="str">
        <f>IFERROR(INDEX('Prix et modèle des ECF''	'!$A$3:$O$300,MATCH('Options_modèle spécifié d''ECF'!$AE17,'Prix et modèle des ECF''	'!$E$3:$E$300,0),MATCH('Options_modèle spécifié d''ECF'!AG$4,'Prix et modèle des ECF''	'!$A$3:$O$3,0)),"")</f>
        <v/>
      </c>
      <c r="AH17" s="302" t="str">
        <f>IF(ISERROR(IF(ISERROR(MATCH($A17,Reference_Dropdown1!$B$27:$B$39,0)),AG17+$H17,AG17)),"",IF(ISERROR(MATCH($A17,Reference_Dropdown1!$B$27:$B$39,0)),AG17+$H17,"N/A"))</f>
        <v/>
      </c>
      <c r="AI17" s="214"/>
      <c r="AJ17" s="128" t="str">
        <f t="shared" si="4"/>
        <v/>
      </c>
      <c r="AK17" s="214"/>
      <c r="AL17" s="128" t="str">
        <f t="shared" si="5"/>
        <v/>
      </c>
      <c r="AM17" s="214"/>
      <c r="AN17" s="128" t="str">
        <f t="shared" si="6"/>
        <v/>
      </c>
      <c r="AO17" s="114">
        <f t="shared" si="7"/>
        <v>0</v>
      </c>
      <c r="AP17" s="128" t="str">
        <f t="shared" si="14"/>
        <v/>
      </c>
    </row>
    <row r="18" spans="1:42" s="7" customFormat="1" ht="27" customHeight="1" x14ac:dyDescent="0.35">
      <c r="A18" s="28" t="s">
        <v>499</v>
      </c>
      <c r="B18" s="78"/>
      <c r="C18" s="27"/>
      <c r="D18" s="129" t="str">
        <f>IFERROR(INDEX('Prix et modèle des ECF''	'!$A$3:$O$300,MATCH('Options_modèle spécifié d''ECF'!$C18,'Prix et modèle des ECF''	'!$E$3:$E$300,0),MATCH('Options_modèle spécifié d''ECF'!D$4,'Prix et modèle des ECF''	'!$A$3:$O$3,0)),"")</f>
        <v/>
      </c>
      <c r="E18" s="130" t="str">
        <f>IFERROR(INDEX('Prix et modèle des ECF''	'!$A$3:$O$300,MATCH('Options_modèle spécifié d''ECF'!$C18,'Prix et modèle des ECF''	'!$E$3:$E$300,0),MATCH('Options_modèle spécifié d''ECF'!E$4,'Prix et modèle des ECF''	'!$A$3:$O$3,0)),"")</f>
        <v/>
      </c>
      <c r="F18" s="130" t="str">
        <f>IFERROR(INDEX('Prix et modèle des ECF''	'!$A$3:$O$300,MATCH('Options_modèle spécifié d''ECF'!$C18,'Prix et modèle des ECF''	'!$E$3:$E$300,0),MATCH('Options_modèle spécifié d''ECF'!F$4,'Prix et modèle des ECF''	'!$A$3:$O$3,0)),"")</f>
        <v/>
      </c>
      <c r="G18" s="131" t="str">
        <f>IFERROR(INDEX('Prix et modèle des ECF''	'!$A$3:$O$300,MATCH('Options_modèle spécifié d''ECF'!$C18,'Prix et modèle des ECF''	'!$E$3:$E$300,0),MATCH('Options_modèle spécifié d''ECF'!G$4,'Prix et modèle des ECF''	'!$A$3:$O$3,0)),"")</f>
        <v/>
      </c>
      <c r="H18" s="36"/>
      <c r="I18" s="48" t="str">
        <f>IF(ISERROR(IF(ISERROR(MATCH($A18,Reference_Dropdown1!$B$27:$B$39,0)),G18+$H18,G18)),"",IF(ISERROR(MATCH($A18,Reference_Dropdown1!$B$27:$B$39,0)),G18+$H18,"N/A"))</f>
        <v/>
      </c>
      <c r="J18" s="213"/>
      <c r="K18" s="80" t="str">
        <f t="shared" si="8"/>
        <v/>
      </c>
      <c r="L18" s="213"/>
      <c r="M18" s="80" t="str">
        <f t="shared" si="9"/>
        <v/>
      </c>
      <c r="N18" s="209"/>
      <c r="O18" s="320" t="str">
        <f t="shared" si="10"/>
        <v/>
      </c>
      <c r="P18" s="322">
        <f t="shared" si="0"/>
        <v>0</v>
      </c>
      <c r="Q18" s="80" t="str">
        <f t="shared" si="16"/>
        <v/>
      </c>
      <c r="R18" s="214"/>
      <c r="S18" s="129" t="str">
        <f>IFERROR(INDEX('Prix et modèle des ECF''	'!$A$3:$O$300,MATCH('Options_modèle spécifié d''ECF'!$R18,'Prix et modèle des ECF''	'!$E$3:$E$300,0),MATCH('Options_modèle spécifié d''ECF'!S$4,'Prix et modèle des ECF''	'!$A$3:$O$3,0)),"")</f>
        <v/>
      </c>
      <c r="T18" s="130" t="str">
        <f>IFERROR(INDEX('Prix et modèle des ECF''	'!$A$3:$O$300,MATCH('Options_modèle spécifié d''ECF'!$R18,'Prix et modèle des ECF''	'!$E$3:$E$300,0),MATCH('Options_modèle spécifié d''ECF'!T$4,'Prix et modèle des ECF''	'!$A$3:$O$3,0)),"")</f>
        <v/>
      </c>
      <c r="U18" s="316" t="str">
        <f>IF(ISERROR(IF(ISERROR(MATCH($A18,Reference_Dropdown1!$B$27:$B$39,0)),T18+$H18,T18)),"",IF(ISERROR(MATCH($A18,Reference_Dropdown1!$B$27:$B$39,0)),T18+$H18,"N/A"))</f>
        <v/>
      </c>
      <c r="V18" s="311" t="str">
        <f t="shared" si="2"/>
        <v>_5.</v>
      </c>
      <c r="W18" s="214"/>
      <c r="X18" s="128" t="str">
        <f t="shared" si="15"/>
        <v/>
      </c>
      <c r="Y18" s="214"/>
      <c r="Z18" s="128" t="str">
        <f t="shared" si="11"/>
        <v/>
      </c>
      <c r="AA18" s="214"/>
      <c r="AB18" s="128" t="str">
        <f t="shared" si="12"/>
        <v/>
      </c>
      <c r="AC18" s="308">
        <f t="shared" si="3"/>
        <v>0</v>
      </c>
      <c r="AD18" s="128" t="str">
        <f t="shared" si="13"/>
        <v/>
      </c>
      <c r="AE18" s="212"/>
      <c r="AF18" s="269" t="str">
        <f>IFERROR(INDEX('Prix et modèle des ECF''	'!$A$3:$O$300,MATCH('Options_modèle spécifié d''ECF'!$AE18,'Prix et modèle des ECF''	'!$E$3:$E$300,0),MATCH('Options_modèle spécifié d''ECF'!AF$4,'Prix et modèle des ECF''	'!$A$3:$O$3,0)),"")</f>
        <v/>
      </c>
      <c r="AG18" s="131" t="str">
        <f>IFERROR(INDEX('Prix et modèle des ECF''	'!$A$3:$O$300,MATCH('Options_modèle spécifié d''ECF'!$AE18,'Prix et modèle des ECF''	'!$E$3:$E$300,0),MATCH('Options_modèle spécifié d''ECF'!AG$4,'Prix et modèle des ECF''	'!$A$3:$O$3,0)),"")</f>
        <v/>
      </c>
      <c r="AH18" s="302" t="str">
        <f>IF(ISERROR(IF(ISERROR(MATCH($A18,Reference_Dropdown1!$B$27:$B$39,0)),AG18+$H18,AG18)),"",IF(ISERROR(MATCH($A18,Reference_Dropdown1!$B$27:$B$39,0)),AG18+$H18,"N/A"))</f>
        <v/>
      </c>
      <c r="AI18" s="214"/>
      <c r="AJ18" s="128" t="str">
        <f t="shared" si="4"/>
        <v/>
      </c>
      <c r="AK18" s="214"/>
      <c r="AL18" s="128" t="str">
        <f t="shared" si="5"/>
        <v/>
      </c>
      <c r="AM18" s="214"/>
      <c r="AN18" s="128" t="str">
        <f t="shared" si="6"/>
        <v/>
      </c>
      <c r="AO18" s="114">
        <f t="shared" si="7"/>
        <v>0</v>
      </c>
      <c r="AP18" s="128" t="str">
        <f t="shared" si="14"/>
        <v/>
      </c>
    </row>
    <row r="19" spans="1:42" s="7" customFormat="1" ht="27" customHeight="1" x14ac:dyDescent="0.35">
      <c r="A19" s="28" t="s">
        <v>271</v>
      </c>
      <c r="B19" s="78"/>
      <c r="C19" s="27"/>
      <c r="D19" s="129" t="str">
        <f>IFERROR(INDEX('Prix et modèle des ECF''	'!$A$3:$O$300,MATCH('Options_modèle spécifié d''ECF'!$C19,'Prix et modèle des ECF''	'!$E$3:$E$300,0),MATCH('Options_modèle spécifié d''ECF'!D$4,'Prix et modèle des ECF''	'!$A$3:$O$3,0)),"")</f>
        <v/>
      </c>
      <c r="E19" s="130" t="str">
        <f>IFERROR(INDEX('Prix et modèle des ECF''	'!$A$3:$O$300,MATCH('Options_modèle spécifié d''ECF'!$C19,'Prix et modèle des ECF''	'!$E$3:$E$300,0),MATCH('Options_modèle spécifié d''ECF'!E$4,'Prix et modèle des ECF''	'!$A$3:$O$3,0)),"")</f>
        <v/>
      </c>
      <c r="F19" s="130" t="str">
        <f>IFERROR(INDEX('Prix et modèle des ECF''	'!$A$3:$O$300,MATCH('Options_modèle spécifié d''ECF'!$C19,'Prix et modèle des ECF''	'!$E$3:$E$300,0),MATCH('Options_modèle spécifié d''ECF'!F$4,'Prix et modèle des ECF''	'!$A$3:$O$3,0)),"")</f>
        <v/>
      </c>
      <c r="G19" s="131" t="str">
        <f>IFERROR(INDEX('Prix et modèle des ECF''	'!$A$3:$O$300,MATCH('Options_modèle spécifié d''ECF'!$C19,'Prix et modèle des ECF''	'!$E$3:$E$300,0),MATCH('Options_modèle spécifié d''ECF'!G$4,'Prix et modèle des ECF''	'!$A$3:$O$3,0)),"")</f>
        <v/>
      </c>
      <c r="H19" s="36"/>
      <c r="I19" s="48" t="str">
        <f>IF(ISERROR(IF(ISERROR(MATCH($A19,Reference_Dropdown1!$B$27:$B$39,0)),G19+$H19,G19)),"",IF(ISERROR(MATCH($A19,Reference_Dropdown1!$B$27:$B$39,0)),G19+$H19,"N/A"))</f>
        <v/>
      </c>
      <c r="J19" s="213"/>
      <c r="K19" s="80" t="str">
        <f t="shared" si="8"/>
        <v/>
      </c>
      <c r="L19" s="213"/>
      <c r="M19" s="80" t="str">
        <f t="shared" si="9"/>
        <v/>
      </c>
      <c r="N19" s="209"/>
      <c r="O19" s="320" t="str">
        <f t="shared" si="10"/>
        <v/>
      </c>
      <c r="P19" s="322">
        <f t="shared" si="0"/>
        <v>0</v>
      </c>
      <c r="Q19" s="80" t="str">
        <f t="shared" si="16"/>
        <v/>
      </c>
      <c r="R19" s="214"/>
      <c r="S19" s="129" t="str">
        <f>IFERROR(INDEX('Prix et modèle des ECF''	'!$A$3:$O$300,MATCH('Options_modèle spécifié d''ECF'!$R19,'Prix et modèle des ECF''	'!$E$3:$E$300,0),MATCH('Options_modèle spécifié d''ECF'!S$4,'Prix et modèle des ECF''	'!$A$3:$O$3,0)),"")</f>
        <v/>
      </c>
      <c r="T19" s="130" t="str">
        <f>IFERROR(INDEX('Prix et modèle des ECF''	'!$A$3:$O$300,MATCH('Options_modèle spécifié d''ECF'!$R19,'Prix et modèle des ECF''	'!$E$3:$E$300,0),MATCH('Options_modèle spécifié d''ECF'!T$4,'Prix et modèle des ECF''	'!$A$3:$O$3,0)),"")</f>
        <v/>
      </c>
      <c r="U19" s="316" t="str">
        <f>IF(ISERROR(IF(ISERROR(MATCH($A19,Reference_Dropdown1!$B$27:$B$39,0)),T19+$H19,T19)),"",IF(ISERROR(MATCH($A19,Reference_Dropdown1!$B$27:$B$39,0)),T19+$H19,"N/A"))</f>
        <v/>
      </c>
      <c r="V19" s="311" t="str">
        <f t="shared" si="2"/>
        <v>_6.</v>
      </c>
      <c r="W19" s="214"/>
      <c r="X19" s="128" t="str">
        <f t="shared" si="15"/>
        <v/>
      </c>
      <c r="Y19" s="214"/>
      <c r="Z19" s="128" t="str">
        <f t="shared" si="11"/>
        <v/>
      </c>
      <c r="AA19" s="214"/>
      <c r="AB19" s="128" t="str">
        <f t="shared" si="12"/>
        <v/>
      </c>
      <c r="AC19" s="308">
        <f t="shared" si="3"/>
        <v>0</v>
      </c>
      <c r="AD19" s="128" t="str">
        <f t="shared" si="13"/>
        <v/>
      </c>
      <c r="AE19" s="212"/>
      <c r="AF19" s="269" t="str">
        <f>IFERROR(INDEX('Prix et modèle des ECF''	'!$A$3:$O$300,MATCH('Options_modèle spécifié d''ECF'!$AE19,'Prix et modèle des ECF''	'!$E$3:$E$300,0),MATCH('Options_modèle spécifié d''ECF'!AF$4,'Prix et modèle des ECF''	'!$A$3:$O$3,0)),"")</f>
        <v/>
      </c>
      <c r="AG19" s="131" t="str">
        <f>IFERROR(INDEX('Prix et modèle des ECF''	'!$A$3:$O$300,MATCH('Options_modèle spécifié d''ECF'!$AE19,'Prix et modèle des ECF''	'!$E$3:$E$300,0),MATCH('Options_modèle spécifié d''ECF'!AG$4,'Prix et modèle des ECF''	'!$A$3:$O$3,0)),"")</f>
        <v/>
      </c>
      <c r="AH19" s="302" t="str">
        <f>IF(ISERROR(IF(ISERROR(MATCH($A19,Reference_Dropdown1!$B$27:$B$39,0)),AG19+$H19,AG19)),"",IF(ISERROR(MATCH($A19,Reference_Dropdown1!$B$27:$B$39,0)),AG19+$H19,"N/A"))</f>
        <v/>
      </c>
      <c r="AI19" s="214"/>
      <c r="AJ19" s="128" t="str">
        <f t="shared" si="4"/>
        <v/>
      </c>
      <c r="AK19" s="214"/>
      <c r="AL19" s="128" t="str">
        <f t="shared" si="5"/>
        <v/>
      </c>
      <c r="AM19" s="214"/>
      <c r="AN19" s="128" t="str">
        <f t="shared" si="6"/>
        <v/>
      </c>
      <c r="AO19" s="114">
        <f t="shared" si="7"/>
        <v>0</v>
      </c>
      <c r="AP19" s="128" t="str">
        <f t="shared" si="14"/>
        <v/>
      </c>
    </row>
    <row r="20" spans="1:42" s="7" customFormat="1" ht="27" customHeight="1" x14ac:dyDescent="0.35">
      <c r="A20" s="28" t="s">
        <v>271</v>
      </c>
      <c r="B20" s="78"/>
      <c r="C20" s="27"/>
      <c r="D20" s="129" t="str">
        <f>IFERROR(INDEX('Prix et modèle des ECF''	'!$A$3:$O$300,MATCH('Options_modèle spécifié d''ECF'!$C20,'Prix et modèle des ECF''	'!$E$3:$E$300,0),MATCH('Options_modèle spécifié d''ECF'!D$4,'Prix et modèle des ECF''	'!$A$3:$O$3,0)),"")</f>
        <v/>
      </c>
      <c r="E20" s="130" t="str">
        <f>IFERROR(INDEX('Prix et modèle des ECF''	'!$A$3:$O$300,MATCH('Options_modèle spécifié d''ECF'!$C20,'Prix et modèle des ECF''	'!$E$3:$E$300,0),MATCH('Options_modèle spécifié d''ECF'!E$4,'Prix et modèle des ECF''	'!$A$3:$O$3,0)),"")</f>
        <v/>
      </c>
      <c r="F20" s="130" t="str">
        <f>IFERROR(INDEX('Prix et modèle des ECF''	'!$A$3:$O$300,MATCH('Options_modèle spécifié d''ECF'!$C20,'Prix et modèle des ECF''	'!$E$3:$E$300,0),MATCH('Options_modèle spécifié d''ECF'!F$4,'Prix et modèle des ECF''	'!$A$3:$O$3,0)),"")</f>
        <v/>
      </c>
      <c r="G20" s="131" t="str">
        <f>IFERROR(INDEX('Prix et modèle des ECF''	'!$A$3:$O$300,MATCH('Options_modèle spécifié d''ECF'!$C20,'Prix et modèle des ECF''	'!$E$3:$E$300,0),MATCH('Options_modèle spécifié d''ECF'!G$4,'Prix et modèle des ECF''	'!$A$3:$O$3,0)),"")</f>
        <v/>
      </c>
      <c r="H20" s="36"/>
      <c r="I20" s="48" t="str">
        <f>IF(ISERROR(IF(ISERROR(MATCH($A20,Reference_Dropdown1!$B$27:$B$39,0)),G20+$H20,G20)),"",IF(ISERROR(MATCH($A20,Reference_Dropdown1!$B$27:$B$39,0)),G20+$H20,"N/A"))</f>
        <v/>
      </c>
      <c r="J20" s="213"/>
      <c r="K20" s="80" t="str">
        <f t="shared" si="8"/>
        <v/>
      </c>
      <c r="L20" s="213"/>
      <c r="M20" s="80" t="str">
        <f t="shared" si="9"/>
        <v/>
      </c>
      <c r="N20" s="209"/>
      <c r="O20" s="320" t="str">
        <f t="shared" si="10"/>
        <v/>
      </c>
      <c r="P20" s="322">
        <f t="shared" si="0"/>
        <v>0</v>
      </c>
      <c r="Q20" s="80" t="str">
        <f t="shared" si="16"/>
        <v/>
      </c>
      <c r="R20" s="214"/>
      <c r="S20" s="129" t="str">
        <f>IFERROR(INDEX('Prix et modèle des ECF''	'!$A$3:$O$300,MATCH('Options_modèle spécifié d''ECF'!$R20,'Prix et modèle des ECF''	'!$E$3:$E$300,0),MATCH('Options_modèle spécifié d''ECF'!S$4,'Prix et modèle des ECF''	'!$A$3:$O$3,0)),"")</f>
        <v/>
      </c>
      <c r="T20" s="130" t="str">
        <f>IFERROR(INDEX('Prix et modèle des ECF''	'!$A$3:$O$300,MATCH('Options_modèle spécifié d''ECF'!$R20,'Prix et modèle des ECF''	'!$E$3:$E$300,0),MATCH('Options_modèle spécifié d''ECF'!T$4,'Prix et modèle des ECF''	'!$A$3:$O$3,0)),"")</f>
        <v/>
      </c>
      <c r="U20" s="316" t="str">
        <f>IF(ISERROR(IF(ISERROR(MATCH($A20,Reference_Dropdown1!$B$27:$B$39,0)),T20+$H20,T20)),"",IF(ISERROR(MATCH($A20,Reference_Dropdown1!$B$27:$B$39,0)),T20+$H20,"N/A"))</f>
        <v/>
      </c>
      <c r="V20" s="311" t="str">
        <f t="shared" si="2"/>
        <v>_6.</v>
      </c>
      <c r="W20" s="214"/>
      <c r="X20" s="128" t="str">
        <f t="shared" si="15"/>
        <v/>
      </c>
      <c r="Y20" s="214"/>
      <c r="Z20" s="128" t="str">
        <f t="shared" si="11"/>
        <v/>
      </c>
      <c r="AA20" s="214"/>
      <c r="AB20" s="128" t="str">
        <f t="shared" si="12"/>
        <v/>
      </c>
      <c r="AC20" s="308">
        <f t="shared" si="3"/>
        <v>0</v>
      </c>
      <c r="AD20" s="128" t="str">
        <f t="shared" si="13"/>
        <v/>
      </c>
      <c r="AE20" s="212"/>
      <c r="AF20" s="269" t="str">
        <f>IFERROR(INDEX('Prix et modèle des ECF''	'!$A$3:$O$300,MATCH('Options_modèle spécifié d''ECF'!$AE20,'Prix et modèle des ECF''	'!$E$3:$E$300,0),MATCH('Options_modèle spécifié d''ECF'!AF$4,'Prix et modèle des ECF''	'!$A$3:$O$3,0)),"")</f>
        <v/>
      </c>
      <c r="AG20" s="131" t="str">
        <f>IFERROR(INDEX('Prix et modèle des ECF''	'!$A$3:$O$300,MATCH('Options_modèle spécifié d''ECF'!$AE20,'Prix et modèle des ECF''	'!$E$3:$E$300,0),MATCH('Options_modèle spécifié d''ECF'!AG$4,'Prix et modèle des ECF''	'!$A$3:$O$3,0)),"")</f>
        <v/>
      </c>
      <c r="AH20" s="302" t="str">
        <f>IF(ISERROR(IF(ISERROR(MATCH($A20,Reference_Dropdown1!$B$27:$B$39,0)),AG20+$H20,AG20)),"",IF(ISERROR(MATCH($A20,Reference_Dropdown1!$B$27:$B$39,0)),AG20+$H20,"N/A"))</f>
        <v/>
      </c>
      <c r="AI20" s="214"/>
      <c r="AJ20" s="128" t="str">
        <f t="shared" si="4"/>
        <v/>
      </c>
      <c r="AK20" s="214"/>
      <c r="AL20" s="128" t="str">
        <f t="shared" si="5"/>
        <v/>
      </c>
      <c r="AM20" s="214"/>
      <c r="AN20" s="128" t="str">
        <f t="shared" si="6"/>
        <v/>
      </c>
      <c r="AO20" s="114">
        <f t="shared" si="7"/>
        <v>0</v>
      </c>
      <c r="AP20" s="128" t="str">
        <f t="shared" si="14"/>
        <v/>
      </c>
    </row>
    <row r="21" spans="1:42" s="7" customFormat="1" ht="27" customHeight="1" x14ac:dyDescent="0.35">
      <c r="A21" s="248" t="s">
        <v>272</v>
      </c>
      <c r="B21" s="78"/>
      <c r="C21" s="27"/>
      <c r="D21" s="129" t="str">
        <f>IFERROR(INDEX('Prix et modèle des ECF''	'!$A$3:$O$300,MATCH('Options_modèle spécifié d''ECF'!$C21,'Prix et modèle des ECF''	'!$E$3:$E$300,0),MATCH('Options_modèle spécifié d''ECF'!D$4,'Prix et modèle des ECF''	'!$A$3:$O$3,0)),"")</f>
        <v/>
      </c>
      <c r="E21" s="130" t="str">
        <f>IFERROR(INDEX('Prix et modèle des ECF''	'!$A$3:$O$300,MATCH('Options_modèle spécifié d''ECF'!$C21,'Prix et modèle des ECF''	'!$E$3:$E$300,0),MATCH('Options_modèle spécifié d''ECF'!E$4,'Prix et modèle des ECF''	'!$A$3:$O$3,0)),"")</f>
        <v/>
      </c>
      <c r="F21" s="130" t="str">
        <f>IFERROR(INDEX('Prix et modèle des ECF''	'!$A$3:$O$300,MATCH('Options_modèle spécifié d''ECF'!$C21,'Prix et modèle des ECF''	'!$E$3:$E$300,0),MATCH('Options_modèle spécifié d''ECF'!F$4,'Prix et modèle des ECF''	'!$A$3:$O$3,0)),"")</f>
        <v/>
      </c>
      <c r="G21" s="131" t="str">
        <f>IFERROR(INDEX('Prix et modèle des ECF''	'!$A$3:$O$300,MATCH('Options_modèle spécifié d''ECF'!$C21,'Prix et modèle des ECF''	'!$E$3:$E$300,0),MATCH('Options_modèle spécifié d''ECF'!G$4,'Prix et modèle des ECF''	'!$A$3:$O$3,0)),"")</f>
        <v/>
      </c>
      <c r="H21" s="36"/>
      <c r="I21" s="48" t="str">
        <f>IF(ISERROR(IF(ISERROR(MATCH($A21,Reference_Dropdown1!$B$27:$B$39,0)),G21+$H21,G21)),"",IF(ISERROR(MATCH($A21,Reference_Dropdown1!$B$27:$B$39,0)),G21+$H21,"N/A"))</f>
        <v/>
      </c>
      <c r="J21" s="213"/>
      <c r="K21" s="80" t="str">
        <f t="shared" si="8"/>
        <v/>
      </c>
      <c r="L21" s="213"/>
      <c r="M21" s="80" t="str">
        <f t="shared" si="9"/>
        <v/>
      </c>
      <c r="N21" s="209"/>
      <c r="O21" s="320" t="str">
        <f t="shared" si="10"/>
        <v/>
      </c>
      <c r="P21" s="322">
        <f t="shared" si="0"/>
        <v>0</v>
      </c>
      <c r="Q21" s="80" t="str">
        <f t="shared" si="16"/>
        <v/>
      </c>
      <c r="R21" s="214"/>
      <c r="S21" s="129" t="str">
        <f>IFERROR(INDEX('Prix et modèle des ECF''	'!$A$3:$O$300,MATCH('Options_modèle spécifié d''ECF'!$R21,'Prix et modèle des ECF''	'!$E$3:$E$300,0),MATCH('Options_modèle spécifié d''ECF'!S$4,'Prix et modèle des ECF''	'!$A$3:$O$3,0)),"")</f>
        <v/>
      </c>
      <c r="T21" s="130" t="str">
        <f>IFERROR(INDEX('Prix et modèle des ECF''	'!$A$3:$O$300,MATCH('Options_modèle spécifié d''ECF'!$R21,'Prix et modèle des ECF''	'!$E$3:$E$300,0),MATCH('Options_modèle spécifié d''ECF'!T$4,'Prix et modèle des ECF''	'!$A$3:$O$3,0)),"")</f>
        <v/>
      </c>
      <c r="U21" s="316" t="str">
        <f>IF(ISERROR(IF(ISERROR(MATCH($A21,Reference_Dropdown1!$B$27:$B$39,0)),T21+$H21,T21)),"",IF(ISERROR(MATCH($A21,Reference_Dropdown1!$B$27:$B$39,0)),T21+$H21,"N/A"))</f>
        <v/>
      </c>
      <c r="V21" s="311" t="str">
        <f t="shared" si="2"/>
        <v>_7.</v>
      </c>
      <c r="W21" s="214"/>
      <c r="X21" s="128" t="str">
        <f t="shared" si="15"/>
        <v/>
      </c>
      <c r="Y21" s="214"/>
      <c r="Z21" s="128" t="str">
        <f t="shared" si="11"/>
        <v/>
      </c>
      <c r="AA21" s="214"/>
      <c r="AB21" s="128" t="str">
        <f t="shared" si="12"/>
        <v/>
      </c>
      <c r="AC21" s="308">
        <f t="shared" si="3"/>
        <v>0</v>
      </c>
      <c r="AD21" s="128" t="str">
        <f t="shared" si="13"/>
        <v/>
      </c>
      <c r="AE21" s="212"/>
      <c r="AF21" s="269" t="str">
        <f>IFERROR(INDEX('Prix et modèle des ECF''	'!$A$3:$O$300,MATCH('Options_modèle spécifié d''ECF'!$AE21,'Prix et modèle des ECF''	'!$E$3:$E$300,0),MATCH('Options_modèle spécifié d''ECF'!AF$4,'Prix et modèle des ECF''	'!$A$3:$O$3,0)),"")</f>
        <v/>
      </c>
      <c r="AG21" s="131" t="str">
        <f>IFERROR(INDEX('Prix et modèle des ECF''	'!$A$3:$O$300,MATCH('Options_modèle spécifié d''ECF'!$AE21,'Prix et modèle des ECF''	'!$E$3:$E$300,0),MATCH('Options_modèle spécifié d''ECF'!AG$4,'Prix et modèle des ECF''	'!$A$3:$O$3,0)),"")</f>
        <v/>
      </c>
      <c r="AH21" s="302" t="str">
        <f>IF(ISERROR(IF(ISERROR(MATCH($A21,Reference_Dropdown1!$B$27:$B$39,0)),AG21+$H21,AG21)),"",IF(ISERROR(MATCH($A21,Reference_Dropdown1!$B$27:$B$39,0)),AG21+$H21,"N/A"))</f>
        <v/>
      </c>
      <c r="AI21" s="214"/>
      <c r="AJ21" s="128" t="str">
        <f t="shared" si="4"/>
        <v/>
      </c>
      <c r="AK21" s="214"/>
      <c r="AL21" s="128" t="str">
        <f t="shared" si="5"/>
        <v/>
      </c>
      <c r="AM21" s="214"/>
      <c r="AN21" s="128" t="str">
        <f t="shared" si="6"/>
        <v/>
      </c>
      <c r="AO21" s="114">
        <f t="shared" si="7"/>
        <v>0</v>
      </c>
      <c r="AP21" s="128" t="str">
        <f t="shared" si="14"/>
        <v/>
      </c>
    </row>
    <row r="22" spans="1:42" s="7" customFormat="1" ht="27" customHeight="1" x14ac:dyDescent="0.35">
      <c r="A22" s="29" t="s">
        <v>273</v>
      </c>
      <c r="B22" s="78" t="s">
        <v>117</v>
      </c>
      <c r="C22" s="27" t="s">
        <v>524</v>
      </c>
      <c r="D22" s="129" t="str">
        <f>IFERROR(INDEX('Prix et modèle des ECF''	'!$A$3:$O$300,MATCH('Options_modèle spécifié d''ECF'!$C22,'Prix et modèle des ECF''	'!$E$3:$E$300,0),MATCH('Options_modèle spécifié d''ECF'!D$4,'Prix et modèle des ECF''	'!$A$3:$O$3,0)),"")</f>
        <v>Berlinger</v>
      </c>
      <c r="E22" s="130" t="str">
        <f>IFERROR(INDEX('Prix et modèle des ECF''	'!$A$3:$O$300,MATCH('Options_modèle spécifié d''ECF'!$C22,'Prix et modèle des ECF''	'!$E$3:$E$300,0),MATCH('Options_modèle spécifié d''ECF'!E$4,'Prix et modèle des ECF''	'!$A$3:$O$3,0)),"")</f>
        <v>-</v>
      </c>
      <c r="F22" s="130" t="str">
        <f>IFERROR(INDEX('Prix et modèle des ECF''	'!$A$3:$O$300,MATCH('Options_modèle spécifié d''ECF'!$C22,'Prix et modèle des ECF''	'!$E$3:$E$300,0),MATCH('Options_modèle spécifié d''ECF'!F$4,'Prix et modèle des ECF''	'!$A$3:$O$3,0)),"")</f>
        <v>-</v>
      </c>
      <c r="G22" s="131">
        <f>IFERROR(INDEX('Prix et modèle des ECF''	'!$A$3:$O$300,MATCH('Options_modèle spécifié d''ECF'!$C22,'Prix et modèle des ECF''	'!$E$3:$E$300,0),MATCH('Options_modèle spécifié d''ECF'!G$4,'Prix et modèle des ECF''	'!$A$3:$O$3,0)),"")</f>
        <v>525</v>
      </c>
      <c r="H22" s="36"/>
      <c r="I22" s="48">
        <f>IF(ISERROR(IF(ISERROR(MATCH($A22,Reference_Dropdown1!$B$27:$B$39,0)),G22+$H22,G22)),"",IF(ISERROR(MATCH($A22,Reference_Dropdown1!$B$27:$B$39,0)),G22+$H22,"N/A"))</f>
        <v>525</v>
      </c>
      <c r="J22" s="213"/>
      <c r="K22" s="80">
        <f t="shared" si="8"/>
        <v>0</v>
      </c>
      <c r="L22" s="213"/>
      <c r="M22" s="80">
        <f t="shared" si="9"/>
        <v>0</v>
      </c>
      <c r="N22" s="209"/>
      <c r="O22" s="320">
        <f t="shared" si="10"/>
        <v>0</v>
      </c>
      <c r="P22" s="322">
        <f t="shared" si="0"/>
        <v>0</v>
      </c>
      <c r="Q22" s="80">
        <f t="shared" si="16"/>
        <v>0</v>
      </c>
      <c r="R22" s="214"/>
      <c r="S22" s="129" t="str">
        <f>IFERROR(INDEX('Prix et modèle des ECF''	'!$A$3:$O$300,MATCH('Options_modèle spécifié d''ECF'!$R22,'Prix et modèle des ECF''	'!$E$3:$E$300,0),MATCH('Options_modèle spécifié d''ECF'!S$4,'Prix et modèle des ECF''	'!$A$3:$O$3,0)),"")</f>
        <v/>
      </c>
      <c r="T22" s="130" t="str">
        <f>IFERROR(INDEX('Prix et modèle des ECF''	'!$A$3:$O$300,MATCH('Options_modèle spécifié d''ECF'!$R22,'Prix et modèle des ECF''	'!$E$3:$E$300,0),MATCH('Options_modèle spécifié d''ECF'!T$4,'Prix et modèle des ECF''	'!$A$3:$O$3,0)),"")</f>
        <v/>
      </c>
      <c r="U22" s="316" t="str">
        <f>IF(ISERROR(IF(ISERROR(MATCH($A22,Reference_Dropdown1!$B$27:$B$39,0)),T22+$H22,T22)),"",IF(ISERROR(MATCH($A22,Reference_Dropdown1!$B$27:$B$39,0)),T22+$H22,"N/A"))</f>
        <v/>
      </c>
      <c r="V22" s="311" t="str">
        <f t="shared" si="2"/>
        <v>_8.</v>
      </c>
      <c r="W22" s="214"/>
      <c r="X22" s="128" t="str">
        <f t="shared" si="15"/>
        <v/>
      </c>
      <c r="Y22" s="214"/>
      <c r="Z22" s="128" t="str">
        <f t="shared" si="11"/>
        <v/>
      </c>
      <c r="AA22" s="214"/>
      <c r="AB22" s="128" t="str">
        <f t="shared" si="12"/>
        <v/>
      </c>
      <c r="AC22" s="308">
        <f t="shared" si="3"/>
        <v>0</v>
      </c>
      <c r="AD22" s="128" t="str">
        <f t="shared" si="13"/>
        <v/>
      </c>
      <c r="AE22" s="212"/>
      <c r="AF22" s="269" t="str">
        <f>IFERROR(INDEX('Prix et modèle des ECF''	'!$A$3:$O$300,MATCH('Options_modèle spécifié d''ECF'!$AE22,'Prix et modèle des ECF''	'!$E$3:$E$300,0),MATCH('Options_modèle spécifié d''ECF'!AF$4,'Prix et modèle des ECF''	'!$A$3:$O$3,0)),"")</f>
        <v/>
      </c>
      <c r="AG22" s="131" t="str">
        <f>IFERROR(INDEX('Prix et modèle des ECF''	'!$A$3:$O$300,MATCH('Options_modèle spécifié d''ECF'!$AE22,'Prix et modèle des ECF''	'!$E$3:$E$300,0),MATCH('Options_modèle spécifié d''ECF'!AG$4,'Prix et modèle des ECF''	'!$A$3:$O$3,0)),"")</f>
        <v/>
      </c>
      <c r="AH22" s="302" t="str">
        <f>IF(ISERROR(IF(ISERROR(MATCH($A22,Reference_Dropdown1!$B$27:$B$39,0)),AG22+$H22,AG22)),"",IF(ISERROR(MATCH($A22,Reference_Dropdown1!$B$27:$B$39,0)),AG22+$H22,"N/A"))</f>
        <v/>
      </c>
      <c r="AI22" s="214"/>
      <c r="AJ22" s="128" t="str">
        <f t="shared" si="4"/>
        <v/>
      </c>
      <c r="AK22" s="214"/>
      <c r="AL22" s="128" t="str">
        <f t="shared" si="5"/>
        <v/>
      </c>
      <c r="AM22" s="214"/>
      <c r="AN22" s="128" t="str">
        <f t="shared" si="6"/>
        <v/>
      </c>
      <c r="AO22" s="114">
        <f t="shared" si="7"/>
        <v>0</v>
      </c>
      <c r="AP22" s="128" t="str">
        <f t="shared" si="14"/>
        <v/>
      </c>
    </row>
    <row r="23" spans="1:42" s="7" customFormat="1" ht="27" customHeight="1" x14ac:dyDescent="0.35">
      <c r="A23" s="30" t="s">
        <v>273</v>
      </c>
      <c r="B23" s="78"/>
      <c r="C23" s="27"/>
      <c r="D23" s="129" t="str">
        <f>IFERROR(INDEX('Prix et modèle des ECF''	'!$A$3:$O$300,MATCH('Options_modèle spécifié d''ECF'!$C23,'Prix et modèle des ECF''	'!$E$3:$E$300,0),MATCH('Options_modèle spécifié d''ECF'!D$4,'Prix et modèle des ECF''	'!$A$3:$O$3,0)),"")</f>
        <v/>
      </c>
      <c r="E23" s="130" t="str">
        <f>IFERROR(INDEX('Prix et modèle des ECF''	'!$A$3:$O$300,MATCH('Options_modèle spécifié d''ECF'!$C23,'Prix et modèle des ECF''	'!$E$3:$E$300,0),MATCH('Options_modèle spécifié d''ECF'!E$4,'Prix et modèle des ECF''	'!$A$3:$O$3,0)),"")</f>
        <v/>
      </c>
      <c r="F23" s="130" t="str">
        <f>IFERROR(INDEX('Prix et modèle des ECF''	'!$A$3:$O$300,MATCH('Options_modèle spécifié d''ECF'!$C23,'Prix et modèle des ECF''	'!$E$3:$E$300,0),MATCH('Options_modèle spécifié d''ECF'!F$4,'Prix et modèle des ECF''	'!$A$3:$O$3,0)),"")</f>
        <v/>
      </c>
      <c r="G23" s="131" t="str">
        <f>IFERROR(INDEX('Prix et modèle des ECF''	'!$A$3:$O$300,MATCH('Options_modèle spécifié d''ECF'!$C23,'Prix et modèle des ECF''	'!$E$3:$E$300,0),MATCH('Options_modèle spécifié d''ECF'!G$4,'Prix et modèle des ECF''	'!$A$3:$O$3,0)),"")</f>
        <v/>
      </c>
      <c r="H23" s="36"/>
      <c r="I23" s="48" t="str">
        <f>IF(ISERROR(IF(ISERROR(MATCH($A23,Reference_Dropdown1!$B$27:$B$39,0)),G23+$H23,G23)),"",IF(ISERROR(MATCH($A23,Reference_Dropdown1!$B$27:$B$39,0)),G23+$H23,"N/A"))</f>
        <v/>
      </c>
      <c r="J23" s="213"/>
      <c r="K23" s="80" t="str">
        <f t="shared" si="8"/>
        <v/>
      </c>
      <c r="L23" s="213"/>
      <c r="M23" s="80" t="str">
        <f t="shared" si="9"/>
        <v/>
      </c>
      <c r="N23" s="209"/>
      <c r="O23" s="320" t="str">
        <f t="shared" si="10"/>
        <v/>
      </c>
      <c r="P23" s="322">
        <f t="shared" si="0"/>
        <v>0</v>
      </c>
      <c r="Q23" s="80" t="str">
        <f t="shared" si="16"/>
        <v/>
      </c>
      <c r="R23" s="214"/>
      <c r="S23" s="129" t="str">
        <f>IFERROR(INDEX('Prix et modèle des ECF''	'!$A$3:$O$300,MATCH('Options_modèle spécifié d''ECF'!$R23,'Prix et modèle des ECF''	'!$E$3:$E$300,0),MATCH('Options_modèle spécifié d''ECF'!S$4,'Prix et modèle des ECF''	'!$A$3:$O$3,0)),"")</f>
        <v/>
      </c>
      <c r="T23" s="130" t="str">
        <f>IFERROR(INDEX('Prix et modèle des ECF''	'!$A$3:$O$300,MATCH('Options_modèle spécifié d''ECF'!$R23,'Prix et modèle des ECF''	'!$E$3:$E$300,0),MATCH('Options_modèle spécifié d''ECF'!T$4,'Prix et modèle des ECF''	'!$A$3:$O$3,0)),"")</f>
        <v/>
      </c>
      <c r="U23" s="316" t="str">
        <f>IF(ISERROR(IF(ISERROR(MATCH($A23,Reference_Dropdown1!$B$27:$B$39,0)),T23+$H23,T23)),"",IF(ISERROR(MATCH($A23,Reference_Dropdown1!$B$27:$B$39,0)),T23+$H23,"N/A"))</f>
        <v/>
      </c>
      <c r="V23" s="311" t="str">
        <f t="shared" si="2"/>
        <v>_8.</v>
      </c>
      <c r="W23" s="214"/>
      <c r="X23" s="128" t="str">
        <f t="shared" si="15"/>
        <v/>
      </c>
      <c r="Y23" s="214"/>
      <c r="Z23" s="128" t="str">
        <f t="shared" si="11"/>
        <v/>
      </c>
      <c r="AA23" s="214"/>
      <c r="AB23" s="128" t="str">
        <f t="shared" si="12"/>
        <v/>
      </c>
      <c r="AC23" s="308">
        <f t="shared" si="3"/>
        <v>0</v>
      </c>
      <c r="AD23" s="128" t="str">
        <f t="shared" si="13"/>
        <v/>
      </c>
      <c r="AE23" s="212"/>
      <c r="AF23" s="269" t="str">
        <f>IFERROR(INDEX('Prix et modèle des ECF''	'!$A$3:$O$300,MATCH('Options_modèle spécifié d''ECF'!$AE23,'Prix et modèle des ECF''	'!$E$3:$E$300,0),MATCH('Options_modèle spécifié d''ECF'!AF$4,'Prix et modèle des ECF''	'!$A$3:$O$3,0)),"")</f>
        <v/>
      </c>
      <c r="AG23" s="131" t="str">
        <f>IFERROR(INDEX('Prix et modèle des ECF''	'!$A$3:$O$300,MATCH('Options_modèle spécifié d''ECF'!$AE23,'Prix et modèle des ECF''	'!$E$3:$E$300,0),MATCH('Options_modèle spécifié d''ECF'!AG$4,'Prix et modèle des ECF''	'!$A$3:$O$3,0)),"")</f>
        <v/>
      </c>
      <c r="AH23" s="302" t="str">
        <f>IF(ISERROR(IF(ISERROR(MATCH($A23,Reference_Dropdown1!$B$27:$B$39,0)),AG23+$H23,AG23)),"",IF(ISERROR(MATCH($A23,Reference_Dropdown1!$B$27:$B$39,0)),AG23+$H23,"N/A"))</f>
        <v/>
      </c>
      <c r="AI23" s="214"/>
      <c r="AJ23" s="128" t="str">
        <f t="shared" si="4"/>
        <v/>
      </c>
      <c r="AK23" s="214"/>
      <c r="AL23" s="128" t="str">
        <f t="shared" si="5"/>
        <v/>
      </c>
      <c r="AM23" s="214"/>
      <c r="AN23" s="128" t="str">
        <f t="shared" si="6"/>
        <v/>
      </c>
      <c r="AO23" s="114">
        <f t="shared" si="7"/>
        <v>0</v>
      </c>
      <c r="AP23" s="128" t="str">
        <f t="shared" si="14"/>
        <v/>
      </c>
    </row>
    <row r="24" spans="1:42" s="7" customFormat="1" ht="27" customHeight="1" x14ac:dyDescent="0.35">
      <c r="A24" s="31" t="s">
        <v>436</v>
      </c>
      <c r="B24" s="78"/>
      <c r="C24" s="27"/>
      <c r="D24" s="129" t="str">
        <f>IFERROR(INDEX('Prix et modèle des ECF''	'!$A$3:$O$300,MATCH('Options_modèle spécifié d''ECF'!$C24,'Prix et modèle des ECF''	'!$E$3:$E$300,0),MATCH('Options_modèle spécifié d''ECF'!D$4,'Prix et modèle des ECF''	'!$A$3:$O$3,0)),"")</f>
        <v/>
      </c>
      <c r="E24" s="130" t="str">
        <f>IFERROR(INDEX('Prix et modèle des ECF''	'!$A$3:$O$300,MATCH('Options_modèle spécifié d''ECF'!$C24,'Prix et modèle des ECF''	'!$E$3:$E$300,0),MATCH('Options_modèle spécifié d''ECF'!E$4,'Prix et modèle des ECF''	'!$A$3:$O$3,0)),"")</f>
        <v/>
      </c>
      <c r="F24" s="130" t="str">
        <f>IFERROR(INDEX('Prix et modèle des ECF''	'!$A$3:$O$300,MATCH('Options_modèle spécifié d''ECF'!$C24,'Prix et modèle des ECF''	'!$E$3:$E$300,0),MATCH('Options_modèle spécifié d''ECF'!F$4,'Prix et modèle des ECF''	'!$A$3:$O$3,0)),"")</f>
        <v/>
      </c>
      <c r="G24" s="131" t="str">
        <f>IFERROR(INDEX('Prix et modèle des ECF''	'!$A$3:$O$300,MATCH('Options_modèle spécifié d''ECF'!$C24,'Prix et modèle des ECF''	'!$E$3:$E$300,0),MATCH('Options_modèle spécifié d''ECF'!G$4,'Prix et modèle des ECF''	'!$A$3:$O$3,0)),"")</f>
        <v/>
      </c>
      <c r="H24" s="36"/>
      <c r="I24" s="48" t="str">
        <f>IF(ISERROR(IF(ISERROR(MATCH($A24,Reference_Dropdown1!$B$27:$B$39,0)),G24+$H24,G24)),"",IF(ISERROR(MATCH($A24,Reference_Dropdown1!$B$27:$B$39,0)),G24+$H24,"N/A"))</f>
        <v/>
      </c>
      <c r="J24" s="213"/>
      <c r="K24" s="80" t="str">
        <f t="shared" si="8"/>
        <v/>
      </c>
      <c r="L24" s="213"/>
      <c r="M24" s="80" t="str">
        <f t="shared" si="9"/>
        <v/>
      </c>
      <c r="N24" s="209"/>
      <c r="O24" s="320" t="str">
        <f t="shared" si="10"/>
        <v/>
      </c>
      <c r="P24" s="322">
        <f t="shared" si="0"/>
        <v>0</v>
      </c>
      <c r="Q24" s="80" t="str">
        <f t="shared" si="16"/>
        <v/>
      </c>
      <c r="R24" s="214"/>
      <c r="S24" s="129" t="str">
        <f>IFERROR(INDEX('Prix et modèle des ECF''	'!$A$3:$O$300,MATCH('Options_modèle spécifié d''ECF'!$R24,'Prix et modèle des ECF''	'!$E$3:$E$300,0),MATCH('Options_modèle spécifié d''ECF'!S$4,'Prix et modèle des ECF''	'!$A$3:$O$3,0)),"")</f>
        <v/>
      </c>
      <c r="T24" s="130" t="str">
        <f>IFERROR(INDEX('Prix et modèle des ECF''	'!$A$3:$O$300,MATCH('Options_modèle spécifié d''ECF'!$R24,'Prix et modèle des ECF''	'!$E$3:$E$300,0),MATCH('Options_modèle spécifié d''ECF'!T$4,'Prix et modèle des ECF''	'!$A$3:$O$3,0)),"")</f>
        <v/>
      </c>
      <c r="U24" s="316" t="str">
        <f>IF(ISERROR(IF(ISERROR(MATCH($A24,Reference_Dropdown1!$B$27:$B$39,0)),T24+$H24,T24)),"",IF(ISERROR(MATCH($A24,Reference_Dropdown1!$B$27:$B$39,0)),T24+$H24,"N/A"))</f>
        <v/>
      </c>
      <c r="V24" s="311" t="str">
        <f t="shared" si="2"/>
        <v>_9.</v>
      </c>
      <c r="W24" s="214"/>
      <c r="X24" s="128" t="str">
        <f t="shared" si="15"/>
        <v/>
      </c>
      <c r="Y24" s="214"/>
      <c r="Z24" s="128" t="str">
        <f t="shared" si="11"/>
        <v/>
      </c>
      <c r="AA24" s="214"/>
      <c r="AB24" s="128" t="str">
        <f t="shared" si="12"/>
        <v/>
      </c>
      <c r="AC24" s="308">
        <f t="shared" si="3"/>
        <v>0</v>
      </c>
      <c r="AD24" s="128" t="str">
        <f t="shared" si="13"/>
        <v/>
      </c>
      <c r="AE24" s="212"/>
      <c r="AF24" s="269" t="str">
        <f>IFERROR(INDEX('Prix et modèle des ECF''	'!$A$3:$O$300,MATCH('Options_modèle spécifié d''ECF'!$AE24,'Prix et modèle des ECF''	'!$E$3:$E$300,0),MATCH('Options_modèle spécifié d''ECF'!AF$4,'Prix et modèle des ECF''	'!$A$3:$O$3,0)),"")</f>
        <v/>
      </c>
      <c r="AG24" s="131" t="str">
        <f>IFERROR(INDEX('Prix et modèle des ECF''	'!$A$3:$O$300,MATCH('Options_modèle spécifié d''ECF'!$AE24,'Prix et modèle des ECF''	'!$E$3:$E$300,0),MATCH('Options_modèle spécifié d''ECF'!AG$4,'Prix et modèle des ECF''	'!$A$3:$O$3,0)),"")</f>
        <v/>
      </c>
      <c r="AH24" s="302" t="str">
        <f>IF(ISERROR(IF(ISERROR(MATCH($A24,Reference_Dropdown1!$B$27:$B$39,0)),AG24+$H24,AG24)),"",IF(ISERROR(MATCH($A24,Reference_Dropdown1!$B$27:$B$39,0)),AG24+$H24,"N/A"))</f>
        <v/>
      </c>
      <c r="AI24" s="214"/>
      <c r="AJ24" s="128" t="str">
        <f t="shared" si="4"/>
        <v/>
      </c>
      <c r="AK24" s="214"/>
      <c r="AL24" s="128" t="str">
        <f t="shared" si="5"/>
        <v/>
      </c>
      <c r="AM24" s="214"/>
      <c r="AN24" s="128" t="str">
        <f t="shared" si="6"/>
        <v/>
      </c>
      <c r="AO24" s="114">
        <f t="shared" si="7"/>
        <v>0</v>
      </c>
      <c r="AP24" s="128" t="str">
        <f t="shared" si="14"/>
        <v/>
      </c>
    </row>
    <row r="25" spans="1:42" s="7" customFormat="1" ht="27" customHeight="1" x14ac:dyDescent="0.35">
      <c r="A25" s="247" t="s">
        <v>453</v>
      </c>
      <c r="B25" s="78"/>
      <c r="C25" s="27"/>
      <c r="D25" s="129" t="str">
        <f>IFERROR(INDEX('Prix et modèle des ECF''	'!$A$3:$O$300,MATCH('Options_modèle spécifié d''ECF'!$C25,'Prix et modèle des ECF''	'!$E$3:$E$300,0),MATCH('Options_modèle spécifié d''ECF'!D$4,'Prix et modèle des ECF''	'!$A$3:$O$3,0)),"")</f>
        <v/>
      </c>
      <c r="E25" s="130" t="str">
        <f>IFERROR(INDEX('Prix et modèle des ECF''	'!$A$3:$O$300,MATCH('Options_modèle spécifié d''ECF'!$C25,'Prix et modèle des ECF''	'!$E$3:$E$300,0),MATCH('Options_modèle spécifié d''ECF'!E$4,'Prix et modèle des ECF''	'!$A$3:$O$3,0)),"")</f>
        <v/>
      </c>
      <c r="F25" s="130" t="str">
        <f>IFERROR(INDEX('Prix et modèle des ECF''	'!$A$3:$O$300,MATCH('Options_modèle spécifié d''ECF'!$C25,'Prix et modèle des ECF''	'!$E$3:$E$300,0),MATCH('Options_modèle spécifié d''ECF'!F$4,'Prix et modèle des ECF''	'!$A$3:$O$3,0)),"")</f>
        <v/>
      </c>
      <c r="G25" s="131" t="str">
        <f>IFERROR(INDEX('Prix et modèle des ECF''	'!$A$3:$O$300,MATCH('Options_modèle spécifié d''ECF'!$C25,'Prix et modèle des ECF''	'!$E$3:$E$300,0),MATCH('Options_modèle spécifié d''ECF'!G$4,'Prix et modèle des ECF''	'!$A$3:$O$3,0)),"")</f>
        <v/>
      </c>
      <c r="H25" s="36"/>
      <c r="I25" s="48" t="str">
        <f>IF(ISERROR(IF(ISERROR(MATCH($A25,Reference_Dropdown1!$B$27:$B$39,0)),G25+$H25,G25)),"",IF(ISERROR(MATCH($A25,Reference_Dropdown1!$B$27:$B$39,0)),G25+$H25,"N/A"))</f>
        <v/>
      </c>
      <c r="J25" s="213"/>
      <c r="K25" s="80" t="str">
        <f t="shared" si="8"/>
        <v/>
      </c>
      <c r="L25" s="213"/>
      <c r="M25" s="80" t="str">
        <f t="shared" si="9"/>
        <v/>
      </c>
      <c r="N25" s="209"/>
      <c r="O25" s="320" t="str">
        <f t="shared" si="10"/>
        <v/>
      </c>
      <c r="P25" s="322">
        <f t="shared" si="0"/>
        <v>0</v>
      </c>
      <c r="Q25" s="80" t="str">
        <f t="shared" si="16"/>
        <v/>
      </c>
      <c r="R25" s="214"/>
      <c r="S25" s="129" t="str">
        <f>IFERROR(INDEX('Prix et modèle des ECF''	'!$A$3:$O$300,MATCH('Options_modèle spécifié d''ECF'!$R25,'Prix et modèle des ECF''	'!$E$3:$E$300,0),MATCH('Options_modèle spécifié d''ECF'!S$4,'Prix et modèle des ECF''	'!$A$3:$O$3,0)),"")</f>
        <v/>
      </c>
      <c r="T25" s="130" t="str">
        <f>IFERROR(INDEX('Prix et modèle des ECF''	'!$A$3:$O$300,MATCH('Options_modèle spécifié d''ECF'!$R25,'Prix et modèle des ECF''	'!$E$3:$E$300,0),MATCH('Options_modèle spécifié d''ECF'!T$4,'Prix et modèle des ECF''	'!$A$3:$O$3,0)),"")</f>
        <v/>
      </c>
      <c r="U25" s="316" t="str">
        <f>IF(ISERROR(IF(ISERROR(MATCH($A25,Reference_Dropdown1!$B$27:$B$39,0)),T25+$H25,T25)),"",IF(ISERROR(MATCH($A25,Reference_Dropdown1!$B$27:$B$39,0)),T25+$H25,"N/A"))</f>
        <v/>
      </c>
      <c r="V25" s="311" t="str">
        <f t="shared" si="2"/>
        <v>_10</v>
      </c>
      <c r="W25" s="214"/>
      <c r="X25" s="128" t="str">
        <f t="shared" si="15"/>
        <v/>
      </c>
      <c r="Y25" s="214"/>
      <c r="Z25" s="128" t="str">
        <f t="shared" si="11"/>
        <v/>
      </c>
      <c r="AA25" s="214"/>
      <c r="AB25" s="128" t="str">
        <f t="shared" si="12"/>
        <v/>
      </c>
      <c r="AC25" s="308">
        <f t="shared" si="3"/>
        <v>0</v>
      </c>
      <c r="AD25" s="128" t="str">
        <f t="shared" si="13"/>
        <v/>
      </c>
      <c r="AE25" s="212"/>
      <c r="AF25" s="269" t="str">
        <f>IFERROR(INDEX('Prix et modèle des ECF''	'!$A$3:$O$300,MATCH('Options_modèle spécifié d''ECF'!$AE25,'Prix et modèle des ECF''	'!$E$3:$E$300,0),MATCH('Options_modèle spécifié d''ECF'!AF$4,'Prix et modèle des ECF''	'!$A$3:$O$3,0)),"")</f>
        <v/>
      </c>
      <c r="AG25" s="131" t="str">
        <f>IFERROR(INDEX('Prix et modèle des ECF''	'!$A$3:$O$300,MATCH('Options_modèle spécifié d''ECF'!$AE25,'Prix et modèle des ECF''	'!$E$3:$E$300,0),MATCH('Options_modèle spécifié d''ECF'!AG$4,'Prix et modèle des ECF''	'!$A$3:$O$3,0)),"")</f>
        <v/>
      </c>
      <c r="AH25" s="302" t="str">
        <f>IF(ISERROR(IF(ISERROR(MATCH($A25,Reference_Dropdown1!$B$27:$B$39,0)),AG25+$H25,AG25)),"",IF(ISERROR(MATCH($A25,Reference_Dropdown1!$B$27:$B$39,0)),AG25+$H25,"N/A"))</f>
        <v/>
      </c>
      <c r="AI25" s="214"/>
      <c r="AJ25" s="128" t="str">
        <f t="shared" si="4"/>
        <v/>
      </c>
      <c r="AK25" s="214"/>
      <c r="AL25" s="128" t="str">
        <f t="shared" si="5"/>
        <v/>
      </c>
      <c r="AM25" s="214"/>
      <c r="AN25" s="128" t="str">
        <f t="shared" si="6"/>
        <v/>
      </c>
      <c r="AO25" s="114">
        <f t="shared" si="7"/>
        <v>0</v>
      </c>
      <c r="AP25" s="128" t="str">
        <f t="shared" si="14"/>
        <v/>
      </c>
    </row>
    <row r="26" spans="1:42" s="7" customFormat="1" ht="27" customHeight="1" x14ac:dyDescent="0.35">
      <c r="A26" s="247" t="s">
        <v>454</v>
      </c>
      <c r="B26" s="78"/>
      <c r="C26" s="27"/>
      <c r="D26" s="129" t="str">
        <f>IFERROR(INDEX('Prix et modèle des ECF''	'!$A$3:$O$300,MATCH('Options_modèle spécifié d''ECF'!$C26,'Prix et modèle des ECF''	'!$E$3:$E$300,0),MATCH('Options_modèle spécifié d''ECF'!D$4,'Prix et modèle des ECF''	'!$A$3:$O$3,0)),"")</f>
        <v/>
      </c>
      <c r="E26" s="130" t="str">
        <f>IFERROR(INDEX('Prix et modèle des ECF''	'!$A$3:$O$300,MATCH('Options_modèle spécifié d''ECF'!$C26,'Prix et modèle des ECF''	'!$E$3:$E$300,0),MATCH('Options_modèle spécifié d''ECF'!E$4,'Prix et modèle des ECF''	'!$A$3:$O$3,0)),"")</f>
        <v/>
      </c>
      <c r="F26" s="130" t="str">
        <f>IFERROR(INDEX('Prix et modèle des ECF''	'!$A$3:$O$300,MATCH('Options_modèle spécifié d''ECF'!$C26,'Prix et modèle des ECF''	'!$E$3:$E$300,0),MATCH('Options_modèle spécifié d''ECF'!F$4,'Prix et modèle des ECF''	'!$A$3:$O$3,0)),"")</f>
        <v/>
      </c>
      <c r="G26" s="131" t="str">
        <f>IFERROR(INDEX('Prix et modèle des ECF''	'!$A$3:$O$300,MATCH('Options_modèle spécifié d''ECF'!$C26,'Prix et modèle des ECF''	'!$E$3:$E$300,0),MATCH('Options_modèle spécifié d''ECF'!G$4,'Prix et modèle des ECF''	'!$A$3:$O$3,0)),"")</f>
        <v/>
      </c>
      <c r="H26" s="36"/>
      <c r="I26" s="48" t="str">
        <f>IF(ISERROR(IF(ISERROR(MATCH($A26,Reference_Dropdown1!$B$27:$B$39,0)),G26+$H26,G26)),"",IF(ISERROR(MATCH($A26,Reference_Dropdown1!$B$27:$B$39,0)),G26+$H26,"N/A"))</f>
        <v/>
      </c>
      <c r="J26" s="213"/>
      <c r="K26" s="80" t="str">
        <f t="shared" si="8"/>
        <v/>
      </c>
      <c r="L26" s="213"/>
      <c r="M26" s="80" t="str">
        <f t="shared" si="9"/>
        <v/>
      </c>
      <c r="N26" s="209"/>
      <c r="O26" s="320" t="str">
        <f t="shared" si="10"/>
        <v/>
      </c>
      <c r="P26" s="322">
        <f t="shared" si="0"/>
        <v>0</v>
      </c>
      <c r="Q26" s="80" t="str">
        <f t="shared" si="16"/>
        <v/>
      </c>
      <c r="R26" s="214"/>
      <c r="S26" s="129" t="str">
        <f>IFERROR(INDEX('Prix et modèle des ECF''	'!$A$3:$O$300,MATCH('Options_modèle spécifié d''ECF'!$R26,'Prix et modèle des ECF''	'!$E$3:$E$300,0),MATCH('Options_modèle spécifié d''ECF'!S$4,'Prix et modèle des ECF''	'!$A$3:$O$3,0)),"")</f>
        <v/>
      </c>
      <c r="T26" s="130" t="str">
        <f>IFERROR(INDEX('Prix et modèle des ECF''	'!$A$3:$O$300,MATCH('Options_modèle spécifié d''ECF'!$R26,'Prix et modèle des ECF''	'!$E$3:$E$300,0),MATCH('Options_modèle spécifié d''ECF'!T$4,'Prix et modèle des ECF''	'!$A$3:$O$3,0)),"")</f>
        <v/>
      </c>
      <c r="U26" s="316" t="str">
        <f>IF(ISERROR(IF(ISERROR(MATCH($A26,Reference_Dropdown1!$B$27:$B$39,0)),T26+$H26,T26)),"",IF(ISERROR(MATCH($A26,Reference_Dropdown1!$B$27:$B$39,0)),T26+$H26,"N/A"))</f>
        <v/>
      </c>
      <c r="V26" s="311" t="str">
        <f t="shared" si="2"/>
        <v>_11</v>
      </c>
      <c r="W26" s="214"/>
      <c r="X26" s="128" t="str">
        <f t="shared" si="15"/>
        <v/>
      </c>
      <c r="Y26" s="214"/>
      <c r="Z26" s="128" t="str">
        <f t="shared" si="11"/>
        <v/>
      </c>
      <c r="AA26" s="214"/>
      <c r="AB26" s="128" t="str">
        <f t="shared" si="12"/>
        <v/>
      </c>
      <c r="AC26" s="308">
        <f t="shared" si="3"/>
        <v>0</v>
      </c>
      <c r="AD26" s="128" t="str">
        <f t="shared" si="13"/>
        <v/>
      </c>
      <c r="AE26" s="212"/>
      <c r="AF26" s="269" t="str">
        <f>IFERROR(INDEX('Prix et modèle des ECF''	'!$A$3:$O$300,MATCH('Options_modèle spécifié d''ECF'!$AE26,'Prix et modèle des ECF''	'!$E$3:$E$300,0),MATCH('Options_modèle spécifié d''ECF'!AF$4,'Prix et modèle des ECF''	'!$A$3:$O$3,0)),"")</f>
        <v/>
      </c>
      <c r="AG26" s="131" t="str">
        <f>IFERROR(INDEX('Prix et modèle des ECF''	'!$A$3:$O$300,MATCH('Options_modèle spécifié d''ECF'!$AE26,'Prix et modèle des ECF''	'!$E$3:$E$300,0),MATCH('Options_modèle spécifié d''ECF'!AG$4,'Prix et modèle des ECF''	'!$A$3:$O$3,0)),"")</f>
        <v/>
      </c>
      <c r="AH26" s="302" t="str">
        <f>IF(ISERROR(IF(ISERROR(MATCH($A26,Reference_Dropdown1!$B$27:$B$39,0)),AG26+$H26,AG26)),"",IF(ISERROR(MATCH($A26,Reference_Dropdown1!$B$27:$B$39,0)),AG26+$H26,"N/A"))</f>
        <v/>
      </c>
      <c r="AI26" s="214"/>
      <c r="AJ26" s="128" t="str">
        <f t="shared" si="4"/>
        <v/>
      </c>
      <c r="AK26" s="214"/>
      <c r="AL26" s="128" t="str">
        <f t="shared" si="5"/>
        <v/>
      </c>
      <c r="AM26" s="214"/>
      <c r="AN26" s="128" t="str">
        <f t="shared" si="6"/>
        <v/>
      </c>
      <c r="AO26" s="114">
        <f t="shared" si="7"/>
        <v>0</v>
      </c>
      <c r="AP26" s="128" t="str">
        <f t="shared" si="14"/>
        <v/>
      </c>
    </row>
    <row r="27" spans="1:42" s="7" customFormat="1" ht="27" customHeight="1" x14ac:dyDescent="0.35">
      <c r="A27" s="31" t="s">
        <v>455</v>
      </c>
      <c r="B27" s="78"/>
      <c r="C27" s="27"/>
      <c r="D27" s="129" t="str">
        <f>IFERROR(INDEX('Prix et modèle des ECF''	'!$A$3:$O$300,MATCH('Options_modèle spécifié d''ECF'!$C27,'Prix et modèle des ECF''	'!$E$3:$E$300,0),MATCH('Options_modèle spécifié d''ECF'!D$4,'Prix et modèle des ECF''	'!$A$3:$O$3,0)),"")</f>
        <v/>
      </c>
      <c r="E27" s="130" t="str">
        <f>IFERROR(INDEX('Prix et modèle des ECF''	'!$A$3:$O$300,MATCH('Options_modèle spécifié d''ECF'!$C27,'Prix et modèle des ECF''	'!$E$3:$E$300,0),MATCH('Options_modèle spécifié d''ECF'!E$4,'Prix et modèle des ECF''	'!$A$3:$O$3,0)),"")</f>
        <v/>
      </c>
      <c r="F27" s="130" t="str">
        <f>IFERROR(INDEX('Prix et modèle des ECF''	'!$A$3:$O$300,MATCH('Options_modèle spécifié d''ECF'!$C27,'Prix et modèle des ECF''	'!$E$3:$E$300,0),MATCH('Options_modèle spécifié d''ECF'!F$4,'Prix et modèle des ECF''	'!$A$3:$O$3,0)),"")</f>
        <v/>
      </c>
      <c r="G27" s="131" t="str">
        <f>IFERROR(INDEX('Prix et modèle des ECF''	'!$A$3:$O$300,MATCH('Options_modèle spécifié d''ECF'!$C27,'Prix et modèle des ECF''	'!$E$3:$E$300,0),MATCH('Options_modèle spécifié d''ECF'!G$4,'Prix et modèle des ECF''	'!$A$3:$O$3,0)),"")</f>
        <v/>
      </c>
      <c r="H27" s="36"/>
      <c r="I27" s="48" t="str">
        <f>IF(ISERROR(IF(ISERROR(MATCH($A27,Reference_Dropdown1!$B$27:$B$39,0)),G27+$H27,G27)),"",IF(ISERROR(MATCH($A27,Reference_Dropdown1!$B$27:$B$39,0)),G27+$H27,"N/A"))</f>
        <v/>
      </c>
      <c r="J27" s="213"/>
      <c r="K27" s="80" t="str">
        <f t="shared" si="8"/>
        <v/>
      </c>
      <c r="L27" s="213"/>
      <c r="M27" s="80" t="str">
        <f t="shared" si="9"/>
        <v/>
      </c>
      <c r="N27" s="209"/>
      <c r="O27" s="320" t="str">
        <f t="shared" si="10"/>
        <v/>
      </c>
      <c r="P27" s="322">
        <f t="shared" si="0"/>
        <v>0</v>
      </c>
      <c r="Q27" s="80" t="str">
        <f t="shared" si="16"/>
        <v/>
      </c>
      <c r="R27" s="214"/>
      <c r="S27" s="129" t="str">
        <f>IFERROR(INDEX('Prix et modèle des ECF''	'!$A$3:$O$300,MATCH('Options_modèle spécifié d''ECF'!$R27,'Prix et modèle des ECF''	'!$E$3:$E$300,0),MATCH('Options_modèle spécifié d''ECF'!S$4,'Prix et modèle des ECF''	'!$A$3:$O$3,0)),"")</f>
        <v/>
      </c>
      <c r="T27" s="130" t="str">
        <f>IFERROR(INDEX('Prix et modèle des ECF''	'!$A$3:$O$300,MATCH('Options_modèle spécifié d''ECF'!$R27,'Prix et modèle des ECF''	'!$E$3:$E$300,0),MATCH('Options_modèle spécifié d''ECF'!T$4,'Prix et modèle des ECF''	'!$A$3:$O$3,0)),"")</f>
        <v/>
      </c>
      <c r="U27" s="316" t="str">
        <f>IF(ISERROR(IF(ISERROR(MATCH($A27,Reference_Dropdown1!$B$27:$B$39,0)),T27+$H27,T27)),"",IF(ISERROR(MATCH($A27,Reference_Dropdown1!$B$27:$B$39,0)),T27+$H27,"N/A"))</f>
        <v/>
      </c>
      <c r="V27" s="311" t="str">
        <f t="shared" si="2"/>
        <v>_12</v>
      </c>
      <c r="W27" s="214"/>
      <c r="X27" s="128" t="str">
        <f t="shared" si="15"/>
        <v/>
      </c>
      <c r="Y27" s="214"/>
      <c r="Z27" s="128" t="str">
        <f t="shared" si="11"/>
        <v/>
      </c>
      <c r="AA27" s="214"/>
      <c r="AB27" s="128" t="str">
        <f t="shared" si="12"/>
        <v/>
      </c>
      <c r="AC27" s="308">
        <f t="shared" si="3"/>
        <v>0</v>
      </c>
      <c r="AD27" s="128" t="str">
        <f t="shared" si="13"/>
        <v/>
      </c>
      <c r="AE27" s="212"/>
      <c r="AF27" s="269" t="str">
        <f>IFERROR(INDEX('Prix et modèle des ECF''	'!$A$3:$O$300,MATCH('Options_modèle spécifié d''ECF'!$AE27,'Prix et modèle des ECF''	'!$E$3:$E$300,0),MATCH('Options_modèle spécifié d''ECF'!AF$4,'Prix et modèle des ECF''	'!$A$3:$O$3,0)),"")</f>
        <v/>
      </c>
      <c r="AG27" s="131" t="str">
        <f>IFERROR(INDEX('Prix et modèle des ECF''	'!$A$3:$O$300,MATCH('Options_modèle spécifié d''ECF'!$AE27,'Prix et modèle des ECF''	'!$E$3:$E$300,0),MATCH('Options_modèle spécifié d''ECF'!AG$4,'Prix et modèle des ECF''	'!$A$3:$O$3,0)),"")</f>
        <v/>
      </c>
      <c r="AH27" s="302" t="str">
        <f>IF(ISERROR(IF(ISERROR(MATCH($A27,Reference_Dropdown1!$B$27:$B$39,0)),AG27+$H27,AG27)),"",IF(ISERROR(MATCH($A27,Reference_Dropdown1!$B$27:$B$39,0)),AG27+$H27,"N/A"))</f>
        <v/>
      </c>
      <c r="AI27" s="214"/>
      <c r="AJ27" s="128" t="str">
        <f t="shared" si="4"/>
        <v/>
      </c>
      <c r="AK27" s="214"/>
      <c r="AL27" s="128" t="str">
        <f t="shared" si="5"/>
        <v/>
      </c>
      <c r="AM27" s="214"/>
      <c r="AN27" s="128" t="str">
        <f t="shared" si="6"/>
        <v/>
      </c>
      <c r="AO27" s="114">
        <f t="shared" si="7"/>
        <v>0</v>
      </c>
      <c r="AP27" s="128" t="str">
        <f t="shared" si="14"/>
        <v/>
      </c>
    </row>
    <row r="28" spans="1:42" s="7" customFormat="1" ht="27" customHeight="1" x14ac:dyDescent="0.35">
      <c r="A28" s="32" t="s">
        <v>456</v>
      </c>
      <c r="B28" s="78"/>
      <c r="C28" s="27"/>
      <c r="D28" s="129" t="str">
        <f>IFERROR(INDEX('Prix et modèle des ECF''	'!$A$3:$O$300,MATCH('Options_modèle spécifié d''ECF'!$C28,'Prix et modèle des ECF''	'!$E$3:$E$300,0),MATCH('Options_modèle spécifié d''ECF'!D$4,'Prix et modèle des ECF''	'!$A$3:$O$3,0)),"")</f>
        <v/>
      </c>
      <c r="E28" s="130" t="str">
        <f>IFERROR(INDEX('Prix et modèle des ECF''	'!$A$3:$O$300,MATCH('Options_modèle spécifié d''ECF'!$C28,'Prix et modèle des ECF''	'!$E$3:$E$300,0),MATCH('Options_modèle spécifié d''ECF'!E$4,'Prix et modèle des ECF''	'!$A$3:$O$3,0)),"")</f>
        <v/>
      </c>
      <c r="F28" s="130" t="str">
        <f>IFERROR(INDEX('Prix et modèle des ECF''	'!$A$3:$O$300,MATCH('Options_modèle spécifié d''ECF'!$C28,'Prix et modèle des ECF''	'!$E$3:$E$300,0),MATCH('Options_modèle spécifié d''ECF'!F$4,'Prix et modèle des ECF''	'!$A$3:$O$3,0)),"")</f>
        <v/>
      </c>
      <c r="G28" s="131" t="str">
        <f>IFERROR(INDEX('Prix et modèle des ECF''	'!$A$3:$O$300,MATCH('Options_modèle spécifié d''ECF'!$C28,'Prix et modèle des ECF''	'!$E$3:$E$300,0),MATCH('Options_modèle spécifié d''ECF'!G$4,'Prix et modèle des ECF''	'!$A$3:$O$3,0)),"")</f>
        <v/>
      </c>
      <c r="H28" s="36"/>
      <c r="I28" s="48" t="str">
        <f>IF(ISERROR(IF(ISERROR(MATCH($A28,Reference_Dropdown1!$B$27:$B$39,0)),G28+$H28,G28)),"",IF(ISERROR(MATCH($A28,Reference_Dropdown1!$B$27:$B$39,0)),G28+$H28,"N/A"))</f>
        <v/>
      </c>
      <c r="J28" s="213"/>
      <c r="K28" s="80" t="str">
        <f t="shared" si="8"/>
        <v/>
      </c>
      <c r="L28" s="213"/>
      <c r="M28" s="80" t="str">
        <f t="shared" si="9"/>
        <v/>
      </c>
      <c r="N28" s="209"/>
      <c r="O28" s="320" t="str">
        <f t="shared" si="10"/>
        <v/>
      </c>
      <c r="P28" s="322">
        <f t="shared" si="0"/>
        <v>0</v>
      </c>
      <c r="Q28" s="80" t="str">
        <f t="shared" si="16"/>
        <v/>
      </c>
      <c r="R28" s="214"/>
      <c r="S28" s="129" t="str">
        <f>IFERROR(INDEX('Prix et modèle des ECF''	'!$A$3:$O$300,MATCH('Options_modèle spécifié d''ECF'!$R28,'Prix et modèle des ECF''	'!$E$3:$E$300,0),MATCH('Options_modèle spécifié d''ECF'!S$4,'Prix et modèle des ECF''	'!$A$3:$O$3,0)),"")</f>
        <v/>
      </c>
      <c r="T28" s="130" t="str">
        <f>IFERROR(INDEX('Prix et modèle des ECF''	'!$A$3:$O$300,MATCH('Options_modèle spécifié d''ECF'!$R28,'Prix et modèle des ECF''	'!$E$3:$E$300,0),MATCH('Options_modèle spécifié d''ECF'!T$4,'Prix et modèle des ECF''	'!$A$3:$O$3,0)),"")</f>
        <v/>
      </c>
      <c r="U28" s="316" t="str">
        <f>IF(ISERROR(IF(ISERROR(MATCH($A28,Reference_Dropdown1!$B$27:$B$39,0)),T28+$H28,T28)),"",IF(ISERROR(MATCH($A28,Reference_Dropdown1!$B$27:$B$39,0)),T28+$H28,"N/A"))</f>
        <v/>
      </c>
      <c r="V28" s="311" t="str">
        <f t="shared" si="2"/>
        <v>_13</v>
      </c>
      <c r="W28" s="214"/>
      <c r="X28" s="128" t="str">
        <f t="shared" si="15"/>
        <v/>
      </c>
      <c r="Y28" s="214"/>
      <c r="Z28" s="128" t="str">
        <f t="shared" si="11"/>
        <v/>
      </c>
      <c r="AA28" s="214"/>
      <c r="AB28" s="128" t="str">
        <f t="shared" si="12"/>
        <v/>
      </c>
      <c r="AC28" s="308">
        <f t="shared" si="3"/>
        <v>0</v>
      </c>
      <c r="AD28" s="128" t="str">
        <f t="shared" si="13"/>
        <v/>
      </c>
      <c r="AE28" s="212"/>
      <c r="AF28" s="269" t="str">
        <f>IFERROR(INDEX('Prix et modèle des ECF''	'!$A$3:$O$300,MATCH('Options_modèle spécifié d''ECF'!$AE28,'Prix et modèle des ECF''	'!$E$3:$E$300,0),MATCH('Options_modèle spécifié d''ECF'!AF$4,'Prix et modèle des ECF''	'!$A$3:$O$3,0)),"")</f>
        <v/>
      </c>
      <c r="AG28" s="131" t="str">
        <f>IFERROR(INDEX('Prix et modèle des ECF''	'!$A$3:$O$300,MATCH('Options_modèle spécifié d''ECF'!$AE28,'Prix et modèle des ECF''	'!$E$3:$E$300,0),MATCH('Options_modèle spécifié d''ECF'!AG$4,'Prix et modèle des ECF''	'!$A$3:$O$3,0)),"")</f>
        <v/>
      </c>
      <c r="AH28" s="302" t="str">
        <f>IF(ISERROR(IF(ISERROR(MATCH($A28,Reference_Dropdown1!$B$27:$B$39,0)),AG28+$H28,AG28)),"",IF(ISERROR(MATCH($A28,Reference_Dropdown1!$B$27:$B$39,0)),AG28+$H28,"N/A"))</f>
        <v/>
      </c>
      <c r="AI28" s="214"/>
      <c r="AJ28" s="128" t="str">
        <f t="shared" si="4"/>
        <v/>
      </c>
      <c r="AK28" s="214"/>
      <c r="AL28" s="128" t="str">
        <f t="shared" si="5"/>
        <v/>
      </c>
      <c r="AM28" s="214"/>
      <c r="AN28" s="128" t="str">
        <f t="shared" si="6"/>
        <v/>
      </c>
      <c r="AO28" s="114">
        <f t="shared" si="7"/>
        <v>0</v>
      </c>
      <c r="AP28" s="128" t="str">
        <f t="shared" si="14"/>
        <v/>
      </c>
    </row>
    <row r="29" spans="1:42" s="7" customFormat="1" ht="27" customHeight="1" x14ac:dyDescent="0.35">
      <c r="A29" s="34" t="s">
        <v>457</v>
      </c>
      <c r="B29" s="78"/>
      <c r="C29" s="27"/>
      <c r="D29" s="129" t="str">
        <f>IFERROR(INDEX('Prix et modèle des ECF''	'!$A$3:$O$300,MATCH('Options_modèle spécifié d''ECF'!$C29,'Prix et modèle des ECF''	'!$E$3:$E$300,0),MATCH('Options_modèle spécifié d''ECF'!D$4,'Prix et modèle des ECF''	'!$A$3:$O$3,0)),"")</f>
        <v/>
      </c>
      <c r="E29" s="130" t="str">
        <f>IFERROR(INDEX('Prix et modèle des ECF''	'!$A$3:$O$300,MATCH('Options_modèle spécifié d''ECF'!$C29,'Prix et modèle des ECF''	'!$E$3:$E$300,0),MATCH('Options_modèle spécifié d''ECF'!E$4,'Prix et modèle des ECF''	'!$A$3:$O$3,0)),"")</f>
        <v/>
      </c>
      <c r="F29" s="130" t="str">
        <f>IFERROR(INDEX('Prix et modèle des ECF''	'!$A$3:$O$300,MATCH('Options_modèle spécifié d''ECF'!$C29,'Prix et modèle des ECF''	'!$E$3:$E$300,0),MATCH('Options_modèle spécifié d''ECF'!F$4,'Prix et modèle des ECF''	'!$A$3:$O$3,0)),"")</f>
        <v/>
      </c>
      <c r="G29" s="131" t="str">
        <f>IFERROR(INDEX('Prix et modèle des ECF''	'!$A$3:$O$300,MATCH('Options_modèle spécifié d''ECF'!$C29,'Prix et modèle des ECF''	'!$E$3:$E$300,0),MATCH('Options_modèle spécifié d''ECF'!G$4,'Prix et modèle des ECF''	'!$A$3:$O$3,0)),"")</f>
        <v/>
      </c>
      <c r="H29" s="36"/>
      <c r="I29" s="48" t="str">
        <f>IF(ISERROR(IF(ISERROR(MATCH($A29,Reference_Dropdown1!$B$27:$B$39,0)),G29+$H29,G29)),"",IF(ISERROR(MATCH($A29,Reference_Dropdown1!$B$27:$B$39,0)),G29+$H29,"N/A"))</f>
        <v/>
      </c>
      <c r="J29" s="213"/>
      <c r="K29" s="80" t="str">
        <f t="shared" si="8"/>
        <v/>
      </c>
      <c r="L29" s="213"/>
      <c r="M29" s="80" t="str">
        <f t="shared" si="9"/>
        <v/>
      </c>
      <c r="N29" s="209"/>
      <c r="O29" s="320" t="str">
        <f t="shared" si="10"/>
        <v/>
      </c>
      <c r="P29" s="322">
        <f t="shared" si="0"/>
        <v>0</v>
      </c>
      <c r="Q29" s="80" t="str">
        <f t="shared" si="16"/>
        <v/>
      </c>
      <c r="R29" s="214"/>
      <c r="S29" s="129" t="str">
        <f>IFERROR(INDEX('Prix et modèle des ECF''	'!$A$3:$O$300,MATCH('Options_modèle spécifié d''ECF'!$R29,'Prix et modèle des ECF''	'!$E$3:$E$300,0),MATCH('Options_modèle spécifié d''ECF'!S$4,'Prix et modèle des ECF''	'!$A$3:$O$3,0)),"")</f>
        <v/>
      </c>
      <c r="T29" s="130" t="str">
        <f>IFERROR(INDEX('Prix et modèle des ECF''	'!$A$3:$O$300,MATCH('Options_modèle spécifié d''ECF'!$R29,'Prix et modèle des ECF''	'!$E$3:$E$300,0),MATCH('Options_modèle spécifié d''ECF'!T$4,'Prix et modèle des ECF''	'!$A$3:$O$3,0)),"")</f>
        <v/>
      </c>
      <c r="U29" s="316" t="str">
        <f>IF(ISERROR(IF(ISERROR(MATCH($A29,Reference_Dropdown1!$B$27:$B$39,0)),T29+$H29,T29)),"",IF(ISERROR(MATCH($A29,Reference_Dropdown1!$B$27:$B$39,0)),T29+$H29,"N/A"))</f>
        <v/>
      </c>
      <c r="V29" s="311" t="str">
        <f t="shared" si="2"/>
        <v>_14</v>
      </c>
      <c r="W29" s="214"/>
      <c r="X29" s="128" t="str">
        <f t="shared" si="15"/>
        <v/>
      </c>
      <c r="Y29" s="214"/>
      <c r="Z29" s="128" t="str">
        <f t="shared" si="11"/>
        <v/>
      </c>
      <c r="AA29" s="214"/>
      <c r="AB29" s="128" t="str">
        <f t="shared" si="12"/>
        <v/>
      </c>
      <c r="AC29" s="308">
        <f t="shared" si="3"/>
        <v>0</v>
      </c>
      <c r="AD29" s="128" t="str">
        <f t="shared" si="13"/>
        <v/>
      </c>
      <c r="AE29" s="212"/>
      <c r="AF29" s="269" t="str">
        <f>IFERROR(INDEX('Prix et modèle des ECF''	'!$A$3:$O$300,MATCH('Options_modèle spécifié d''ECF'!$AE29,'Prix et modèle des ECF''	'!$E$3:$E$300,0),MATCH('Options_modèle spécifié d''ECF'!AF$4,'Prix et modèle des ECF''	'!$A$3:$O$3,0)),"")</f>
        <v/>
      </c>
      <c r="AG29" s="131" t="str">
        <f>IFERROR(INDEX('Prix et modèle des ECF''	'!$A$3:$O$300,MATCH('Options_modèle spécifié d''ECF'!$AE29,'Prix et modèle des ECF''	'!$E$3:$E$300,0),MATCH('Options_modèle spécifié d''ECF'!AG$4,'Prix et modèle des ECF''	'!$A$3:$O$3,0)),"")</f>
        <v/>
      </c>
      <c r="AH29" s="302" t="str">
        <f>IF(ISERROR(IF(ISERROR(MATCH($A29,Reference_Dropdown1!$B$27:$B$39,0)),AG29+$H29,AG29)),"",IF(ISERROR(MATCH($A29,Reference_Dropdown1!$B$27:$B$39,0)),AG29+$H29,"N/A"))</f>
        <v/>
      </c>
      <c r="AI29" s="214"/>
      <c r="AJ29" s="128" t="str">
        <f t="shared" si="4"/>
        <v/>
      </c>
      <c r="AK29" s="214"/>
      <c r="AL29" s="128" t="str">
        <f t="shared" si="5"/>
        <v/>
      </c>
      <c r="AM29" s="214"/>
      <c r="AN29" s="128" t="str">
        <f t="shared" si="6"/>
        <v/>
      </c>
      <c r="AO29" s="114">
        <f t="shared" si="7"/>
        <v>0</v>
      </c>
      <c r="AP29" s="128" t="str">
        <f t="shared" si="14"/>
        <v/>
      </c>
    </row>
    <row r="30" spans="1:42" s="7" customFormat="1" ht="27" customHeight="1" x14ac:dyDescent="0.35">
      <c r="A30" s="33" t="s">
        <v>458</v>
      </c>
      <c r="B30" s="78"/>
      <c r="C30" s="27"/>
      <c r="D30" s="129" t="str">
        <f>IFERROR(INDEX('Prix et modèle des ECF''	'!$A$3:$O$300,MATCH('Options_modèle spécifié d''ECF'!$C30,'Prix et modèle des ECF''	'!$E$3:$E$300,0),MATCH('Options_modèle spécifié d''ECF'!D$4,'Prix et modèle des ECF''	'!$A$3:$O$3,0)),"")</f>
        <v/>
      </c>
      <c r="E30" s="130" t="str">
        <f>IFERROR(INDEX('Prix et modèle des ECF''	'!$A$3:$O$300,MATCH('Options_modèle spécifié d''ECF'!$C30,'Prix et modèle des ECF''	'!$E$3:$E$300,0),MATCH('Options_modèle spécifié d''ECF'!E$4,'Prix et modèle des ECF''	'!$A$3:$O$3,0)),"")</f>
        <v/>
      </c>
      <c r="F30" s="130" t="str">
        <f>IFERROR(INDEX('Prix et modèle des ECF''	'!$A$3:$O$300,MATCH('Options_modèle spécifié d''ECF'!$C30,'Prix et modèle des ECF''	'!$E$3:$E$300,0),MATCH('Options_modèle spécifié d''ECF'!F$4,'Prix et modèle des ECF''	'!$A$3:$O$3,0)),"")</f>
        <v/>
      </c>
      <c r="G30" s="131" t="str">
        <f>IFERROR(INDEX('Prix et modèle des ECF''	'!$A$3:$O$300,MATCH('Options_modèle spécifié d''ECF'!$C30,'Prix et modèle des ECF''	'!$E$3:$E$300,0),MATCH('Options_modèle spécifié d''ECF'!G$4,'Prix et modèle des ECF''	'!$A$3:$O$3,0)),"")</f>
        <v/>
      </c>
      <c r="H30" s="36"/>
      <c r="I30" s="48" t="str">
        <f>IF(ISERROR(IF(ISERROR(MATCH($A30,Reference_Dropdown1!$B$27:$B$39,0)),G30+$H30,G30)),"",IF(ISERROR(MATCH($A30,Reference_Dropdown1!$B$27:$B$39,0)),G30+$H30,"N/A"))</f>
        <v/>
      </c>
      <c r="J30" s="213"/>
      <c r="K30" s="80" t="str">
        <f t="shared" si="8"/>
        <v/>
      </c>
      <c r="L30" s="213"/>
      <c r="M30" s="80" t="str">
        <f t="shared" si="9"/>
        <v/>
      </c>
      <c r="N30" s="209"/>
      <c r="O30" s="320" t="str">
        <f t="shared" si="10"/>
        <v/>
      </c>
      <c r="P30" s="322">
        <f t="shared" si="0"/>
        <v>0</v>
      </c>
      <c r="Q30" s="80" t="str">
        <f t="shared" si="16"/>
        <v/>
      </c>
      <c r="R30" s="214"/>
      <c r="S30" s="129" t="str">
        <f>IFERROR(INDEX('Prix et modèle des ECF''	'!$A$3:$O$300,MATCH('Options_modèle spécifié d''ECF'!$R30,'Prix et modèle des ECF''	'!$E$3:$E$300,0),MATCH('Options_modèle spécifié d''ECF'!S$4,'Prix et modèle des ECF''	'!$A$3:$O$3,0)),"")</f>
        <v/>
      </c>
      <c r="T30" s="130" t="str">
        <f>IFERROR(INDEX('Prix et modèle des ECF''	'!$A$3:$O$300,MATCH('Options_modèle spécifié d''ECF'!$R30,'Prix et modèle des ECF''	'!$E$3:$E$300,0),MATCH('Options_modèle spécifié d''ECF'!T$4,'Prix et modèle des ECF''	'!$A$3:$O$3,0)),"")</f>
        <v/>
      </c>
      <c r="U30" s="316" t="str">
        <f>IF(ISERROR(IF(ISERROR(MATCH($A30,Reference_Dropdown1!$B$27:$B$39,0)),T30+$H30,T30)),"",IF(ISERROR(MATCH($A30,Reference_Dropdown1!$B$27:$B$39,0)),T30+$H30,"N/A"))</f>
        <v/>
      </c>
      <c r="V30" s="311" t="str">
        <f t="shared" si="2"/>
        <v>_15</v>
      </c>
      <c r="W30" s="214"/>
      <c r="X30" s="128" t="str">
        <f t="shared" si="15"/>
        <v/>
      </c>
      <c r="Y30" s="214"/>
      <c r="Z30" s="128" t="str">
        <f t="shared" si="11"/>
        <v/>
      </c>
      <c r="AA30" s="214"/>
      <c r="AB30" s="128" t="str">
        <f t="shared" si="12"/>
        <v/>
      </c>
      <c r="AC30" s="308">
        <f t="shared" si="3"/>
        <v>0</v>
      </c>
      <c r="AD30" s="128" t="str">
        <f t="shared" si="13"/>
        <v/>
      </c>
      <c r="AE30" s="212"/>
      <c r="AF30" s="269" t="str">
        <f>IFERROR(INDEX('Prix et modèle des ECF''	'!$A$3:$O$300,MATCH('Options_modèle spécifié d''ECF'!$AE30,'Prix et modèle des ECF''	'!$E$3:$E$300,0),MATCH('Options_modèle spécifié d''ECF'!AF$4,'Prix et modèle des ECF''	'!$A$3:$O$3,0)),"")</f>
        <v/>
      </c>
      <c r="AG30" s="131" t="str">
        <f>IFERROR(INDEX('Prix et modèle des ECF''	'!$A$3:$O$300,MATCH('Options_modèle spécifié d''ECF'!$AE30,'Prix et modèle des ECF''	'!$E$3:$E$300,0),MATCH('Options_modèle spécifié d''ECF'!AG$4,'Prix et modèle des ECF''	'!$A$3:$O$3,0)),"")</f>
        <v/>
      </c>
      <c r="AH30" s="302" t="str">
        <f>IF(ISERROR(IF(ISERROR(MATCH($A30,Reference_Dropdown1!$B$27:$B$39,0)),AG30+$H30,AG30)),"",IF(ISERROR(MATCH($A30,Reference_Dropdown1!$B$27:$B$39,0)),AG30+$H30,"N/A"))</f>
        <v/>
      </c>
      <c r="AI30" s="214"/>
      <c r="AJ30" s="128" t="str">
        <f t="shared" si="4"/>
        <v/>
      </c>
      <c r="AK30" s="214"/>
      <c r="AL30" s="128" t="str">
        <f t="shared" si="5"/>
        <v/>
      </c>
      <c r="AM30" s="214"/>
      <c r="AN30" s="128" t="str">
        <f t="shared" si="6"/>
        <v/>
      </c>
      <c r="AO30" s="114">
        <f t="shared" si="7"/>
        <v>0</v>
      </c>
      <c r="AP30" s="128" t="str">
        <f t="shared" si="14"/>
        <v/>
      </c>
    </row>
    <row r="31" spans="1:42" s="7" customFormat="1" ht="27" customHeight="1" x14ac:dyDescent="0.35">
      <c r="A31" s="249" t="s">
        <v>459</v>
      </c>
      <c r="B31" s="78"/>
      <c r="C31" s="27"/>
      <c r="D31" s="129" t="str">
        <f>IFERROR(INDEX('Prix et modèle des ECF''	'!$A$3:$O$300,MATCH('Options_modèle spécifié d''ECF'!$C31,'Prix et modèle des ECF''	'!$E$3:$E$300,0),MATCH('Options_modèle spécifié d''ECF'!D$4,'Prix et modèle des ECF''	'!$A$3:$O$3,0)),"")</f>
        <v/>
      </c>
      <c r="E31" s="130" t="str">
        <f>IFERROR(INDEX('Prix et modèle des ECF''	'!$A$3:$O$300,MATCH('Options_modèle spécifié d''ECF'!$C31,'Prix et modèle des ECF''	'!$E$3:$E$300,0),MATCH('Options_modèle spécifié d''ECF'!E$4,'Prix et modèle des ECF''	'!$A$3:$O$3,0)),"")</f>
        <v/>
      </c>
      <c r="F31" s="130" t="str">
        <f>IFERROR(INDEX('Prix et modèle des ECF''	'!$A$3:$O$300,MATCH('Options_modèle spécifié d''ECF'!$C31,'Prix et modèle des ECF''	'!$E$3:$E$300,0),MATCH('Options_modèle spécifié d''ECF'!F$4,'Prix et modèle des ECF''	'!$A$3:$O$3,0)),"")</f>
        <v/>
      </c>
      <c r="G31" s="131" t="str">
        <f>IFERROR(INDEX('Prix et modèle des ECF''	'!$A$3:$O$300,MATCH('Options_modèle spécifié d''ECF'!$C31,'Prix et modèle des ECF''	'!$E$3:$E$300,0),MATCH('Options_modèle spécifié d''ECF'!G$4,'Prix et modèle des ECF''	'!$A$3:$O$3,0)),"")</f>
        <v/>
      </c>
      <c r="H31" s="36"/>
      <c r="I31" s="48" t="str">
        <f>IF(ISERROR(IF(ISERROR(MATCH($A31,Reference_Dropdown1!$B$27:$B$39,0)),G31+$H31,G31)),"",IF(ISERROR(MATCH($A31,Reference_Dropdown1!$B$27:$B$39,0)),G31+$H31,"N/A"))</f>
        <v/>
      </c>
      <c r="J31" s="213"/>
      <c r="K31" s="80" t="str">
        <f t="shared" si="8"/>
        <v/>
      </c>
      <c r="L31" s="213"/>
      <c r="M31" s="80" t="str">
        <f t="shared" si="9"/>
        <v/>
      </c>
      <c r="N31" s="209"/>
      <c r="O31" s="320" t="str">
        <f t="shared" si="10"/>
        <v/>
      </c>
      <c r="P31" s="322">
        <f t="shared" si="0"/>
        <v>0</v>
      </c>
      <c r="Q31" s="80" t="str">
        <f t="shared" si="16"/>
        <v/>
      </c>
      <c r="R31" s="214"/>
      <c r="S31" s="129" t="str">
        <f>IFERROR(INDEX('Prix et modèle des ECF''	'!$A$3:$O$300,MATCH('Options_modèle spécifié d''ECF'!$R31,'Prix et modèle des ECF''	'!$E$3:$E$300,0),MATCH('Options_modèle spécifié d''ECF'!S$4,'Prix et modèle des ECF''	'!$A$3:$O$3,0)),"")</f>
        <v/>
      </c>
      <c r="T31" s="130" t="str">
        <f>IFERROR(INDEX('Prix et modèle des ECF''	'!$A$3:$O$300,MATCH('Options_modèle spécifié d''ECF'!$R31,'Prix et modèle des ECF''	'!$E$3:$E$300,0),MATCH('Options_modèle spécifié d''ECF'!T$4,'Prix et modèle des ECF''	'!$A$3:$O$3,0)),"")</f>
        <v/>
      </c>
      <c r="U31" s="316" t="str">
        <f>IF(ISERROR(IF(ISERROR(MATCH($A31,Reference_Dropdown1!$B$27:$B$39,0)),T31+$H31,T31)),"",IF(ISERROR(MATCH($A31,Reference_Dropdown1!$B$27:$B$39,0)),T31+$H31,"N/A"))</f>
        <v/>
      </c>
      <c r="V31" s="311" t="str">
        <f t="shared" si="2"/>
        <v>_16</v>
      </c>
      <c r="W31" s="214"/>
      <c r="X31" s="128" t="str">
        <f t="shared" si="15"/>
        <v/>
      </c>
      <c r="Y31" s="214"/>
      <c r="Z31" s="128" t="str">
        <f t="shared" si="11"/>
        <v/>
      </c>
      <c r="AA31" s="214"/>
      <c r="AB31" s="128" t="str">
        <f t="shared" si="12"/>
        <v/>
      </c>
      <c r="AC31" s="308">
        <f t="shared" si="3"/>
        <v>0</v>
      </c>
      <c r="AD31" s="128" t="str">
        <f t="shared" si="13"/>
        <v/>
      </c>
      <c r="AE31" s="212"/>
      <c r="AF31" s="269" t="str">
        <f>IFERROR(INDEX('Prix et modèle des ECF''	'!$A$3:$O$300,MATCH('Options_modèle spécifié d''ECF'!$AE31,'Prix et modèle des ECF''	'!$E$3:$E$300,0),MATCH('Options_modèle spécifié d''ECF'!AF$4,'Prix et modèle des ECF''	'!$A$3:$O$3,0)),"")</f>
        <v/>
      </c>
      <c r="AG31" s="131" t="str">
        <f>IFERROR(INDEX('Prix et modèle des ECF''	'!$A$3:$O$300,MATCH('Options_modèle spécifié d''ECF'!$AE31,'Prix et modèle des ECF''	'!$E$3:$E$300,0),MATCH('Options_modèle spécifié d''ECF'!AG$4,'Prix et modèle des ECF''	'!$A$3:$O$3,0)),"")</f>
        <v/>
      </c>
      <c r="AH31" s="302" t="str">
        <f>IF(ISERROR(IF(ISERROR(MATCH($A31,Reference_Dropdown1!$B$27:$B$39,0)),AG31+$H31,AG31)),"",IF(ISERROR(MATCH($A31,Reference_Dropdown1!$B$27:$B$39,0)),AG31+$H31,"N/A"))</f>
        <v/>
      </c>
      <c r="AI31" s="214"/>
      <c r="AJ31" s="128" t="str">
        <f t="shared" si="4"/>
        <v/>
      </c>
      <c r="AK31" s="214"/>
      <c r="AL31" s="128" t="str">
        <f t="shared" si="5"/>
        <v/>
      </c>
      <c r="AM31" s="214"/>
      <c r="AN31" s="128" t="str">
        <f t="shared" si="6"/>
        <v/>
      </c>
      <c r="AO31" s="114">
        <f t="shared" si="7"/>
        <v>0</v>
      </c>
      <c r="AP31" s="128" t="str">
        <f t="shared" si="14"/>
        <v/>
      </c>
    </row>
    <row r="32" spans="1:42" s="7" customFormat="1" ht="27" customHeight="1" x14ac:dyDescent="0.35">
      <c r="A32" s="250" t="s">
        <v>460</v>
      </c>
      <c r="B32" s="78"/>
      <c r="C32" s="27"/>
      <c r="D32" s="129" t="str">
        <f>IFERROR(INDEX('Prix et modèle des ECF''	'!$A$3:$O$300,MATCH('Options_modèle spécifié d''ECF'!$C32,'Prix et modèle des ECF''	'!$E$3:$E$300,0),MATCH('Options_modèle spécifié d''ECF'!D$4,'Prix et modèle des ECF''	'!$A$3:$O$3,0)),"")</f>
        <v/>
      </c>
      <c r="E32" s="130" t="str">
        <f>IFERROR(INDEX('Prix et modèle des ECF''	'!$A$3:$O$300,MATCH('Options_modèle spécifié d''ECF'!$C32,'Prix et modèle des ECF''	'!$E$3:$E$300,0),MATCH('Options_modèle spécifié d''ECF'!E$4,'Prix et modèle des ECF''	'!$A$3:$O$3,0)),"")</f>
        <v/>
      </c>
      <c r="F32" s="130" t="str">
        <f>IFERROR(INDEX('Prix et modèle des ECF''	'!$A$3:$O$300,MATCH('Options_modèle spécifié d''ECF'!$C32,'Prix et modèle des ECF''	'!$E$3:$E$300,0),MATCH('Options_modèle spécifié d''ECF'!F$4,'Prix et modèle des ECF''	'!$A$3:$O$3,0)),"")</f>
        <v/>
      </c>
      <c r="G32" s="131" t="str">
        <f>IFERROR(INDEX('Prix et modèle des ECF''	'!$A$3:$O$300,MATCH('Options_modèle spécifié d''ECF'!$C32,'Prix et modèle des ECF''	'!$E$3:$E$300,0),MATCH('Options_modèle spécifié d''ECF'!G$4,'Prix et modèle des ECF''	'!$A$3:$O$3,0)),"")</f>
        <v/>
      </c>
      <c r="H32" s="36"/>
      <c r="I32" s="48" t="str">
        <f>IF(ISERROR(IF(ISERROR(MATCH($A32,Reference_Dropdown1!$B$27:$B$39,0)),G32+$H32,G32)),"",IF(ISERROR(MATCH($A32,Reference_Dropdown1!$B$27:$B$39,0)),G32+$H32,"N/A"))</f>
        <v/>
      </c>
      <c r="J32" s="213"/>
      <c r="K32" s="80" t="str">
        <f t="shared" si="8"/>
        <v/>
      </c>
      <c r="L32" s="213"/>
      <c r="M32" s="80" t="str">
        <f t="shared" si="9"/>
        <v/>
      </c>
      <c r="N32" s="209"/>
      <c r="O32" s="320" t="str">
        <f t="shared" si="10"/>
        <v/>
      </c>
      <c r="P32" s="322">
        <f t="shared" si="0"/>
        <v>0</v>
      </c>
      <c r="Q32" s="80" t="str">
        <f t="shared" si="16"/>
        <v/>
      </c>
      <c r="R32" s="214"/>
      <c r="S32" s="129" t="str">
        <f>IFERROR(INDEX('Prix et modèle des ECF''	'!$A$3:$O$300,MATCH('Options_modèle spécifié d''ECF'!$R32,'Prix et modèle des ECF''	'!$E$3:$E$300,0),MATCH('Options_modèle spécifié d''ECF'!S$4,'Prix et modèle des ECF''	'!$A$3:$O$3,0)),"")</f>
        <v/>
      </c>
      <c r="T32" s="130" t="str">
        <f>IFERROR(INDEX('Prix et modèle des ECF''	'!$A$3:$O$300,MATCH('Options_modèle spécifié d''ECF'!$R32,'Prix et modèle des ECF''	'!$E$3:$E$300,0),MATCH('Options_modèle spécifié d''ECF'!T$4,'Prix et modèle des ECF''	'!$A$3:$O$3,0)),"")</f>
        <v/>
      </c>
      <c r="U32" s="316" t="str">
        <f>IF(ISERROR(IF(ISERROR(MATCH($A32,Reference_Dropdown1!$B$27:$B$39,0)),T32+$H32,T32)),"",IF(ISERROR(MATCH($A32,Reference_Dropdown1!$B$27:$B$39,0)),T32+$H32,"N/A"))</f>
        <v/>
      </c>
      <c r="V32" s="311" t="str">
        <f t="shared" si="2"/>
        <v>_17</v>
      </c>
      <c r="W32" s="214"/>
      <c r="X32" s="128" t="str">
        <f t="shared" si="15"/>
        <v/>
      </c>
      <c r="Y32" s="214"/>
      <c r="Z32" s="128" t="str">
        <f t="shared" si="11"/>
        <v/>
      </c>
      <c r="AA32" s="214"/>
      <c r="AB32" s="128" t="str">
        <f t="shared" si="12"/>
        <v/>
      </c>
      <c r="AC32" s="308">
        <f t="shared" si="3"/>
        <v>0</v>
      </c>
      <c r="AD32" s="128" t="str">
        <f t="shared" si="13"/>
        <v/>
      </c>
      <c r="AE32" s="212"/>
      <c r="AF32" s="269" t="str">
        <f>IFERROR(INDEX('Prix et modèle des ECF''	'!$A$3:$O$300,MATCH('Options_modèle spécifié d''ECF'!$AE32,'Prix et modèle des ECF''	'!$E$3:$E$300,0),MATCH('Options_modèle spécifié d''ECF'!AF$4,'Prix et modèle des ECF''	'!$A$3:$O$3,0)),"")</f>
        <v/>
      </c>
      <c r="AG32" s="131" t="str">
        <f>IFERROR(INDEX('Prix et modèle des ECF''	'!$A$3:$O$300,MATCH('Options_modèle spécifié d''ECF'!$AE32,'Prix et modèle des ECF''	'!$E$3:$E$300,0),MATCH('Options_modèle spécifié d''ECF'!AG$4,'Prix et modèle des ECF''	'!$A$3:$O$3,0)),"")</f>
        <v/>
      </c>
      <c r="AH32" s="302" t="str">
        <f>IF(ISERROR(IF(ISERROR(MATCH($A32,Reference_Dropdown1!$B$27:$B$39,0)),AG32+$H32,AG32)),"",IF(ISERROR(MATCH($A32,Reference_Dropdown1!$B$27:$B$39,0)),AG32+$H32,"N/A"))</f>
        <v/>
      </c>
      <c r="AI32" s="214"/>
      <c r="AJ32" s="128" t="str">
        <f t="shared" si="4"/>
        <v/>
      </c>
      <c r="AK32" s="214"/>
      <c r="AL32" s="128" t="str">
        <f t="shared" si="5"/>
        <v/>
      </c>
      <c r="AM32" s="214"/>
      <c r="AN32" s="128" t="str">
        <f t="shared" si="6"/>
        <v/>
      </c>
      <c r="AO32" s="114">
        <f t="shared" si="7"/>
        <v>0</v>
      </c>
      <c r="AP32" s="128" t="str">
        <f t="shared" si="14"/>
        <v/>
      </c>
    </row>
    <row r="33" spans="1:42" s="7" customFormat="1" ht="27" customHeight="1" x14ac:dyDescent="0.35">
      <c r="A33" s="251" t="s">
        <v>461</v>
      </c>
      <c r="B33" s="78"/>
      <c r="C33" s="27"/>
      <c r="D33" s="129" t="str">
        <f>IFERROR(INDEX('Prix et modèle des ECF''	'!$A$3:$O$300,MATCH('Options_modèle spécifié d''ECF'!$C33,'Prix et modèle des ECF''	'!$E$3:$E$300,0),MATCH('Options_modèle spécifié d''ECF'!D$4,'Prix et modèle des ECF''	'!$A$3:$O$3,0)),"")</f>
        <v/>
      </c>
      <c r="E33" s="130" t="str">
        <f>IFERROR(INDEX('Prix et modèle des ECF''	'!$A$3:$O$300,MATCH('Options_modèle spécifié d''ECF'!$C33,'Prix et modèle des ECF''	'!$E$3:$E$300,0),MATCH('Options_modèle spécifié d''ECF'!E$4,'Prix et modèle des ECF''	'!$A$3:$O$3,0)),"")</f>
        <v/>
      </c>
      <c r="F33" s="130" t="str">
        <f>IFERROR(INDEX('Prix et modèle des ECF''	'!$A$3:$O$300,MATCH('Options_modèle spécifié d''ECF'!$C33,'Prix et modèle des ECF''	'!$E$3:$E$300,0),MATCH('Options_modèle spécifié d''ECF'!F$4,'Prix et modèle des ECF''	'!$A$3:$O$3,0)),"")</f>
        <v/>
      </c>
      <c r="G33" s="131" t="str">
        <f>IFERROR(INDEX('Prix et modèle des ECF''	'!$A$3:$O$300,MATCH('Options_modèle spécifié d''ECF'!$C33,'Prix et modèle des ECF''	'!$E$3:$E$300,0),MATCH('Options_modèle spécifié d''ECF'!G$4,'Prix et modèle des ECF''	'!$A$3:$O$3,0)),"")</f>
        <v/>
      </c>
      <c r="H33" s="36"/>
      <c r="I33" s="48" t="str">
        <f>IF(ISERROR(IF(ISERROR(MATCH($A33,Reference_Dropdown1!$B$27:$B$39,0)),G33+$H33,G33)),"",IF(ISERROR(MATCH($A33,Reference_Dropdown1!$B$27:$B$39,0)),G33+$H33,"N/A"))</f>
        <v/>
      </c>
      <c r="J33" s="213"/>
      <c r="K33" s="80" t="str">
        <f t="shared" si="8"/>
        <v/>
      </c>
      <c r="L33" s="213"/>
      <c r="M33" s="80" t="str">
        <f t="shared" si="9"/>
        <v/>
      </c>
      <c r="N33" s="209"/>
      <c r="O33" s="320" t="str">
        <f t="shared" si="10"/>
        <v/>
      </c>
      <c r="P33" s="322">
        <f t="shared" si="0"/>
        <v>0</v>
      </c>
      <c r="Q33" s="80" t="str">
        <f t="shared" si="16"/>
        <v/>
      </c>
      <c r="R33" s="214"/>
      <c r="S33" s="129" t="str">
        <f>IFERROR(INDEX('Prix et modèle des ECF''	'!$A$3:$O$300,MATCH('Options_modèle spécifié d''ECF'!$R33,'Prix et modèle des ECF''	'!$E$3:$E$300,0),MATCH('Options_modèle spécifié d''ECF'!S$4,'Prix et modèle des ECF''	'!$A$3:$O$3,0)),"")</f>
        <v/>
      </c>
      <c r="T33" s="130" t="str">
        <f>IFERROR(INDEX('Prix et modèle des ECF''	'!$A$3:$O$300,MATCH('Options_modèle spécifié d''ECF'!$R33,'Prix et modèle des ECF''	'!$E$3:$E$300,0),MATCH('Options_modèle spécifié d''ECF'!T$4,'Prix et modèle des ECF''	'!$A$3:$O$3,0)),"")</f>
        <v/>
      </c>
      <c r="U33" s="316" t="str">
        <f>IF(ISERROR(IF(ISERROR(MATCH($A33,Reference_Dropdown1!$B$27:$B$39,0)),T33+$H33,T33)),"",IF(ISERROR(MATCH($A33,Reference_Dropdown1!$B$27:$B$39,0)),T33+$H33,"N/A"))</f>
        <v/>
      </c>
      <c r="V33" s="311" t="str">
        <f t="shared" si="2"/>
        <v>_18</v>
      </c>
      <c r="W33" s="214"/>
      <c r="X33" s="128" t="str">
        <f t="shared" si="15"/>
        <v/>
      </c>
      <c r="Y33" s="214"/>
      <c r="Z33" s="128" t="str">
        <f t="shared" si="11"/>
        <v/>
      </c>
      <c r="AA33" s="214"/>
      <c r="AB33" s="128" t="str">
        <f t="shared" si="12"/>
        <v/>
      </c>
      <c r="AC33" s="308">
        <f t="shared" si="3"/>
        <v>0</v>
      </c>
      <c r="AD33" s="128" t="str">
        <f t="shared" si="13"/>
        <v/>
      </c>
      <c r="AE33" s="212"/>
      <c r="AF33" s="269" t="str">
        <f>IFERROR(INDEX('Prix et modèle des ECF''	'!$A$3:$O$300,MATCH('Options_modèle spécifié d''ECF'!$AE33,'Prix et modèle des ECF''	'!$E$3:$E$300,0),MATCH('Options_modèle spécifié d''ECF'!AF$4,'Prix et modèle des ECF''	'!$A$3:$O$3,0)),"")</f>
        <v/>
      </c>
      <c r="AG33" s="131" t="str">
        <f>IFERROR(INDEX('Prix et modèle des ECF''	'!$A$3:$O$300,MATCH('Options_modèle spécifié d''ECF'!$AE33,'Prix et modèle des ECF''	'!$E$3:$E$300,0),MATCH('Options_modèle spécifié d''ECF'!AG$4,'Prix et modèle des ECF''	'!$A$3:$O$3,0)),"")</f>
        <v/>
      </c>
      <c r="AH33" s="302" t="str">
        <f>IF(ISERROR(IF(ISERROR(MATCH($A33,Reference_Dropdown1!$B$27:$B$39,0)),AG33+$H33,AG33)),"",IF(ISERROR(MATCH($A33,Reference_Dropdown1!$B$27:$B$39,0)),AG33+$H33,"N/A"))</f>
        <v/>
      </c>
      <c r="AI33" s="214"/>
      <c r="AJ33" s="128" t="str">
        <f t="shared" si="4"/>
        <v/>
      </c>
      <c r="AK33" s="214"/>
      <c r="AL33" s="128" t="str">
        <f t="shared" si="5"/>
        <v/>
      </c>
      <c r="AM33" s="214"/>
      <c r="AN33" s="128" t="str">
        <f t="shared" si="6"/>
        <v/>
      </c>
      <c r="AO33" s="114">
        <f t="shared" si="7"/>
        <v>0</v>
      </c>
      <c r="AP33" s="128" t="str">
        <f t="shared" si="14"/>
        <v/>
      </c>
    </row>
    <row r="34" spans="1:42" s="7" customFormat="1" ht="27" customHeight="1" x14ac:dyDescent="0.35">
      <c r="A34" s="252" t="s">
        <v>462</v>
      </c>
      <c r="B34" s="78"/>
      <c r="C34" s="27"/>
      <c r="D34" s="129" t="str">
        <f>IFERROR(INDEX('Prix et modèle des ECF''	'!$A$3:$O$300,MATCH('Options_modèle spécifié d''ECF'!$C34,'Prix et modèle des ECF''	'!$E$3:$E$300,0),MATCH('Options_modèle spécifié d''ECF'!D$4,'Prix et modèle des ECF''	'!$A$3:$O$3,0)),"")</f>
        <v/>
      </c>
      <c r="E34" s="130" t="str">
        <f>IFERROR(INDEX('Prix et modèle des ECF''	'!$A$3:$O$300,MATCH('Options_modèle spécifié d''ECF'!$C34,'Prix et modèle des ECF''	'!$E$3:$E$300,0),MATCH('Options_modèle spécifié d''ECF'!E$4,'Prix et modèle des ECF''	'!$A$3:$O$3,0)),"")</f>
        <v/>
      </c>
      <c r="F34" s="130" t="str">
        <f>IFERROR(INDEX('Prix et modèle des ECF''	'!$A$3:$O$300,MATCH('Options_modèle spécifié d''ECF'!$C34,'Prix et modèle des ECF''	'!$E$3:$E$300,0),MATCH('Options_modèle spécifié d''ECF'!F$4,'Prix et modèle des ECF''	'!$A$3:$O$3,0)),"")</f>
        <v/>
      </c>
      <c r="G34" s="131" t="str">
        <f>IFERROR(INDEX('Prix et modèle des ECF''	'!$A$3:$O$300,MATCH('Options_modèle spécifié d''ECF'!$C34,'Prix et modèle des ECF''	'!$E$3:$E$300,0),MATCH('Options_modèle spécifié d''ECF'!G$4,'Prix et modèle des ECF''	'!$A$3:$O$3,0)),"")</f>
        <v/>
      </c>
      <c r="H34" s="36"/>
      <c r="I34" s="48" t="str">
        <f>IF(ISERROR(IF(ISERROR(MATCH($A34,Reference_Dropdown1!$B$27:$B$39,0)),G34+$H34,G34)),"",IF(ISERROR(MATCH($A34,Reference_Dropdown1!$B$27:$B$39,0)),G34+$H34,"N/A"))</f>
        <v/>
      </c>
      <c r="J34" s="213"/>
      <c r="K34" s="80" t="str">
        <f t="shared" si="8"/>
        <v/>
      </c>
      <c r="L34" s="213"/>
      <c r="M34" s="80" t="str">
        <f t="shared" si="9"/>
        <v/>
      </c>
      <c r="N34" s="209"/>
      <c r="O34" s="320" t="str">
        <f t="shared" si="10"/>
        <v/>
      </c>
      <c r="P34" s="322">
        <f t="shared" si="0"/>
        <v>0</v>
      </c>
      <c r="Q34" s="80" t="str">
        <f t="shared" si="16"/>
        <v/>
      </c>
      <c r="R34" s="214"/>
      <c r="S34" s="129" t="str">
        <f>IFERROR(INDEX('Prix et modèle des ECF''	'!$A$3:$O$300,MATCH('Options_modèle spécifié d''ECF'!$R34,'Prix et modèle des ECF''	'!$E$3:$E$300,0),MATCH('Options_modèle spécifié d''ECF'!S$4,'Prix et modèle des ECF''	'!$A$3:$O$3,0)),"")</f>
        <v/>
      </c>
      <c r="T34" s="130" t="str">
        <f>IFERROR(INDEX('Prix et modèle des ECF''	'!$A$3:$O$300,MATCH('Options_modèle spécifié d''ECF'!$R34,'Prix et modèle des ECF''	'!$E$3:$E$300,0),MATCH('Options_modèle spécifié d''ECF'!T$4,'Prix et modèle des ECF''	'!$A$3:$O$3,0)),"")</f>
        <v/>
      </c>
      <c r="U34" s="316" t="str">
        <f>IF(ISERROR(IF(ISERROR(MATCH($A34,Reference_Dropdown1!$B$27:$B$39,0)),T34+$H34,T34)),"",IF(ISERROR(MATCH($A34,Reference_Dropdown1!$B$27:$B$39,0)),T34+$H34,"N/A"))</f>
        <v/>
      </c>
      <c r="V34" s="311" t="str">
        <f t="shared" si="2"/>
        <v>_19</v>
      </c>
      <c r="W34" s="214"/>
      <c r="X34" s="128" t="str">
        <f t="shared" si="15"/>
        <v/>
      </c>
      <c r="Y34" s="214"/>
      <c r="Z34" s="128" t="str">
        <f t="shared" si="11"/>
        <v/>
      </c>
      <c r="AA34" s="214"/>
      <c r="AB34" s="128" t="str">
        <f t="shared" si="12"/>
        <v/>
      </c>
      <c r="AC34" s="308">
        <f t="shared" si="3"/>
        <v>0</v>
      </c>
      <c r="AD34" s="128" t="str">
        <f t="shared" si="13"/>
        <v/>
      </c>
      <c r="AE34" s="212"/>
      <c r="AF34" s="269" t="str">
        <f>IFERROR(INDEX('Prix et modèle des ECF''	'!$A$3:$O$300,MATCH('Options_modèle spécifié d''ECF'!$AE34,'Prix et modèle des ECF''	'!$E$3:$E$300,0),MATCH('Options_modèle spécifié d''ECF'!AF$4,'Prix et modèle des ECF''	'!$A$3:$O$3,0)),"")</f>
        <v/>
      </c>
      <c r="AG34" s="131" t="str">
        <f>IFERROR(INDEX('Prix et modèle des ECF''	'!$A$3:$O$300,MATCH('Options_modèle spécifié d''ECF'!$AE34,'Prix et modèle des ECF''	'!$E$3:$E$300,0),MATCH('Options_modèle spécifié d''ECF'!AG$4,'Prix et modèle des ECF''	'!$A$3:$O$3,0)),"")</f>
        <v/>
      </c>
      <c r="AH34" s="302" t="str">
        <f>IF(ISERROR(IF(ISERROR(MATCH($A34,Reference_Dropdown1!$B$27:$B$39,0)),AG34+$H34,AG34)),"",IF(ISERROR(MATCH($A34,Reference_Dropdown1!$B$27:$B$39,0)),AG34+$H34,"N/A"))</f>
        <v/>
      </c>
      <c r="AI34" s="214"/>
      <c r="AJ34" s="128" t="str">
        <f t="shared" si="4"/>
        <v/>
      </c>
      <c r="AK34" s="214"/>
      <c r="AL34" s="128" t="str">
        <f t="shared" si="5"/>
        <v/>
      </c>
      <c r="AM34" s="214"/>
      <c r="AN34" s="128" t="str">
        <f t="shared" si="6"/>
        <v/>
      </c>
      <c r="AO34" s="114">
        <f t="shared" si="7"/>
        <v>0</v>
      </c>
      <c r="AP34" s="128" t="str">
        <f t="shared" si="14"/>
        <v/>
      </c>
    </row>
    <row r="35" spans="1:42" s="7" customFormat="1" ht="27" customHeight="1" x14ac:dyDescent="0.35">
      <c r="A35" s="253" t="s">
        <v>463</v>
      </c>
      <c r="B35" s="78"/>
      <c r="C35" s="27"/>
      <c r="D35" s="129" t="str">
        <f>IFERROR(INDEX('Prix et modèle des ECF''	'!$A$3:$O$300,MATCH('Options_modèle spécifié d''ECF'!$C35,'Prix et modèle des ECF''	'!$E$3:$E$300,0),MATCH('Options_modèle spécifié d''ECF'!D$4,'Prix et modèle des ECF''	'!$A$3:$O$3,0)),"")</f>
        <v/>
      </c>
      <c r="E35" s="130" t="str">
        <f>IFERROR(INDEX('Prix et modèle des ECF''	'!$A$3:$O$300,MATCH('Options_modèle spécifié d''ECF'!$C35,'Prix et modèle des ECF''	'!$E$3:$E$300,0),MATCH('Options_modèle spécifié d''ECF'!E$4,'Prix et modèle des ECF''	'!$A$3:$O$3,0)),"")</f>
        <v/>
      </c>
      <c r="F35" s="130" t="str">
        <f>IFERROR(INDEX('Prix et modèle des ECF''	'!$A$3:$O$300,MATCH('Options_modèle spécifié d''ECF'!$C35,'Prix et modèle des ECF''	'!$E$3:$E$300,0),MATCH('Options_modèle spécifié d''ECF'!F$4,'Prix et modèle des ECF''	'!$A$3:$O$3,0)),"")</f>
        <v/>
      </c>
      <c r="G35" s="131" t="str">
        <f>IFERROR(INDEX('Prix et modèle des ECF''	'!$A$3:$O$300,MATCH('Options_modèle spécifié d''ECF'!$C35,'Prix et modèle des ECF''	'!$E$3:$E$300,0),MATCH('Options_modèle spécifié d''ECF'!G$4,'Prix et modèle des ECF''	'!$A$3:$O$3,0)),"")</f>
        <v/>
      </c>
      <c r="H35" s="36"/>
      <c r="I35" s="48" t="str">
        <f>IF(ISERROR(IF(ISERROR(MATCH($A35,Reference_Dropdown1!$B$27:$B$39,0)),G35+$H35,G35)),"",IF(ISERROR(MATCH($A35,Reference_Dropdown1!$B$27:$B$39,0)),G35+$H35,"N/A"))</f>
        <v/>
      </c>
      <c r="J35" s="213"/>
      <c r="K35" s="80" t="str">
        <f t="shared" si="8"/>
        <v/>
      </c>
      <c r="L35" s="213"/>
      <c r="M35" s="80" t="str">
        <f t="shared" si="9"/>
        <v/>
      </c>
      <c r="N35" s="209"/>
      <c r="O35" s="320" t="str">
        <f t="shared" si="10"/>
        <v/>
      </c>
      <c r="P35" s="322">
        <f t="shared" si="0"/>
        <v>0</v>
      </c>
      <c r="Q35" s="80" t="str">
        <f t="shared" si="16"/>
        <v/>
      </c>
      <c r="R35" s="214"/>
      <c r="S35" s="129" t="str">
        <f>IFERROR(INDEX('Prix et modèle des ECF''	'!$A$3:$O$300,MATCH('Options_modèle spécifié d''ECF'!$R35,'Prix et modèle des ECF''	'!$E$3:$E$300,0),MATCH('Options_modèle spécifié d''ECF'!S$4,'Prix et modèle des ECF''	'!$A$3:$O$3,0)),"")</f>
        <v/>
      </c>
      <c r="T35" s="130" t="str">
        <f>IFERROR(INDEX('Prix et modèle des ECF''	'!$A$3:$O$300,MATCH('Options_modèle spécifié d''ECF'!$R35,'Prix et modèle des ECF''	'!$E$3:$E$300,0),MATCH('Options_modèle spécifié d''ECF'!T$4,'Prix et modèle des ECF''	'!$A$3:$O$3,0)),"")</f>
        <v/>
      </c>
      <c r="U35" s="316" t="str">
        <f>IF(ISERROR(IF(ISERROR(MATCH($A35,Reference_Dropdown1!$B$27:$B$39,0)),T35+$H35,T35)),"",IF(ISERROR(MATCH($A35,Reference_Dropdown1!$B$27:$B$39,0)),T35+$H35,"N/A"))</f>
        <v/>
      </c>
      <c r="V35" s="311" t="str">
        <f t="shared" si="2"/>
        <v>_20</v>
      </c>
      <c r="W35" s="214"/>
      <c r="X35" s="128" t="str">
        <f t="shared" si="15"/>
        <v/>
      </c>
      <c r="Y35" s="214"/>
      <c r="Z35" s="128" t="str">
        <f t="shared" si="11"/>
        <v/>
      </c>
      <c r="AA35" s="214"/>
      <c r="AB35" s="128" t="str">
        <f t="shared" si="12"/>
        <v/>
      </c>
      <c r="AC35" s="308">
        <f t="shared" si="3"/>
        <v>0</v>
      </c>
      <c r="AD35" s="128" t="str">
        <f t="shared" si="13"/>
        <v/>
      </c>
      <c r="AE35" s="212"/>
      <c r="AF35" s="269" t="str">
        <f>IFERROR(INDEX('Prix et modèle des ECF''	'!$A$3:$O$300,MATCH('Options_modèle spécifié d''ECF'!$AE35,'Prix et modèle des ECF''	'!$E$3:$E$300,0),MATCH('Options_modèle spécifié d''ECF'!AF$4,'Prix et modèle des ECF''	'!$A$3:$O$3,0)),"")</f>
        <v/>
      </c>
      <c r="AG35" s="131" t="str">
        <f>IFERROR(INDEX('Prix et modèle des ECF''	'!$A$3:$O$300,MATCH('Options_modèle spécifié d''ECF'!$AE35,'Prix et modèle des ECF''	'!$E$3:$E$300,0),MATCH('Options_modèle spécifié d''ECF'!AG$4,'Prix et modèle des ECF''	'!$A$3:$O$3,0)),"")</f>
        <v/>
      </c>
      <c r="AH35" s="302" t="str">
        <f>IF(ISERROR(IF(ISERROR(MATCH($A35,Reference_Dropdown1!$B$27:$B$39,0)),AG35+$H35,AG35)),"",IF(ISERROR(MATCH($A35,Reference_Dropdown1!$B$27:$B$39,0)),AG35+$H35,"N/A"))</f>
        <v/>
      </c>
      <c r="AI35" s="214"/>
      <c r="AJ35" s="128" t="str">
        <f t="shared" si="4"/>
        <v/>
      </c>
      <c r="AK35" s="214"/>
      <c r="AL35" s="128" t="str">
        <f t="shared" si="5"/>
        <v/>
      </c>
      <c r="AM35" s="214"/>
      <c r="AN35" s="128" t="str">
        <f t="shared" si="6"/>
        <v/>
      </c>
      <c r="AO35" s="114">
        <f t="shared" si="7"/>
        <v>0</v>
      </c>
      <c r="AP35" s="128" t="str">
        <f t="shared" si="14"/>
        <v/>
      </c>
    </row>
    <row r="36" spans="1:42" s="7" customFormat="1" ht="27" customHeight="1" x14ac:dyDescent="0.35">
      <c r="A36" s="35" t="s">
        <v>449</v>
      </c>
      <c r="B36" s="78"/>
      <c r="C36" s="27"/>
      <c r="D36" s="129" t="str">
        <f>IFERROR(INDEX('Prix et modèle des ECF''	'!$A$3:$O$300,MATCH('Options_modèle spécifié d''ECF'!$C36,'Prix et modèle des ECF''	'!$E$3:$E$300,0),MATCH('Options_modèle spécifié d''ECF'!D$4,'Prix et modèle des ECF''	'!$A$3:$O$3,0)),"")</f>
        <v/>
      </c>
      <c r="E36" s="130" t="str">
        <f>IFERROR(INDEX('Prix et modèle des ECF''	'!$A$3:$O$300,MATCH('Options_modèle spécifié d''ECF'!$C36,'Prix et modèle des ECF''	'!$E$3:$E$300,0),MATCH('Options_modèle spécifié d''ECF'!E$4,'Prix et modèle des ECF''	'!$A$3:$O$3,0)),"")</f>
        <v/>
      </c>
      <c r="F36" s="130" t="str">
        <f>IFERROR(INDEX('Prix et modèle des ECF''	'!$A$3:$O$300,MATCH('Options_modèle spécifié d''ECF'!$C36,'Prix et modèle des ECF''	'!$E$3:$E$300,0),MATCH('Options_modèle spécifié d''ECF'!F$4,'Prix et modèle des ECF''	'!$A$3:$O$3,0)),"")</f>
        <v/>
      </c>
      <c r="G36" s="131" t="str">
        <f>IFERROR(INDEX('Prix et modèle des ECF''	'!$A$3:$O$300,MATCH('Options_modèle spécifié d''ECF'!$C36,'Prix et modèle des ECF''	'!$E$3:$E$300,0),MATCH('Options_modèle spécifié d''ECF'!G$4,'Prix et modèle des ECF''	'!$A$3:$O$3,0)),"")</f>
        <v/>
      </c>
      <c r="H36" s="36"/>
      <c r="I36" s="48" t="str">
        <f>IF(ISERROR(IF(ISERROR(MATCH($A36,Reference_Dropdown1!$B$27:$B$39,0)),G36+$H36,G36)),"",IF(ISERROR(MATCH($A36,Reference_Dropdown1!$B$27:$B$39,0)),G36+$H36,"N/A"))</f>
        <v/>
      </c>
      <c r="J36" s="213"/>
      <c r="K36" s="80" t="str">
        <f t="shared" si="8"/>
        <v/>
      </c>
      <c r="L36" s="213"/>
      <c r="M36" s="80" t="str">
        <f t="shared" si="9"/>
        <v/>
      </c>
      <c r="N36" s="209"/>
      <c r="O36" s="320" t="str">
        <f t="shared" si="10"/>
        <v/>
      </c>
      <c r="P36" s="322">
        <f t="shared" si="0"/>
        <v>0</v>
      </c>
      <c r="Q36" s="80" t="str">
        <f t="shared" si="16"/>
        <v/>
      </c>
      <c r="R36" s="214"/>
      <c r="S36" s="129" t="str">
        <f>IFERROR(INDEX('Prix et modèle des ECF''	'!$A$3:$O$300,MATCH('Options_modèle spécifié d''ECF'!$R36,'Prix et modèle des ECF''	'!$E$3:$E$300,0),MATCH('Options_modèle spécifié d''ECF'!S$4,'Prix et modèle des ECF''	'!$A$3:$O$3,0)),"")</f>
        <v/>
      </c>
      <c r="T36" s="130" t="str">
        <f>IFERROR(INDEX('Prix et modèle des ECF''	'!$A$3:$O$300,MATCH('Options_modèle spécifié d''ECF'!$R36,'Prix et modèle des ECF''	'!$E$3:$E$300,0),MATCH('Options_modèle spécifié d''ECF'!T$4,'Prix et modèle des ECF''	'!$A$3:$O$3,0)),"")</f>
        <v/>
      </c>
      <c r="U36" s="316" t="str">
        <f>IF(ISERROR(IF(ISERROR(MATCH($A36,Reference_Dropdown1!$B$27:$B$39,0)),T36+$H36,T36)),"",IF(ISERROR(MATCH($A36,Reference_Dropdown1!$B$27:$B$39,0)),T36+$H36,"N/A"))</f>
        <v/>
      </c>
      <c r="V36" s="311" t="str">
        <f t="shared" si="2"/>
        <v>_21</v>
      </c>
      <c r="W36" s="214"/>
      <c r="X36" s="128" t="str">
        <f t="shared" si="15"/>
        <v/>
      </c>
      <c r="Y36" s="214"/>
      <c r="Z36" s="128" t="str">
        <f t="shared" si="11"/>
        <v/>
      </c>
      <c r="AA36" s="214"/>
      <c r="AB36" s="128" t="str">
        <f t="shared" si="12"/>
        <v/>
      </c>
      <c r="AC36" s="308">
        <f t="shared" si="3"/>
        <v>0</v>
      </c>
      <c r="AD36" s="128" t="str">
        <f t="shared" si="13"/>
        <v/>
      </c>
      <c r="AE36" s="212"/>
      <c r="AF36" s="269" t="str">
        <f>IFERROR(INDEX('Prix et modèle des ECF''	'!$A$3:$O$300,MATCH('Options_modèle spécifié d''ECF'!$AE36,'Prix et modèle des ECF''	'!$E$3:$E$300,0),MATCH('Options_modèle spécifié d''ECF'!AF$4,'Prix et modèle des ECF''	'!$A$3:$O$3,0)),"")</f>
        <v/>
      </c>
      <c r="AG36" s="131" t="str">
        <f>IFERROR(INDEX('Prix et modèle des ECF''	'!$A$3:$O$300,MATCH('Options_modèle spécifié d''ECF'!$AE36,'Prix et modèle des ECF''	'!$E$3:$E$300,0),MATCH('Options_modèle spécifié d''ECF'!AG$4,'Prix et modèle des ECF''	'!$A$3:$O$3,0)),"")</f>
        <v/>
      </c>
      <c r="AH36" s="302" t="str">
        <f>IF(ISERROR(IF(ISERROR(MATCH($A36,Reference_Dropdown1!$B$27:$B$39,0)),AG36+$H36,AG36)),"",IF(ISERROR(MATCH($A36,Reference_Dropdown1!$B$27:$B$39,0)),AG36+$H36,"N/A"))</f>
        <v/>
      </c>
      <c r="AI36" s="214"/>
      <c r="AJ36" s="128" t="str">
        <f t="shared" si="4"/>
        <v/>
      </c>
      <c r="AK36" s="214"/>
      <c r="AL36" s="128" t="str">
        <f t="shared" si="5"/>
        <v/>
      </c>
      <c r="AM36" s="214"/>
      <c r="AN36" s="128" t="str">
        <f t="shared" si="6"/>
        <v/>
      </c>
      <c r="AO36" s="114">
        <f t="shared" si="7"/>
        <v>0</v>
      </c>
      <c r="AP36" s="128" t="str">
        <f t="shared" si="14"/>
        <v/>
      </c>
    </row>
    <row r="37" spans="1:42" s="7" customFormat="1" ht="27" customHeight="1" x14ac:dyDescent="0.35">
      <c r="A37" s="254" t="s">
        <v>450</v>
      </c>
      <c r="B37" s="78"/>
      <c r="C37" s="27"/>
      <c r="D37" s="129" t="str">
        <f>IFERROR(INDEX('Prix et modèle des ECF''	'!$A$3:$O$300,MATCH('Options_modèle spécifié d''ECF'!$C37,'Prix et modèle des ECF''	'!$E$3:$E$300,0),MATCH('Options_modèle spécifié d''ECF'!D$4,'Prix et modèle des ECF''	'!$A$3:$O$3,0)),"")</f>
        <v/>
      </c>
      <c r="E37" s="130" t="str">
        <f>IFERROR(INDEX('Prix et modèle des ECF''	'!$A$3:$O$300,MATCH('Options_modèle spécifié d''ECF'!$C37,'Prix et modèle des ECF''	'!$E$3:$E$300,0),MATCH('Options_modèle spécifié d''ECF'!E$4,'Prix et modèle des ECF''	'!$A$3:$O$3,0)),"")</f>
        <v/>
      </c>
      <c r="F37" s="130" t="str">
        <f>IFERROR(INDEX('Prix et modèle des ECF''	'!$A$3:$O$300,MATCH('Options_modèle spécifié d''ECF'!$C37,'Prix et modèle des ECF''	'!$E$3:$E$300,0),MATCH('Options_modèle spécifié d''ECF'!F$4,'Prix et modèle des ECF''	'!$A$3:$O$3,0)),"")</f>
        <v/>
      </c>
      <c r="G37" s="131" t="str">
        <f>IFERROR(INDEX('Prix et modèle des ECF''	'!$A$3:$O$300,MATCH('Options_modèle spécifié d''ECF'!$C37,'Prix et modèle des ECF''	'!$E$3:$E$300,0),MATCH('Options_modèle spécifié d''ECF'!G$4,'Prix et modèle des ECF''	'!$A$3:$O$3,0)),"")</f>
        <v/>
      </c>
      <c r="H37" s="36"/>
      <c r="I37" s="48" t="str">
        <f>IF(ISERROR(IF(ISERROR(MATCH($A37,Reference_Dropdown1!$B$27:$B$39,0)),G37+$H37,G37)),"",IF(ISERROR(MATCH($A37,Reference_Dropdown1!$B$27:$B$39,0)),G37+$H37,"N/A"))</f>
        <v/>
      </c>
      <c r="J37" s="213"/>
      <c r="K37" s="80" t="str">
        <f t="shared" si="8"/>
        <v/>
      </c>
      <c r="L37" s="213"/>
      <c r="M37" s="80" t="str">
        <f t="shared" si="9"/>
        <v/>
      </c>
      <c r="N37" s="209"/>
      <c r="O37" s="320" t="str">
        <f t="shared" si="10"/>
        <v/>
      </c>
      <c r="P37" s="322">
        <f t="shared" si="0"/>
        <v>0</v>
      </c>
      <c r="Q37" s="80" t="str">
        <f t="shared" si="16"/>
        <v/>
      </c>
      <c r="R37" s="214"/>
      <c r="S37" s="129" t="str">
        <f>IFERROR(INDEX('Prix et modèle des ECF''	'!$A$3:$O$300,MATCH('Options_modèle spécifié d''ECF'!$R37,'Prix et modèle des ECF''	'!$E$3:$E$300,0),MATCH('Options_modèle spécifié d''ECF'!S$4,'Prix et modèle des ECF''	'!$A$3:$O$3,0)),"")</f>
        <v/>
      </c>
      <c r="T37" s="130" t="str">
        <f>IFERROR(INDEX('Prix et modèle des ECF''	'!$A$3:$O$300,MATCH('Options_modèle spécifié d''ECF'!$R37,'Prix et modèle des ECF''	'!$E$3:$E$300,0),MATCH('Options_modèle spécifié d''ECF'!T$4,'Prix et modèle des ECF''	'!$A$3:$O$3,0)),"")</f>
        <v/>
      </c>
      <c r="U37" s="316" t="str">
        <f>IF(ISERROR(IF(ISERROR(MATCH($A37,Reference_Dropdown1!$B$27:$B$39,0)),T37+$H37,T37)),"",IF(ISERROR(MATCH($A37,Reference_Dropdown1!$B$27:$B$39,0)),T37+$H37,"N/A"))</f>
        <v/>
      </c>
      <c r="V37" s="311" t="str">
        <f t="shared" si="2"/>
        <v>_22</v>
      </c>
      <c r="W37" s="214"/>
      <c r="X37" s="128" t="str">
        <f t="shared" si="15"/>
        <v/>
      </c>
      <c r="Y37" s="214"/>
      <c r="Z37" s="128" t="str">
        <f t="shared" si="11"/>
        <v/>
      </c>
      <c r="AA37" s="214"/>
      <c r="AB37" s="128" t="str">
        <f t="shared" si="12"/>
        <v/>
      </c>
      <c r="AC37" s="308">
        <f t="shared" si="3"/>
        <v>0</v>
      </c>
      <c r="AD37" s="128" t="str">
        <f t="shared" si="13"/>
        <v/>
      </c>
      <c r="AE37" s="212"/>
      <c r="AF37" s="269" t="str">
        <f>IFERROR(INDEX('Prix et modèle des ECF''	'!$A$3:$O$300,MATCH('Options_modèle spécifié d''ECF'!$AE37,'Prix et modèle des ECF''	'!$E$3:$E$300,0),MATCH('Options_modèle spécifié d''ECF'!AF$4,'Prix et modèle des ECF''	'!$A$3:$O$3,0)),"")</f>
        <v/>
      </c>
      <c r="AG37" s="131" t="str">
        <f>IFERROR(INDEX('Prix et modèle des ECF''	'!$A$3:$O$300,MATCH('Options_modèle spécifié d''ECF'!$AE37,'Prix et modèle des ECF''	'!$E$3:$E$300,0),MATCH('Options_modèle spécifié d''ECF'!AG$4,'Prix et modèle des ECF''	'!$A$3:$O$3,0)),"")</f>
        <v/>
      </c>
      <c r="AH37" s="302" t="str">
        <f>IF(ISERROR(IF(ISERROR(MATCH($A37,Reference_Dropdown1!$B$27:$B$39,0)),AG37+$H37,AG37)),"",IF(ISERROR(MATCH($A37,Reference_Dropdown1!$B$27:$B$39,0)),AG37+$H37,"N/A"))</f>
        <v/>
      </c>
      <c r="AI37" s="214"/>
      <c r="AJ37" s="128" t="str">
        <f t="shared" si="4"/>
        <v/>
      </c>
      <c r="AK37" s="214"/>
      <c r="AL37" s="128" t="str">
        <f t="shared" si="5"/>
        <v/>
      </c>
      <c r="AM37" s="214"/>
      <c r="AN37" s="128" t="str">
        <f t="shared" si="6"/>
        <v/>
      </c>
      <c r="AO37" s="114">
        <f t="shared" si="7"/>
        <v>0</v>
      </c>
      <c r="AP37" s="128" t="str">
        <f t="shared" si="14"/>
        <v/>
      </c>
    </row>
    <row r="38" spans="1:42" s="7" customFormat="1" ht="27" customHeight="1" thickBot="1" x14ac:dyDescent="0.4">
      <c r="A38" s="255" t="s">
        <v>540</v>
      </c>
      <c r="B38" s="83" t="s">
        <v>242</v>
      </c>
      <c r="C38" s="27" t="s">
        <v>534</v>
      </c>
      <c r="D38" s="129" t="str">
        <f>IFERROR(INDEX('Prix et modèle des ECF''	'!$A$3:$O$300,MATCH('Options_modèle spécifié d''ECF'!$C38,'Prix et modèle des ECF''	'!$E$3:$E$300,0),MATCH('Options_modèle spécifié d''ECF'!D$4,'Prix et modèle des ECF''	'!$A$3:$O$3,0)),"")</f>
        <v>EMK TEC GmbH</v>
      </c>
      <c r="E38" s="130" t="str">
        <f>IFERROR(INDEX('Prix et modèle des ECF''	'!$A$3:$O$300,MATCH('Options_modèle spécifié d''ECF'!$C38,'Prix et modèle des ECF''	'!$E$3:$E$300,0),MATCH('Options_modèle spécifié d''ECF'!E$4,'Prix et modèle des ECF''	'!$A$3:$O$3,0)),"")</f>
        <v>1.7L</v>
      </c>
      <c r="F38" s="130" t="str">
        <f>IFERROR(INDEX('Prix et modèle des ECF''	'!$A$3:$O$300,MATCH('Options_modèle spécifié d''ECF'!$C38,'Prix et modèle des ECF''	'!$E$3:$E$300,0),MATCH('Options_modèle spécifié d''ECF'!F$4,'Prix et modèle des ECF''	'!$A$3:$O$3,0)),"")</f>
        <v>-</v>
      </c>
      <c r="G38" s="131">
        <f>IFERROR(INDEX('Prix et modèle des ECF''	'!$A$3:$O$300,MATCH('Options_modèle spécifié d''ECF'!$C38,'Prix et modèle des ECF''	'!$E$3:$E$300,0),MATCH('Options_modèle spécifié d''ECF'!G$4,'Prix et modèle des ECF''	'!$A$3:$O$3,0)),"")</f>
        <v>1450</v>
      </c>
      <c r="H38" s="36"/>
      <c r="I38" s="84">
        <f>IF(ISERROR(IF(ISERROR(MATCH($A38,Reference_Dropdown1!$B$27:$B$39,0)),G38+$H38,G38)),"",IF(ISERROR(MATCH($A38,Reference_Dropdown1!$B$27:$B$39,0)),G38+$H38,"N/A"))</f>
        <v>1450</v>
      </c>
      <c r="J38" s="215"/>
      <c r="K38" s="82">
        <f t="shared" si="8"/>
        <v>0</v>
      </c>
      <c r="L38" s="215"/>
      <c r="M38" s="82">
        <f t="shared" si="9"/>
        <v>0</v>
      </c>
      <c r="N38" s="216"/>
      <c r="O38" s="321">
        <f t="shared" si="10"/>
        <v>0</v>
      </c>
      <c r="P38" s="323">
        <f t="shared" si="0"/>
        <v>0</v>
      </c>
      <c r="Q38" s="324">
        <f t="shared" si="16"/>
        <v>0</v>
      </c>
      <c r="R38" s="258" t="s">
        <v>536</v>
      </c>
      <c r="S38" s="317" t="str">
        <f>IFERROR(INDEX('Prix et modèle des ECF''	'!$A$3:$O$300,MATCH('Options_modèle spécifié d''ECF'!$R38,'Prix et modèle des ECF''	'!$E$3:$E$300,0),MATCH('Options_modèle spécifié d''ECF'!S$4,'Prix et modèle des ECF''	'!$A$3:$O$3,0)),"")</f>
        <v>EMK TEC GmbH</v>
      </c>
      <c r="T38" s="318">
        <f>IFERROR(INDEX('Prix et modèle des ECF''	'!$A$3:$O$300,MATCH('Options_modèle spécifié d''ECF'!$R38,'Prix et modèle des ECF''	'!$E$3:$E$300,0),MATCH('Options_modèle spécifié d''ECF'!T$4,'Prix et modèle des ECF''	'!$A$3:$O$3,0)),"")</f>
        <v>2900</v>
      </c>
      <c r="U38" s="319">
        <f>IF(ISERROR(IF(ISERROR(MATCH($A38,Reference_Dropdown1!$B$27:$B$39,0)),T38+$H38,T38)),"",IF(ISERROR(MATCH($A38,Reference_Dropdown1!$B$27:$B$39,0)),T38+$H38,"N/A"))</f>
        <v>2900</v>
      </c>
      <c r="V38" s="312" t="str">
        <f t="shared" si="2"/>
        <v>_23</v>
      </c>
      <c r="W38" s="258"/>
      <c r="X38" s="259">
        <f t="shared" si="15"/>
        <v>0</v>
      </c>
      <c r="Y38" s="258"/>
      <c r="Z38" s="259">
        <f t="shared" si="11"/>
        <v>0</v>
      </c>
      <c r="AA38" s="258"/>
      <c r="AB38" s="259">
        <f t="shared" si="12"/>
        <v>0</v>
      </c>
      <c r="AC38" s="309">
        <f t="shared" si="3"/>
        <v>0</v>
      </c>
      <c r="AD38" s="310">
        <f t="shared" si="13"/>
        <v>0</v>
      </c>
      <c r="AE38" s="258" t="s">
        <v>538</v>
      </c>
      <c r="AF38" s="330" t="str">
        <f>IFERROR(INDEX('Prix et modèle des ECF''	'!$A$3:$O$300,MATCH('Options_modèle spécifié d''ECF'!$AE38,'Prix et modèle des ECF''	'!$E$3:$E$300,0),MATCH('Options_modèle spécifié d''ECF'!AF$4,'Prix et modèle des ECF''	'!$A$3:$O$3,0)),"")</f>
        <v>BlackFrog Technologies Private Limited</v>
      </c>
      <c r="AG38" s="331">
        <f>IFERROR(INDEX('Prix et modèle des ECF''	'!$A$3:$O$300,MATCH('Options_modèle spécifié d''ECF'!$AE38,'Prix et modèle des ECF''	'!$E$3:$E$300,0),MATCH('Options_modèle spécifié d''ECF'!AG$4,'Prix et modèle des ECF''	'!$A$3:$O$3,0)),"")</f>
        <v>2500</v>
      </c>
      <c r="AH38" s="259">
        <f>IF(ISERROR(IF(ISERROR(MATCH($A38,Reference_Dropdown1!$B$27:$B$39,0)),AG38+$H38,AG38)),"",IF(ISERROR(MATCH($A38,Reference_Dropdown1!$B$27:$B$39,0)),AG38+$H38,"N/A"))</f>
        <v>2500</v>
      </c>
      <c r="AI38" s="258"/>
      <c r="AJ38" s="259">
        <f t="shared" si="4"/>
        <v>0</v>
      </c>
      <c r="AK38" s="258"/>
      <c r="AL38" s="259">
        <f t="shared" si="5"/>
        <v>0</v>
      </c>
      <c r="AM38" s="258"/>
      <c r="AN38" s="259">
        <f t="shared" si="6"/>
        <v>0</v>
      </c>
      <c r="AO38" s="303">
        <f t="shared" si="7"/>
        <v>0</v>
      </c>
      <c r="AP38" s="259">
        <f t="shared" si="14"/>
        <v>0</v>
      </c>
    </row>
    <row r="39" spans="1:42" s="7" customFormat="1" ht="16.5" customHeight="1" thickBot="1" x14ac:dyDescent="0.4">
      <c r="A39" s="412" t="s">
        <v>286</v>
      </c>
      <c r="B39" s="413"/>
      <c r="C39" s="132"/>
      <c r="D39" s="132"/>
      <c r="E39" s="132"/>
      <c r="F39" s="132"/>
      <c r="G39" s="132"/>
      <c r="H39" s="132"/>
      <c r="I39" s="132"/>
      <c r="J39" s="414">
        <f>SUM(K6:K38)</f>
        <v>0</v>
      </c>
      <c r="K39" s="414"/>
      <c r="L39" s="414">
        <f>SUM(M6:M38)</f>
        <v>0</v>
      </c>
      <c r="M39" s="414"/>
      <c r="N39" s="414">
        <f>SUM(O6:O38)</f>
        <v>0</v>
      </c>
      <c r="O39" s="414"/>
      <c r="P39" s="402">
        <f>SUM(Q6:Q38)</f>
        <v>0</v>
      </c>
      <c r="Q39" s="402"/>
      <c r="R39" s="409"/>
      <c r="S39" s="410"/>
      <c r="T39" s="136"/>
      <c r="U39" s="313">
        <f>IFERROR(IF(Q38="N/A",#REF!*T39,Q38*T39),"")</f>
        <v>0</v>
      </c>
      <c r="V39" s="133" t="str">
        <f>IFERROR(IF(R38="N/A",P38*U39,R38*U39),"")</f>
        <v/>
      </c>
      <c r="W39" s="411">
        <f>SUM(X6:X38)</f>
        <v>0</v>
      </c>
      <c r="X39" s="411"/>
      <c r="Y39" s="411">
        <f>SUM(Z6:Z38)</f>
        <v>0</v>
      </c>
      <c r="Z39" s="411"/>
      <c r="AA39" s="411">
        <f>SUM(AB6:AB38)</f>
        <v>0</v>
      </c>
      <c r="AB39" s="411"/>
      <c r="AC39" s="411">
        <f>SUM(AD6:AD38)</f>
        <v>0</v>
      </c>
      <c r="AD39" s="411"/>
      <c r="AE39" s="327"/>
      <c r="AF39" s="328" t="str">
        <f>IFERROR(IF(#REF!="N/A",#REF!*AE39,#REF!*AE39),"")</f>
        <v/>
      </c>
      <c r="AG39" s="328" t="str">
        <f>IFERROR(IF(AC38="N/A",#REF!*AF39,AC38*AF39),"")</f>
        <v/>
      </c>
      <c r="AH39" s="329" t="str">
        <f>IFERROR(IF(AD38="N/A",#REF!*AG39,AD38*AG39),"")</f>
        <v/>
      </c>
      <c r="AI39" s="402">
        <f>SUM(AJ6:AJ38)</f>
        <v>0</v>
      </c>
      <c r="AJ39" s="402"/>
      <c r="AK39" s="402">
        <f>SUM(AL6:AL38)</f>
        <v>0</v>
      </c>
      <c r="AL39" s="402"/>
      <c r="AM39" s="402">
        <f>SUM(AN6:AN38)</f>
        <v>0</v>
      </c>
      <c r="AN39" s="402"/>
      <c r="AO39" s="402">
        <f>SUM(AP6:AP38)</f>
        <v>0</v>
      </c>
      <c r="AP39" s="402"/>
    </row>
    <row r="40" spans="1:42" s="7" customFormat="1" ht="32.5" customHeight="1" thickBot="1" x14ac:dyDescent="0.4">
      <c r="A40" s="412" t="s">
        <v>289</v>
      </c>
      <c r="B40" s="413"/>
      <c r="C40" s="132"/>
      <c r="D40" s="132"/>
      <c r="E40" s="132"/>
      <c r="F40" s="132"/>
      <c r="G40" s="132"/>
      <c r="H40" s="132"/>
      <c r="I40" s="132"/>
      <c r="J40" s="415">
        <v>0.5</v>
      </c>
      <c r="K40" s="415"/>
      <c r="L40" s="416">
        <f>J40</f>
        <v>0.5</v>
      </c>
      <c r="M40" s="416"/>
      <c r="N40" s="405">
        <f>J40</f>
        <v>0.5</v>
      </c>
      <c r="O40" s="405"/>
      <c r="P40" s="406"/>
      <c r="Q40" s="406"/>
      <c r="R40" s="134"/>
      <c r="S40" s="135" t="str">
        <f>IFERROR(INDEX('Prix et modèle des ECF''	'!$A$3:$O$204,MATCH('Options_modèle spécifié d''ECF'!$R40,'Prix et modèle des ECF''	'!$E$3:$E$204,0),MATCH('Options_modèle spécifié d''ECF'!S$4,'Prix et modèle des ECF''	'!$A$3:$O$3,0)),"")</f>
        <v/>
      </c>
      <c r="T40" s="136" t="str">
        <f>IFERROR(INDEX('Prix et modèle des ECF''	'!$A$3:$O$204,MATCH('Options_modèle spécifié d''ECF'!$R40,'Prix et modèle des ECF''	'!$E$3:$E$204,0),MATCH('Options_modèle spécifié d''ECF'!T$4,'Prix et modèle des ECF''	'!$A$3:$O$3,0)),"")</f>
        <v/>
      </c>
      <c r="U40" s="137" t="str">
        <f>IF(ISERROR(IF(ISERROR(MATCH($A39,Reference_Dropdown1!$B$27:$B$39,0)),T40+$H39,T40)),"",IF(ISERROR(MATCH($A39,Reference_Dropdown1!$B$27:$B$39,0)),T40+$H39,"N/A"))</f>
        <v/>
      </c>
      <c r="V40" s="138" t="str">
        <f>LEFT(A39,3)</f>
        <v>Dem</v>
      </c>
      <c r="W40" s="404">
        <v>0.5</v>
      </c>
      <c r="X40" s="404"/>
      <c r="Y40" s="383">
        <f>W40</f>
        <v>0.5</v>
      </c>
      <c r="Z40" s="383"/>
      <c r="AA40" s="383">
        <f>W40</f>
        <v>0.5</v>
      </c>
      <c r="AB40" s="383"/>
      <c r="AC40" s="384"/>
      <c r="AD40" s="384"/>
      <c r="AE40" s="139"/>
      <c r="AF40" s="140" t="str">
        <f>IFERROR(INDEX('Prix et modèle des ECF''	'!$A$3:$O$204,MATCH('Options_modèle spécifié d''ECF'!$AE40,'Prix et modèle des ECF''	'!$E$3:$E$204,0),MATCH('Options_modèle spécifié d''ECF'!AE$4,'Prix et modèle des ECF''	'!$A$3:$O$3,0)),"")</f>
        <v/>
      </c>
      <c r="AG40" s="140" t="str">
        <f>IFERROR(INDEX('Prix et modèle des ECF''	'!$A$3:$O$204,MATCH('Options_modèle spécifié d''ECF'!$AE40,'Prix et modèle des ECF''	'!$E$3:$E$204,0),MATCH('Options_modèle spécifié d''ECF'!AG$4,'Prix et modèle des ECF''	'!$A$3:$O$3,0)),"")</f>
        <v/>
      </c>
      <c r="AH40" s="141" t="str">
        <f>IF(ISERROR(IF(ISERROR(MATCH($A39,Reference_Dropdown1!$B$27:$B$39,0)),AG40+$H39,AG40)),"",IF(ISERROR(MATCH($A39,Reference_Dropdown1!$B$27:$B$39,0)),AG40+$H39,"N/A"))</f>
        <v/>
      </c>
      <c r="AI40" s="404">
        <v>0.5</v>
      </c>
      <c r="AJ40" s="404"/>
      <c r="AK40" s="383">
        <f>AI40</f>
        <v>0.5</v>
      </c>
      <c r="AL40" s="383"/>
      <c r="AM40" s="383">
        <f>AI40</f>
        <v>0.5</v>
      </c>
      <c r="AN40" s="383"/>
      <c r="AO40" s="384"/>
      <c r="AP40" s="384"/>
    </row>
    <row r="41" spans="1:42" s="7" customFormat="1" ht="16.5" customHeight="1" thickBot="1" x14ac:dyDescent="0.4">
      <c r="A41" s="412" t="s">
        <v>287</v>
      </c>
      <c r="B41" s="413"/>
      <c r="C41" s="132"/>
      <c r="D41" s="132"/>
      <c r="E41" s="132"/>
      <c r="F41" s="132"/>
      <c r="G41" s="132"/>
      <c r="H41" s="132"/>
      <c r="I41" s="132"/>
      <c r="J41" s="403">
        <f>J39*J40</f>
        <v>0</v>
      </c>
      <c r="K41" s="403"/>
      <c r="L41" s="403">
        <f>L39*L40</f>
        <v>0</v>
      </c>
      <c r="M41" s="403"/>
      <c r="N41" s="403">
        <f>N39*N40</f>
        <v>0</v>
      </c>
      <c r="O41" s="403"/>
      <c r="P41" s="403">
        <f>SUM(J41:O41)</f>
        <v>0</v>
      </c>
      <c r="Q41" s="403"/>
      <c r="R41" s="134"/>
      <c r="S41" s="135"/>
      <c r="T41" s="136"/>
      <c r="U41" s="137"/>
      <c r="V41" s="138"/>
      <c r="W41" s="407">
        <f>W39*W40</f>
        <v>0</v>
      </c>
      <c r="X41" s="408"/>
      <c r="Y41" s="381">
        <f>Y39*Y40</f>
        <v>0</v>
      </c>
      <c r="Z41" s="381"/>
      <c r="AA41" s="381">
        <f>AA39*AA40</f>
        <v>0</v>
      </c>
      <c r="AB41" s="381"/>
      <c r="AC41" s="381">
        <f>SUM(W41:AB41)</f>
        <v>0</v>
      </c>
      <c r="AD41" s="381"/>
      <c r="AE41" s="139"/>
      <c r="AF41" s="140"/>
      <c r="AG41" s="140"/>
      <c r="AH41" s="141"/>
      <c r="AI41" s="381">
        <f>AI39*AI40</f>
        <v>0</v>
      </c>
      <c r="AJ41" s="381"/>
      <c r="AK41" s="381">
        <f>AK39*AK40</f>
        <v>0</v>
      </c>
      <c r="AL41" s="381"/>
      <c r="AM41" s="381">
        <f>AM39*AM40</f>
        <v>0</v>
      </c>
      <c r="AN41" s="381"/>
      <c r="AO41" s="381">
        <f>SUM(AI41:AN41)</f>
        <v>0</v>
      </c>
      <c r="AP41" s="381"/>
    </row>
    <row r="42" spans="1:42" s="7" customFormat="1" ht="16.5" customHeight="1" thickBot="1" x14ac:dyDescent="0.4">
      <c r="A42" s="412" t="s">
        <v>288</v>
      </c>
      <c r="B42" s="413"/>
      <c r="C42" s="132"/>
      <c r="D42" s="132"/>
      <c r="E42" s="132"/>
      <c r="F42" s="132"/>
      <c r="G42" s="132"/>
      <c r="H42" s="132"/>
      <c r="I42" s="132"/>
      <c r="J42" s="403">
        <f>J39*(1-J40)</f>
        <v>0</v>
      </c>
      <c r="K42" s="403"/>
      <c r="L42" s="403">
        <f>L39*(1-L40)</f>
        <v>0</v>
      </c>
      <c r="M42" s="403"/>
      <c r="N42" s="403">
        <f>N39*(1-N40)</f>
        <v>0</v>
      </c>
      <c r="O42" s="403"/>
      <c r="P42" s="403">
        <f>SUM(J42:O42)</f>
        <v>0</v>
      </c>
      <c r="Q42" s="403"/>
      <c r="R42" s="142"/>
      <c r="S42" s="143"/>
      <c r="T42" s="144"/>
      <c r="U42" s="145"/>
      <c r="V42" s="146"/>
      <c r="W42" s="382">
        <f>W39*(1-W40)</f>
        <v>0</v>
      </c>
      <c r="X42" s="382"/>
      <c r="Y42" s="382">
        <f>Y39*(1-Y40)</f>
        <v>0</v>
      </c>
      <c r="Z42" s="382"/>
      <c r="AA42" s="382">
        <f>AA39*(1-AA40)</f>
        <v>0</v>
      </c>
      <c r="AB42" s="382"/>
      <c r="AC42" s="382">
        <f>SUM(W42:AB42)</f>
        <v>0</v>
      </c>
      <c r="AD42" s="382"/>
      <c r="AE42" s="147"/>
      <c r="AF42" s="148"/>
      <c r="AG42" s="148"/>
      <c r="AH42" s="149"/>
      <c r="AI42" s="382">
        <f>AI39*(1-AI40)</f>
        <v>0</v>
      </c>
      <c r="AJ42" s="382"/>
      <c r="AK42" s="382">
        <f>AK39*(1-AK40)</f>
        <v>0</v>
      </c>
      <c r="AL42" s="382"/>
      <c r="AM42" s="382">
        <f>AM39*(1-AM40)</f>
        <v>0</v>
      </c>
      <c r="AN42" s="382"/>
      <c r="AO42" s="382">
        <f>SUM(AI42:AN42)</f>
        <v>0</v>
      </c>
      <c r="AP42" s="382"/>
    </row>
    <row r="43" spans="1:42" s="7" customFormat="1" ht="14.5" x14ac:dyDescent="0.35">
      <c r="A43" s="150"/>
      <c r="B43" s="150"/>
      <c r="C43" s="150"/>
      <c r="D43" s="150"/>
      <c r="E43" s="150"/>
      <c r="F43" s="150"/>
      <c r="G43" s="150"/>
      <c r="H43" s="150"/>
      <c r="I43" s="150"/>
      <c r="J43" s="151"/>
      <c r="K43" s="151"/>
      <c r="L43" s="151"/>
      <c r="M43" s="151"/>
      <c r="N43" s="151"/>
      <c r="O43" s="151"/>
      <c r="P43" s="151"/>
      <c r="Q43" s="151"/>
      <c r="S43" s="152"/>
      <c r="T43" s="153"/>
      <c r="W43" s="154"/>
      <c r="X43" s="155"/>
      <c r="Y43" s="154"/>
      <c r="Z43" s="155"/>
      <c r="AA43" s="154"/>
      <c r="AB43" s="155"/>
      <c r="AC43" s="154"/>
      <c r="AD43" s="155"/>
      <c r="AI43" s="156"/>
      <c r="AJ43" s="155"/>
      <c r="AK43" s="156"/>
      <c r="AL43" s="155"/>
      <c r="AM43" s="156"/>
      <c r="AN43" s="155"/>
      <c r="AO43" s="156"/>
      <c r="AP43" s="155"/>
    </row>
    <row r="44" spans="1:42" s="7" customFormat="1" ht="15" thickBot="1" x14ac:dyDescent="0.4">
      <c r="A44" s="150"/>
      <c r="B44" s="150"/>
      <c r="C44" s="150"/>
      <c r="D44" s="150"/>
      <c r="E44" s="150"/>
      <c r="F44" s="150"/>
      <c r="G44" s="150"/>
      <c r="H44" s="150"/>
      <c r="I44" s="150"/>
      <c r="J44" s="151"/>
      <c r="K44" s="151"/>
      <c r="L44" s="151"/>
      <c r="M44" s="151"/>
      <c r="N44" s="151"/>
      <c r="O44" s="151"/>
      <c r="P44" s="151"/>
      <c r="Q44" s="151"/>
      <c r="S44" s="152"/>
      <c r="T44" s="153"/>
      <c r="W44" s="154"/>
      <c r="X44" s="155"/>
      <c r="Y44" s="154"/>
      <c r="Z44" s="155"/>
      <c r="AA44" s="154"/>
      <c r="AB44" s="155"/>
      <c r="AC44" s="154"/>
      <c r="AD44" s="155"/>
      <c r="AI44" s="156"/>
      <c r="AJ44" s="155"/>
      <c r="AK44" s="156"/>
      <c r="AL44" s="155"/>
      <c r="AM44" s="156"/>
      <c r="AN44" s="155"/>
      <c r="AO44" s="156"/>
      <c r="AP44" s="155"/>
    </row>
    <row r="45" spans="1:42" ht="15" thickBot="1" x14ac:dyDescent="0.4">
      <c r="A45" s="428" t="s">
        <v>338</v>
      </c>
      <c r="B45" s="428"/>
      <c r="C45" s="428"/>
      <c r="D45" s="428"/>
      <c r="E45" s="428"/>
      <c r="F45" s="428"/>
      <c r="G45" s="428"/>
      <c r="H45" s="428"/>
      <c r="I45" s="428"/>
      <c r="J45" s="157"/>
      <c r="K45" s="157"/>
      <c r="L45" s="157"/>
      <c r="M45" s="136"/>
      <c r="N45" s="157"/>
      <c r="O45" s="136"/>
      <c r="P45" s="429" t="s">
        <v>141</v>
      </c>
      <c r="Q45" s="430"/>
      <c r="R45" s="158" t="s">
        <v>142</v>
      </c>
      <c r="S45" s="159" t="s">
        <v>143</v>
      </c>
      <c r="T45" s="153"/>
      <c r="U45" s="7"/>
      <c r="V45" s="7"/>
      <c r="W45" s="7"/>
      <c r="X45" s="7"/>
      <c r="Y45" s="7"/>
      <c r="Z45" s="7"/>
      <c r="AA45" s="7"/>
      <c r="AB45" s="7"/>
      <c r="AC45" s="153"/>
      <c r="AD45" s="7"/>
      <c r="AE45" s="7"/>
      <c r="AF45" s="7"/>
      <c r="AG45" s="7"/>
      <c r="AH45" s="7"/>
      <c r="AI45" s="7"/>
      <c r="AJ45" s="7"/>
      <c r="AK45" s="7"/>
      <c r="AL45" s="7"/>
      <c r="AM45" s="7"/>
      <c r="AN45" s="7"/>
      <c r="AO45" s="7"/>
      <c r="AP45" s="7"/>
    </row>
    <row r="46" spans="1:42" s="7" customFormat="1" ht="14.5" customHeight="1" x14ac:dyDescent="0.35">
      <c r="A46" s="417" t="s">
        <v>330</v>
      </c>
      <c r="B46" s="418"/>
      <c r="C46" s="418"/>
      <c r="D46" s="418"/>
      <c r="E46" s="418"/>
      <c r="F46" s="418"/>
      <c r="G46" s="418"/>
      <c r="H46" s="418"/>
      <c r="I46" s="425"/>
      <c r="J46" s="160"/>
      <c r="K46" s="160"/>
      <c r="L46" s="160"/>
      <c r="M46" s="160"/>
      <c r="N46" s="160"/>
      <c r="O46" s="160"/>
      <c r="P46" s="426">
        <v>280</v>
      </c>
      <c r="Q46" s="427"/>
      <c r="R46" s="161">
        <v>280</v>
      </c>
      <c r="S46" s="161">
        <v>280</v>
      </c>
    </row>
    <row r="47" spans="1:42" s="7" customFormat="1" ht="14.5" customHeight="1" x14ac:dyDescent="0.35">
      <c r="A47" s="417" t="s">
        <v>331</v>
      </c>
      <c r="B47" s="418"/>
      <c r="C47" s="418"/>
      <c r="D47" s="418"/>
      <c r="E47" s="418"/>
      <c r="F47" s="418"/>
      <c r="G47" s="418"/>
      <c r="H47" s="418"/>
      <c r="I47" s="419"/>
      <c r="J47" s="162"/>
      <c r="K47" s="162"/>
      <c r="L47" s="162"/>
      <c r="M47" s="162"/>
      <c r="N47" s="162"/>
      <c r="O47" s="162"/>
      <c r="P47" s="442">
        <v>1500</v>
      </c>
      <c r="Q47" s="443"/>
      <c r="R47" s="163">
        <v>1500</v>
      </c>
      <c r="S47" s="163">
        <v>1500</v>
      </c>
    </row>
    <row r="48" spans="1:42" s="7" customFormat="1" ht="14.5" customHeight="1" x14ac:dyDescent="0.35">
      <c r="A48" s="417" t="s">
        <v>332</v>
      </c>
      <c r="B48" s="418"/>
      <c r="C48" s="418"/>
      <c r="D48" s="418"/>
      <c r="E48" s="418"/>
      <c r="F48" s="418"/>
      <c r="G48" s="418"/>
      <c r="H48" s="418"/>
      <c r="I48" s="419"/>
      <c r="J48" s="162"/>
      <c r="K48" s="162"/>
      <c r="L48" s="162"/>
      <c r="M48" s="162"/>
      <c r="N48" s="162"/>
      <c r="O48" s="162"/>
      <c r="P48" s="442">
        <v>600</v>
      </c>
      <c r="Q48" s="443"/>
      <c r="R48" s="163">
        <v>600</v>
      </c>
      <c r="S48" s="163">
        <v>600</v>
      </c>
    </row>
    <row r="49" spans="1:42" s="7" customFormat="1" ht="14.5" customHeight="1" x14ac:dyDescent="0.35">
      <c r="A49" s="417" t="s">
        <v>333</v>
      </c>
      <c r="B49" s="418"/>
      <c r="C49" s="418"/>
      <c r="D49" s="418"/>
      <c r="E49" s="418"/>
      <c r="F49" s="418"/>
      <c r="G49" s="418"/>
      <c r="H49" s="418"/>
      <c r="I49" s="419"/>
      <c r="J49" s="162"/>
      <c r="K49" s="162"/>
      <c r="L49" s="162"/>
      <c r="M49" s="162"/>
      <c r="N49" s="162"/>
      <c r="O49" s="162"/>
      <c r="P49" s="442">
        <v>2</v>
      </c>
      <c r="Q49" s="443"/>
      <c r="R49" s="163">
        <v>2</v>
      </c>
      <c r="S49" s="163">
        <v>2</v>
      </c>
    </row>
    <row r="50" spans="1:42" s="7" customFormat="1" ht="14.5" customHeight="1" x14ac:dyDescent="0.35">
      <c r="A50" s="417" t="s">
        <v>334</v>
      </c>
      <c r="B50" s="418"/>
      <c r="C50" s="418"/>
      <c r="D50" s="418"/>
      <c r="E50" s="418"/>
      <c r="F50" s="418"/>
      <c r="G50" s="418"/>
      <c r="H50" s="418"/>
      <c r="I50" s="419"/>
      <c r="J50" s="162"/>
      <c r="K50" s="162"/>
      <c r="L50" s="162"/>
      <c r="M50" s="162"/>
      <c r="N50" s="162"/>
      <c r="O50" s="162"/>
      <c r="P50" s="442">
        <v>20</v>
      </c>
      <c r="Q50" s="443"/>
      <c r="R50" s="163">
        <v>20</v>
      </c>
      <c r="S50" s="163">
        <v>20</v>
      </c>
    </row>
    <row r="51" spans="1:42" s="7" customFormat="1" ht="14.5" customHeight="1" x14ac:dyDescent="0.35">
      <c r="A51" s="417" t="s">
        <v>335</v>
      </c>
      <c r="B51" s="418"/>
      <c r="C51" s="418"/>
      <c r="D51" s="418"/>
      <c r="E51" s="418"/>
      <c r="F51" s="418"/>
      <c r="G51" s="418"/>
      <c r="H51" s="418"/>
      <c r="I51" s="419"/>
      <c r="J51" s="162"/>
      <c r="K51" s="162"/>
      <c r="L51" s="162"/>
      <c r="M51" s="162"/>
      <c r="N51" s="162"/>
      <c r="O51" s="162"/>
      <c r="P51" s="442">
        <v>2000</v>
      </c>
      <c r="Q51" s="443"/>
      <c r="R51" s="163">
        <v>2000</v>
      </c>
      <c r="S51" s="163">
        <v>2000</v>
      </c>
    </row>
    <row r="52" spans="1:42" s="7" customFormat="1" ht="14.5" customHeight="1" x14ac:dyDescent="0.35">
      <c r="A52" s="417" t="s">
        <v>336</v>
      </c>
      <c r="B52" s="418"/>
      <c r="C52" s="418"/>
      <c r="D52" s="418"/>
      <c r="E52" s="418"/>
      <c r="F52" s="418"/>
      <c r="G52" s="418"/>
      <c r="H52" s="418"/>
      <c r="I52" s="419"/>
      <c r="J52" s="162"/>
      <c r="K52" s="162"/>
      <c r="L52" s="162"/>
      <c r="M52" s="162"/>
      <c r="N52" s="162"/>
      <c r="O52" s="162"/>
      <c r="P52" s="440">
        <v>0.1</v>
      </c>
      <c r="Q52" s="441"/>
      <c r="R52" s="164">
        <v>0.1</v>
      </c>
      <c r="S52" s="164">
        <v>0.1</v>
      </c>
    </row>
    <row r="53" spans="1:42" ht="15" customHeight="1" thickBot="1" x14ac:dyDescent="0.4">
      <c r="A53" s="422" t="s">
        <v>337</v>
      </c>
      <c r="B53" s="423"/>
      <c r="C53" s="423"/>
      <c r="D53" s="423"/>
      <c r="E53" s="423"/>
      <c r="F53" s="423"/>
      <c r="G53" s="423"/>
      <c r="H53" s="423"/>
      <c r="I53" s="424"/>
      <c r="J53" s="165"/>
      <c r="K53" s="165"/>
      <c r="L53" s="165"/>
      <c r="M53" s="165"/>
      <c r="N53" s="165"/>
      <c r="O53" s="165"/>
      <c r="P53" s="420">
        <f>($P46*(SUMIFS(P$6:P$38,$V$6:$V$38,"_1.")+SUMIFS(P$6:P$38,$V$6:$V$38,"_2.")+SUMIFS(P$6:P$38,$V$6:$V$38,"_3.")+SUMIFS(P$6:P$38,$V$6:$V$38,"_4.")+SUMIFS(P$6:P$38,$V$6:$V$38,"_5.")+SUMIFS(P$6:P$38,$V$6:$V$38,"_6.")))+($P49*(SUMIFS(P$6:P$38,$V$6:$V$38,"_9")))+($P50*(SUMIFS(P$6:P$38,$V$6:$V$38,"_10")))+($P52*SUMIF($V$6:$V$38,"_12",P$6:P$38))+(IF(SUMIF($V$6:$V$38,"_7",P$6:P$38)&gt;0,$P47,0))+(IF(SUMIF($V$6:$V$38,"_8",P$6:P$38)&gt;0,$P48,0))+(IF(SUMIF($V$6:$V$38,"_11",P$6:P$38)&gt;0, $P51,0))</f>
        <v>0</v>
      </c>
      <c r="Q53" s="421"/>
      <c r="R53" s="166">
        <f>($R46*(SUMIFS(AC$6:AC$38,$V$6:$V$38,"_1.")+SUMIFS(AC$6:AC$38,$V$6:$V$38,"_2.")+SUMIFS(AC$6:AC$38,$V$6:$V$38,"_3.")+SUMIFS(AC$6:AC$38,$V$6:$V$38,"_4.")+SUMIFS(AC$6:AC$38,$V$6:$V$38,"_5.")+SUMIFS(AC$6:AC$38,$V$6:$V$38,"_6.")))+($R49*(SUMIFS(AC$6:AC$38,$V$6:$V$38,"_9")))+($R50*(SUMIFS(AC$6:AC$38,$V$6:$V$38,"_10")))+($R52*SUMIF($V$6:$V$38,"_12",AC$6:AC$38))+(IF(SUMIF($V$6:$V$38,"_7",AC$6:AC$38)&gt;0,$R47,0))+(IF(SUMIF($V$6:$V$38,"_8",AC$6:AC$38)&gt;0,$R48,0))+(IF(SUMIF($V$6:$V$38,"_11",AC$6:AC$38)&gt;0, $R51,0))</f>
        <v>0</v>
      </c>
      <c r="S53" s="166">
        <f>($S46*(SUMIFS(AO$6:AO$38,$V$6:$V$38,"_1.")+SUMIFS(AO$6:AO$38,$V$6:$V$38,"_2.")+SUMIFS(AO$6:AO$38,$V$6:$V$38,"_3.")+SUMIFS(AO$6:AO$38,$V$6:$V$38,"_4.")+SUMIFS(AO$6:AO$38,$V$6:$V$38,"_5.")+SUMIFS(AO$6:AO$38,$V$6:$V$38,"_6.")))+($S49*(SUMIFS(AO$6:AO$38,$V$6:$V$38,"_9")))+($S50*(SUMIFS(AO$6:AO$38,$V$6:$V$38,"_10")))+($S52*SUMIF($V$6:$V$38,"_12",AO$6:AO$38))+(IF(SUMIF($V$6:$V$38,"_7",AC$6:AO$38)&gt;0,$S47,0))+(IF(SUMIF($V$6:$V$38,"_8",AO$6:AO$38)&gt;0,$S48,0))+(IF(SUMIF($V$6:$V$38,"_11",AO$6:AO$38)&gt;0, $S51,0))</f>
        <v>0</v>
      </c>
    </row>
    <row r="54" spans="1:42" ht="15" customHeight="1" thickBot="1" x14ac:dyDescent="0.4">
      <c r="A54" s="165"/>
      <c r="B54" s="165"/>
      <c r="C54" s="165"/>
      <c r="D54" s="165"/>
      <c r="E54" s="165"/>
      <c r="F54" s="165"/>
      <c r="G54" s="165"/>
      <c r="H54" s="165"/>
      <c r="I54" s="165"/>
      <c r="J54" s="165"/>
      <c r="K54" s="165"/>
      <c r="L54" s="165"/>
      <c r="M54" s="165"/>
      <c r="N54" s="165"/>
      <c r="O54" s="165"/>
      <c r="P54" s="167"/>
      <c r="Q54" s="168"/>
      <c r="R54" s="169"/>
      <c r="S54" s="170"/>
    </row>
    <row r="55" spans="1:42" s="22" customFormat="1" ht="15" thickBot="1" x14ac:dyDescent="0.4">
      <c r="A55"/>
      <c r="B55"/>
      <c r="C55"/>
      <c r="D55"/>
      <c r="E55" s="18"/>
      <c r="F55" s="18"/>
      <c r="G55" s="18"/>
      <c r="H55" s="18"/>
      <c r="I55" s="18"/>
      <c r="J55" s="18"/>
      <c r="K55" s="18"/>
      <c r="L55" s="18"/>
      <c r="M55" s="18"/>
      <c r="N55" s="18"/>
      <c r="O55" s="18"/>
      <c r="P55" s="385" t="s">
        <v>141</v>
      </c>
      <c r="Q55" s="386"/>
      <c r="R55" s="171" t="s">
        <v>142</v>
      </c>
      <c r="S55" s="172" t="s">
        <v>143</v>
      </c>
      <c r="T55" s="173"/>
      <c r="U55" s="173"/>
      <c r="V55" s="173"/>
      <c r="W55" s="173"/>
      <c r="X55" s="173"/>
      <c r="Y55" s="173"/>
      <c r="Z55" s="173"/>
      <c r="AA55" s="173"/>
      <c r="AB55"/>
      <c r="AC55"/>
      <c r="AD55"/>
      <c r="AE55"/>
      <c r="AF55"/>
      <c r="AG55"/>
      <c r="AH55"/>
      <c r="AI55"/>
      <c r="AJ55"/>
      <c r="AK55"/>
      <c r="AL55"/>
      <c r="AM55"/>
      <c r="AN55"/>
      <c r="AO55"/>
      <c r="AP55"/>
    </row>
    <row r="56" spans="1:42" s="7" customFormat="1" ht="17.25" customHeight="1" x14ac:dyDescent="0.35">
      <c r="A56" s="397" t="s">
        <v>290</v>
      </c>
      <c r="B56" s="398"/>
      <c r="C56" s="398"/>
      <c r="D56" s="398"/>
      <c r="E56" s="398"/>
      <c r="F56" s="398"/>
      <c r="G56" s="398"/>
      <c r="H56" s="398"/>
      <c r="I56" s="399"/>
      <c r="J56" s="174"/>
      <c r="K56" s="175"/>
      <c r="L56" s="175"/>
      <c r="M56" s="175"/>
      <c r="N56" s="175"/>
      <c r="O56" s="176"/>
      <c r="P56" s="395">
        <f>P39*1.06+P53</f>
        <v>0</v>
      </c>
      <c r="Q56" s="396"/>
      <c r="R56" s="177">
        <f>AC39*1.06+R53</f>
        <v>0</v>
      </c>
      <c r="S56" s="177">
        <f>AO39*1.06+S53</f>
        <v>0</v>
      </c>
      <c r="T56" s="178"/>
      <c r="U56" s="178"/>
      <c r="V56" s="178"/>
      <c r="W56" s="178"/>
      <c r="X56" s="178"/>
      <c r="Y56" s="178"/>
      <c r="Z56" s="178"/>
      <c r="AA56" s="178"/>
    </row>
    <row r="57" spans="1:42" s="7" customFormat="1" ht="17.25" customHeight="1" x14ac:dyDescent="0.35">
      <c r="A57" s="397" t="s">
        <v>291</v>
      </c>
      <c r="B57" s="398"/>
      <c r="C57" s="398"/>
      <c r="D57" s="398"/>
      <c r="E57" s="398"/>
      <c r="F57" s="398"/>
      <c r="G57" s="398"/>
      <c r="H57" s="398"/>
      <c r="I57" s="399"/>
      <c r="J57" s="174"/>
      <c r="K57" s="175"/>
      <c r="L57" s="175"/>
      <c r="M57" s="175"/>
      <c r="N57" s="175"/>
      <c r="O57" s="176"/>
      <c r="P57" s="433">
        <f>(P41*1.06)+(P53*J40)</f>
        <v>0</v>
      </c>
      <c r="Q57" s="434"/>
      <c r="R57" s="268">
        <f>(AC41*1.06)+(R53*W40)</f>
        <v>0</v>
      </c>
      <c r="S57" s="268">
        <f>(AO41*1.06)+(S53*AI40)</f>
        <v>0</v>
      </c>
      <c r="T57" s="178"/>
      <c r="U57" s="178"/>
      <c r="V57" s="179"/>
      <c r="W57" s="179"/>
      <c r="X57" s="178"/>
      <c r="Y57" s="178"/>
      <c r="Z57" s="179"/>
      <c r="AA57" s="179"/>
    </row>
    <row r="58" spans="1:42" s="7" customFormat="1" ht="17.25" customHeight="1" x14ac:dyDescent="0.35">
      <c r="A58" s="397" t="s">
        <v>292</v>
      </c>
      <c r="B58" s="398"/>
      <c r="C58" s="398"/>
      <c r="D58" s="398"/>
      <c r="E58" s="398"/>
      <c r="F58" s="398"/>
      <c r="G58" s="398"/>
      <c r="H58" s="398"/>
      <c r="I58" s="399"/>
      <c r="J58" s="174"/>
      <c r="K58" s="175"/>
      <c r="L58" s="175"/>
      <c r="M58" s="175"/>
      <c r="N58" s="175"/>
      <c r="O58" s="176"/>
      <c r="P58" s="434">
        <f>(P42*1.06)+(P53*(100%-J40))</f>
        <v>0</v>
      </c>
      <c r="Q58" s="434"/>
      <c r="R58" s="180">
        <f>(AC42*1.06)+(R53*(100%-W40))</f>
        <v>0</v>
      </c>
      <c r="S58" s="180">
        <f>(AO42*1.06)+(S53*(100%-AI40))</f>
        <v>0</v>
      </c>
    </row>
    <row r="59" spans="1:42" ht="14.5" x14ac:dyDescent="0.35"/>
    <row r="60" spans="1:42" ht="28.5" customHeight="1" x14ac:dyDescent="0.35">
      <c r="A60" s="389" t="s">
        <v>452</v>
      </c>
      <c r="B60" s="390"/>
      <c r="C60" s="390"/>
      <c r="D60" s="390"/>
      <c r="E60" s="390"/>
      <c r="F60" s="390"/>
      <c r="G60" s="390"/>
      <c r="H60" s="390"/>
      <c r="I60" s="391"/>
      <c r="J60" s="181"/>
      <c r="K60" s="181"/>
      <c r="L60" s="181"/>
      <c r="M60" s="181"/>
      <c r="N60" s="181"/>
      <c r="O60" s="181"/>
      <c r="P60" s="431">
        <v>8.5000000000000006E-2</v>
      </c>
      <c r="Q60" s="432"/>
      <c r="R60" s="326">
        <v>8.5000000000000006E-2</v>
      </c>
      <c r="S60" s="326">
        <v>8.5000000000000006E-2</v>
      </c>
    </row>
    <row r="61" spans="1:42" ht="14.5" customHeight="1" x14ac:dyDescent="0.35">
      <c r="A61" s="392" t="s">
        <v>293</v>
      </c>
      <c r="B61" s="393"/>
      <c r="C61" s="393"/>
      <c r="D61" s="393"/>
      <c r="E61" s="393"/>
      <c r="F61" s="393"/>
      <c r="G61" s="393"/>
      <c r="H61" s="393"/>
      <c r="I61" s="394"/>
      <c r="J61" s="182"/>
      <c r="K61" s="182"/>
      <c r="L61" s="182"/>
      <c r="M61" s="182"/>
      <c r="N61" s="182"/>
      <c r="O61" s="182"/>
      <c r="P61" s="400">
        <f>P57*P60</f>
        <v>0</v>
      </c>
      <c r="Q61" s="401"/>
      <c r="R61" s="183">
        <f>R57*R60</f>
        <v>0</v>
      </c>
      <c r="S61" s="183">
        <f>S57*S60</f>
        <v>0</v>
      </c>
    </row>
    <row r="62" spans="1:42" ht="15" thickBot="1" x14ac:dyDescent="0.4">
      <c r="E62"/>
      <c r="F62"/>
      <c r="G62"/>
      <c r="H62"/>
      <c r="I62"/>
      <c r="J62"/>
      <c r="K62"/>
      <c r="L62"/>
      <c r="M62"/>
      <c r="N62"/>
      <c r="O62"/>
      <c r="P62"/>
      <c r="Q62"/>
    </row>
    <row r="63" spans="1:42" ht="15" customHeight="1" thickBot="1" x14ac:dyDescent="0.4">
      <c r="A63" s="378" t="s">
        <v>294</v>
      </c>
      <c r="B63" s="379"/>
      <c r="C63" s="379"/>
      <c r="D63" s="379"/>
      <c r="E63" s="379"/>
      <c r="F63" s="379"/>
      <c r="G63" s="379"/>
      <c r="H63" s="379"/>
      <c r="I63" s="380"/>
      <c r="J63" s="184"/>
      <c r="K63" s="184"/>
      <c r="L63" s="184"/>
      <c r="M63" s="184"/>
      <c r="N63" s="184"/>
      <c r="O63" s="184"/>
      <c r="P63" s="387">
        <f>P57+P61</f>
        <v>0</v>
      </c>
      <c r="Q63" s="388"/>
      <c r="R63" s="185">
        <f>R57+R61</f>
        <v>0</v>
      </c>
      <c r="S63" s="186">
        <f>S57+S61</f>
        <v>0</v>
      </c>
    </row>
    <row r="64" spans="1:42" ht="13.5" customHeight="1" thickBot="1" x14ac:dyDescent="0.4">
      <c r="A64" s="378" t="s">
        <v>295</v>
      </c>
      <c r="B64" s="379"/>
      <c r="C64" s="379"/>
      <c r="D64" s="379"/>
      <c r="E64" s="379"/>
      <c r="F64" s="379"/>
      <c r="G64" s="379"/>
      <c r="H64" s="379"/>
      <c r="I64" s="380"/>
      <c r="J64" s="184"/>
      <c r="K64" s="184"/>
      <c r="L64" s="184"/>
      <c r="M64" s="184"/>
      <c r="N64" s="184"/>
      <c r="O64" s="184"/>
      <c r="P64" s="376">
        <f>P58</f>
        <v>0</v>
      </c>
      <c r="Q64" s="377"/>
      <c r="R64" s="187">
        <f>R58</f>
        <v>0</v>
      </c>
      <c r="S64" s="188">
        <f>S58</f>
        <v>0</v>
      </c>
    </row>
  </sheetData>
  <sheetProtection algorithmName="SHA-512" hashValue="wJm9Bpn9Bcn8IVcG10uF93wQYT8qKKRncae7qdNFoW7U8yP2iN3JiV++qrc54ETC3c6jbclZAcTQRHl7HeqPzQ==" saltValue="TN2t6OM5uDs07ySlwh1wAQ==" spinCount="100000" sheet="1" sort="0" autoFilter="0" pivotTables="0"/>
  <dataConsolidate/>
  <mergeCells count="101">
    <mergeCell ref="AC2:AD2"/>
    <mergeCell ref="R1:AD1"/>
    <mergeCell ref="J1:Q1"/>
    <mergeCell ref="W2:X2"/>
    <mergeCell ref="Y2:Z2"/>
    <mergeCell ref="AA2:AB2"/>
    <mergeCell ref="J2:K2"/>
    <mergeCell ref="L2:M2"/>
    <mergeCell ref="N2:O2"/>
    <mergeCell ref="P2:Q2"/>
    <mergeCell ref="P60:Q60"/>
    <mergeCell ref="A57:I57"/>
    <mergeCell ref="A58:I58"/>
    <mergeCell ref="P57:Q57"/>
    <mergeCell ref="P58:Q58"/>
    <mergeCell ref="AE1:AP1"/>
    <mergeCell ref="AI2:AJ2"/>
    <mergeCell ref="AK2:AL2"/>
    <mergeCell ref="AM2:AN2"/>
    <mergeCell ref="AO2:AP2"/>
    <mergeCell ref="A52:I52"/>
    <mergeCell ref="P52:Q52"/>
    <mergeCell ref="P47:Q47"/>
    <mergeCell ref="A48:I48"/>
    <mergeCell ref="P48:Q48"/>
    <mergeCell ref="A49:I49"/>
    <mergeCell ref="P49:Q49"/>
    <mergeCell ref="P50:Q50"/>
    <mergeCell ref="A51:I51"/>
    <mergeCell ref="P51:Q51"/>
    <mergeCell ref="W42:X42"/>
    <mergeCell ref="AO39:AP39"/>
    <mergeCell ref="AA39:AB39"/>
    <mergeCell ref="AC39:AD39"/>
    <mergeCell ref="A39:B39"/>
    <mergeCell ref="A40:B40"/>
    <mergeCell ref="J39:K39"/>
    <mergeCell ref="L39:M39"/>
    <mergeCell ref="N39:O39"/>
    <mergeCell ref="J40:K40"/>
    <mergeCell ref="L40:M40"/>
    <mergeCell ref="A50:I50"/>
    <mergeCell ref="P53:Q53"/>
    <mergeCell ref="A53:I53"/>
    <mergeCell ref="A46:I46"/>
    <mergeCell ref="P46:Q46"/>
    <mergeCell ref="A47:I47"/>
    <mergeCell ref="A45:I45"/>
    <mergeCell ref="P45:Q45"/>
    <mergeCell ref="P42:Q42"/>
    <mergeCell ref="N41:O41"/>
    <mergeCell ref="N42:O42"/>
    <mergeCell ref="P39:Q39"/>
    <mergeCell ref="A41:B41"/>
    <mergeCell ref="A42:B42"/>
    <mergeCell ref="AM39:AN39"/>
    <mergeCell ref="J41:K41"/>
    <mergeCell ref="J42:K42"/>
    <mergeCell ref="AI40:AJ40"/>
    <mergeCell ref="AI41:AJ41"/>
    <mergeCell ref="AI42:AJ42"/>
    <mergeCell ref="L41:M41"/>
    <mergeCell ref="L42:M42"/>
    <mergeCell ref="N40:O40"/>
    <mergeCell ref="AA40:AB40"/>
    <mergeCell ref="AA41:AB41"/>
    <mergeCell ref="AA42:AB42"/>
    <mergeCell ref="W40:X40"/>
    <mergeCell ref="P40:Q40"/>
    <mergeCell ref="AC40:AD40"/>
    <mergeCell ref="W41:X41"/>
    <mergeCell ref="P41:Q41"/>
    <mergeCell ref="AI39:AJ39"/>
    <mergeCell ref="R39:S39"/>
    <mergeCell ref="W39:X39"/>
    <mergeCell ref="Y39:Z39"/>
    <mergeCell ref="AK39:AL39"/>
    <mergeCell ref="P64:Q64"/>
    <mergeCell ref="A64:I64"/>
    <mergeCell ref="AO41:AP41"/>
    <mergeCell ref="AO42:AP42"/>
    <mergeCell ref="AM40:AN40"/>
    <mergeCell ref="AM41:AN41"/>
    <mergeCell ref="AM42:AN42"/>
    <mergeCell ref="AO40:AP40"/>
    <mergeCell ref="AK40:AL40"/>
    <mergeCell ref="AK41:AL41"/>
    <mergeCell ref="AK42:AL42"/>
    <mergeCell ref="AC41:AD41"/>
    <mergeCell ref="AC42:AD42"/>
    <mergeCell ref="Y40:Z40"/>
    <mergeCell ref="Y41:Z41"/>
    <mergeCell ref="Y42:Z42"/>
    <mergeCell ref="P55:Q55"/>
    <mergeCell ref="A63:I63"/>
    <mergeCell ref="P63:Q63"/>
    <mergeCell ref="A60:I60"/>
    <mergeCell ref="A61:I61"/>
    <mergeCell ref="P56:Q56"/>
    <mergeCell ref="A56:I56"/>
    <mergeCell ref="P61:Q61"/>
  </mergeCells>
  <phoneticPr fontId="24" type="noConversion"/>
  <conditionalFormatting sqref="D6:G38 I6:J38 L6:L38 N6:N38 S6:T38 S40:T45">
    <cfRule type="cellIs" dxfId="60" priority="4757" operator="equal">
      <formula>"N/A"</formula>
    </cfRule>
  </conditionalFormatting>
  <conditionalFormatting sqref="H6">
    <cfRule type="expression" dxfId="58" priority="1">
      <formula>$B6="5 - &lt;10L"</formula>
    </cfRule>
  </conditionalFormatting>
  <conditionalFormatting sqref="H6:H38">
    <cfRule type="expression" dxfId="57" priority="337">
      <formula>$B6="&gt; - 15L"</formula>
    </cfRule>
    <cfRule type="expression" dxfId="56" priority="338">
      <formula>$B6="5 - &lt; 15 L"</formula>
    </cfRule>
    <cfRule type="expression" dxfId="55" priority="339">
      <formula>$B6="0 - &lt;5L"</formula>
    </cfRule>
    <cfRule type="expression" dxfId="54" priority="340">
      <formula>"IF(OR(LEFT($A6,3)=""_9"",LEFT($A6,3)=""_10"",LEFT($A6,3)=""_11"")"</formula>
    </cfRule>
    <cfRule type="expression" dxfId="53" priority="341">
      <formula>$B6="NA"</formula>
    </cfRule>
  </conditionalFormatting>
  <dataValidations xWindow="849" yWindow="616" count="7">
    <dataValidation type="list" allowBlank="1" showInputMessage="1" showErrorMessage="1" sqref="A6:A38" xr:uid="{FAF8F702-11D9-4246-9AFA-A76788E9269D}">
      <formula1>Typed_équipementetsourced_énergie</formula1>
    </dataValidation>
    <dataValidation type="list" allowBlank="1" showInputMessage="1" showErrorMessage="1" sqref="B6:B38" xr:uid="{121AC0EC-3576-441B-A014-8CDC1D306BAE}">
      <formula1>INDIRECT(SUBSTITUTE(A6," ",""))</formula1>
    </dataValidation>
    <dataValidation type="list" allowBlank="1" showInputMessage="1" showErrorMessage="1" sqref="C6:C38" xr:uid="{4276066D-418E-4373-B108-EFB0C645BAD6}">
      <formula1>INDIRECT(SUBSTITUTE(A6," ","")&amp;SUBSTITUTE(SUBSTITUTE(SUBSTITUTE(SUBSTITUTE(B6,"&lt;","_ "),"- ","_"),"&gt;","_")," ",""))</formula1>
    </dataValidation>
    <dataValidation type="list" allowBlank="1" showInputMessage="1" showErrorMessage="1" sqref="AE6:AE38" xr:uid="{24B8EFC6-5108-4263-92FC-696ABAD0119C}">
      <formula1>INDIRECT(SUBSTITUTE(A6," ","")&amp;SUBSTITUTE(SUBSTITUTE(SUBSTITUTE(SUBSTITUTE(B6,"&lt;","_ "),"- ","_"),"&gt;","_")," ",""))</formula1>
    </dataValidation>
    <dataValidation type="list" allowBlank="1" showInputMessage="1" showErrorMessage="1" sqref="R6:R38" xr:uid="{1E684645-761A-47C4-8770-B726CF98DEBC}">
      <formula1>INDIRECT(SUBSTITUTE(A6," ","")&amp;SUBSTITUTE(SUBSTITUTE(SUBSTITUTE(SUBSTITUTE(B6,"&lt;","_ "),"- ","_"),"&gt;","_")," ",""))</formula1>
    </dataValidation>
    <dataValidation type="list" allowBlank="1" showInputMessage="1" showErrorMessage="1" sqref="R40:R44" xr:uid="{DFD04D49-F13B-45B5-96DE-098E518C84C7}">
      <formula1>INDIRECT(SUBSTITUTE(A39," ","")&amp;SUBSTITUTE(SUBSTITUTE(SUBSTITUTE(SUBSTITUTE(B39,"&lt;","_ "),"- ","_"),"&gt;","_"),"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Le montant à insérer pour le forfait de services doit être compris entre:_x000a_$1, 750-$2150 (panneaux fixés au sol) and $1, 750- $4000 (panneaux fixés sur mâts) pour equipements hors réseau _x000a_$200-$400  RTMDs_x000a_$850-$1,350 pour les équipements sur réseau     " sqref="H6:H38" xr:uid="{F8FAC9D8-3777-405E-BCE9-875BD0176B4C}">
      <formula1>200</formula1>
      <formula2>38000</formula2>
    </dataValidation>
  </dataValidations>
  <pageMargins left="0.7" right="0.7" top="0.75" bottom="0.75" header="0.3" footer="0.3"/>
  <pageSetup scale="3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6247" operator="equal" id="{40194035-514E-4E3C-B941-8BFE8D23ABFB}">
            <xm:f>'Prix et modèle des ECF''	'!#REF!</xm:f>
            <x14:dxf>
              <fill>
                <patternFill>
                  <bgColor rgb="FFFFFF00"/>
                </patternFill>
              </fill>
            </x14:dxf>
          </x14:cfRule>
          <x14:cfRule type="cellIs" priority="6248" operator="equal" id="{C984F952-6052-460F-A962-25FA7431B731}">
            <xm:f>'Prix et modèle des ECF''	'!#REF!</xm:f>
            <x14:dxf>
              <font>
                <color theme="0"/>
              </font>
              <fill>
                <patternFill>
                  <bgColor rgb="FF7030A0"/>
                </patternFill>
              </fill>
            </x14:dxf>
          </x14:cfRule>
          <x14:cfRule type="cellIs" priority="6249" operator="equal" id="{1097636C-14FF-4A64-BC6D-E33F69937A5E}">
            <xm:f>'Prix et modèle des ECF''	'!#REF!</xm:f>
            <x14:dxf>
              <font>
                <color theme="0"/>
              </font>
              <fill>
                <patternFill>
                  <bgColor theme="9" tint="-0.24994659260841701"/>
                </patternFill>
              </fill>
            </x14:dxf>
          </x14:cfRule>
          <x14:cfRule type="cellIs" priority="6250" operator="equal" id="{3B251711-67FD-4396-BDE4-8855BA9501B4}">
            <xm:f>'Prix et modèle des ECF''	'!#REF!</xm:f>
            <x14:dxf>
              <font>
                <color theme="0"/>
              </font>
              <fill>
                <patternFill>
                  <bgColor theme="4" tint="-0.24994659260841701"/>
                </patternFill>
              </fill>
            </x14:dxf>
          </x14:cfRule>
          <x14:cfRule type="cellIs" priority="6251" operator="equal" id="{11D180B7-F0EE-4FB2-ABBB-174D38E8A405}">
            <xm:f>'Prix et modèle des ECF''	'!#REF!</xm:f>
            <x14:dxf>
              <fill>
                <patternFill>
                  <bgColor rgb="FFFF99FF"/>
                </patternFill>
              </fill>
            </x14:dxf>
          </x14:cfRule>
          <x14:cfRule type="cellIs" priority="6252" operator="equal" id="{35DB5A15-6D21-4505-982F-E659F9C30492}">
            <xm:f>'Prix et modèle des ECF''	'!#REF!</xm:f>
            <x14:dxf>
              <font>
                <color theme="0"/>
              </font>
              <fill>
                <patternFill>
                  <bgColor rgb="FF9900CC"/>
                </patternFill>
              </fill>
            </x14:dxf>
          </x14:cfRule>
          <x14:cfRule type="cellIs" priority="6253" operator="equal" id="{46360C6E-4039-4EC1-ABF9-BCB5740E08AF}">
            <xm:f>'Prix et modèle des ECF''	'!#REF!</xm:f>
            <x14:dxf>
              <fill>
                <patternFill>
                  <bgColor rgb="FFFFC000"/>
                </patternFill>
              </fill>
            </x14:dxf>
          </x14:cfRule>
          <x14:cfRule type="cellIs" priority="6254" operator="equal" id="{60318092-4BA8-4431-A1B7-C7ECAFF6DA93}">
            <xm:f>'Prix et modèle des ECF''	'!#REF!</xm:f>
            <x14:dxf>
              <font>
                <color theme="1"/>
              </font>
              <fill>
                <patternFill>
                  <bgColor rgb="FFCCCCFF"/>
                </patternFill>
              </fill>
            </x14:dxf>
          </x14:cfRule>
          <x14:cfRule type="cellIs" priority="6256" operator="equal" id="{851A3D18-CF7E-457F-A38D-E70423411E30}">
            <xm:f>'Prix et modèle des ECF''	'!#REF!</xm:f>
            <x14:dxf>
              <font>
                <color theme="1"/>
              </font>
              <fill>
                <patternFill>
                  <bgColor theme="5" tint="0.59996337778862885"/>
                </patternFill>
              </fill>
            </x14:dxf>
          </x14:cfRule>
          <x14:cfRule type="cellIs" priority="6257" operator="equal" id="{5CB73EB2-288D-4109-A54C-C3045933A240}">
            <xm:f>'Prix et modèle des ECF''	'!#REF!</xm:f>
            <x14:dxf>
              <font>
                <color theme="1"/>
              </font>
              <fill>
                <patternFill>
                  <bgColor theme="5" tint="0.79998168889431442"/>
                </patternFill>
              </fill>
            </x14:dxf>
          </x14:cfRule>
          <x14:cfRule type="cellIs" priority="6258" operator="equal" id="{06C29BEF-F69C-47AB-80AB-95255E887FFE}">
            <xm:f>'Prix et modèle des ECF''	'!#REF!</xm:f>
            <x14:dxf>
              <font>
                <color theme="1"/>
              </font>
              <fill>
                <patternFill>
                  <bgColor theme="9" tint="0.59996337778862885"/>
                </patternFill>
              </fill>
            </x14:dxf>
          </x14:cfRule>
          <x14:cfRule type="cellIs" priority="6259" operator="equal" id="{5808F185-541C-4F2C-9E92-1E802444F315}">
            <xm:f>'Prix et modèle des ECF''	'!#REF!</xm:f>
            <x14:dxf>
              <font>
                <color theme="1"/>
              </font>
              <fill>
                <patternFill>
                  <bgColor theme="9" tint="0.79998168889431442"/>
                </patternFill>
              </fill>
            </x14:dxf>
          </x14:cfRule>
          <x14:cfRule type="cellIs" priority="6260" operator="equal" id="{CCF79960-71DD-4DD7-9A80-E0A5545C08BA}">
            <xm:f>'Prix et modèle des ECF''	'!#REF!</xm:f>
            <x14:dxf>
              <font>
                <color theme="0"/>
              </font>
              <fill>
                <patternFill>
                  <bgColor theme="1" tint="0.24994659260841701"/>
                </patternFill>
              </fill>
            </x14:dxf>
          </x14:cfRule>
          <x14:cfRule type="cellIs" priority="6261" operator="equal" id="{E4A658CF-4F53-4B8B-B416-CD6ADB26C830}">
            <xm:f>'Prix et modèle des ECF''	'!#REF!</xm:f>
            <x14:dxf>
              <font>
                <color theme="0"/>
              </font>
              <fill>
                <patternFill>
                  <bgColor theme="0" tint="-0.499984740745262"/>
                </patternFill>
              </fill>
            </x14:dxf>
          </x14:cfRule>
          <x14:cfRule type="cellIs" priority="6262" operator="equal" id="{DBA9E264-5FAA-442B-AFBA-10D0B7F5919E}">
            <xm:f>'Prix et modèle des ECF''	'!#REF!</xm:f>
            <x14:dxf>
              <font>
                <color theme="1"/>
              </font>
              <fill>
                <patternFill>
                  <bgColor theme="0" tint="-0.14996795556505021"/>
                </patternFill>
              </fill>
            </x14:dxf>
          </x14:cfRule>
          <x14:cfRule type="cellIs" priority="6263" operator="equal" id="{D8F097F0-EE41-4A87-8600-10F5FDCF1CBD}">
            <xm:f>'Prix et modèle des ECF''	'!#REF!</xm:f>
            <x14:dxf>
              <font>
                <color theme="1"/>
              </font>
              <fill>
                <patternFill>
                  <bgColor theme="7" tint="0.79998168889431442"/>
                </patternFill>
              </fill>
            </x14:dxf>
          </x14:cfRule>
          <x14:cfRule type="cellIs" priority="6264" operator="equal" id="{8B563C4E-C448-4289-81D5-69ECCC131A8C}">
            <xm:f>'Prix et modèle des ECF''	'!#REF!</xm:f>
            <x14:dxf>
              <font>
                <color theme="0"/>
              </font>
              <fill>
                <patternFill>
                  <bgColor theme="4" tint="-0.24994659260841701"/>
                </patternFill>
              </fill>
            </x14:dxf>
          </x14:cfRule>
          <x14:cfRule type="cellIs" priority="6265" operator="equal" id="{995B5785-ED94-47EB-96A1-56CE764E5BBB}">
            <xm:f>'Prix et modèle des ECF''	'!#REF!</xm:f>
            <x14:dxf>
              <font>
                <color theme="1"/>
              </font>
              <fill>
                <patternFill>
                  <bgColor theme="4" tint="0.39994506668294322"/>
                </patternFill>
              </fill>
            </x14:dxf>
          </x14:cfRule>
          <x14:cfRule type="cellIs" priority="6266" operator="equal" id="{68B258F2-830E-47A5-8FFC-0343B1DFF23A}">
            <xm:f>'Prix et modèle des ECF''	'!#REF!</xm:f>
            <x14:dxf>
              <font>
                <color theme="1"/>
              </font>
              <fill>
                <patternFill>
                  <bgColor theme="4" tint="0.79998168889431442"/>
                </patternFill>
              </fill>
            </x14:dxf>
          </x14:cfRule>
          <xm:sqref>A5</xm:sqref>
        </x14:conditionalFormatting>
        <x14:conditionalFormatting xmlns:xm="http://schemas.microsoft.com/office/excel/2006/main">
          <x14:cfRule type="cellIs" priority="37" operator="equal" id="{48399458-50D9-4ECC-8912-046A9CF85B2C}">
            <xm:f>Reference_Dropdown1!$C$17</xm:f>
            <x14:dxf>
              <font>
                <color theme="0"/>
              </font>
              <fill>
                <patternFill>
                  <bgColor theme="9" tint="-0.24994659260841701"/>
                </patternFill>
              </fill>
            </x14:dxf>
          </x14:cfRule>
          <x14:cfRule type="cellIs" priority="38" operator="equal" id="{D6E08812-93E3-4300-88AA-2F469EA433FD}">
            <xm:f>Reference_Dropdown1!#REF!</xm:f>
            <x14:dxf>
              <fill>
                <patternFill>
                  <bgColor theme="5" tint="0.79998168889431442"/>
                </patternFill>
              </fill>
            </x14:dxf>
          </x14:cfRule>
          <x14:cfRule type="cellIs" priority="39" operator="equal" id="{B4D2B09E-2E4A-44DF-A4D2-7A68D5E1A327}">
            <xm:f>Reference_Dropdown1!#REF!</xm:f>
            <x14:dxf>
              <fill>
                <patternFill>
                  <bgColor theme="4" tint="0.79998168889431442"/>
                </patternFill>
              </fill>
            </x14:dxf>
          </x14:cfRule>
          <x14:cfRule type="cellIs" priority="40" operator="equal" id="{0F9D8E52-4D64-43E8-9165-8955608CA157}">
            <xm:f>Reference_Dropdown1!#REF!</xm:f>
            <x14:dxf>
              <fill>
                <patternFill>
                  <bgColor theme="3" tint="0.59996337778862885"/>
                </patternFill>
              </fill>
            </x14:dxf>
          </x14:cfRule>
          <x14:cfRule type="cellIs" priority="41" operator="equal" id="{4845EC1C-18B5-47B7-8484-AE28731EADC1}">
            <xm:f>Reference_Dropdown1!#REF!</xm:f>
            <x14:dxf>
              <font>
                <color theme="0"/>
              </font>
              <fill>
                <patternFill>
                  <bgColor theme="5" tint="-0.24994659260841701"/>
                </patternFill>
              </fill>
            </x14:dxf>
          </x14:cfRule>
          <x14:cfRule type="cellIs" priority="42" operator="equal" id="{1D1EAB4C-D744-4F68-8E01-0AA698BE6863}">
            <xm:f>Reference_Dropdown1!#REF!</xm:f>
            <x14:dxf>
              <font>
                <color theme="1"/>
              </font>
              <fill>
                <patternFill>
                  <bgColor theme="7" tint="0.79998168889431442"/>
                </patternFill>
              </fill>
            </x14:dxf>
          </x14:cfRule>
          <x14:cfRule type="cellIs" priority="43" operator="equal" id="{43224E20-3610-4B81-A0AE-1CA23A4DE1D4}">
            <xm:f>Reference_Dropdown1!$C$2</xm:f>
            <x14:dxf>
              <font>
                <color theme="1"/>
              </font>
              <fill>
                <patternFill>
                  <bgColor rgb="FFCCCCFF"/>
                </patternFill>
              </fill>
            </x14:dxf>
          </x14:cfRule>
          <x14:cfRule type="cellIs" priority="44" operator="equal" id="{02BCA12A-1472-4499-B55A-B09A478466E5}">
            <xm:f>Reference_Dropdown1!$C$3</xm:f>
            <x14:dxf>
              <font>
                <color auto="1"/>
              </font>
              <fill>
                <patternFill>
                  <bgColor rgb="FFFFC000"/>
                </patternFill>
              </fill>
            </x14:dxf>
          </x14:cfRule>
          <x14:cfRule type="cellIs" priority="45" operator="equal" id="{984955C9-098B-409B-BFE7-9BDA363EFFD2}">
            <xm:f>Reference_Dropdown1!$C$4</xm:f>
            <x14:dxf>
              <fill>
                <patternFill>
                  <bgColor rgb="FFFFFF00"/>
                </patternFill>
              </fill>
            </x14:dxf>
          </x14:cfRule>
          <x14:cfRule type="cellIs" priority="46" operator="equal" id="{B9F2AFEE-6023-4381-89E1-179A432516F3}">
            <xm:f>Reference_Dropdown1!$C$5</xm:f>
            <x14:dxf>
              <font>
                <color theme="0"/>
              </font>
              <fill>
                <patternFill>
                  <bgColor rgb="FF9900CC"/>
                </patternFill>
              </fill>
            </x14:dxf>
          </x14:cfRule>
          <x14:cfRule type="cellIs" priority="47" operator="equal" id="{7C2D8B72-AB2A-4B70-8390-DB8F54DC202C}">
            <xm:f>Reference_Dropdown1!$C$6</xm:f>
            <x14:dxf>
              <fill>
                <patternFill>
                  <bgColor rgb="FFFF99FF"/>
                </patternFill>
              </fill>
            </x14:dxf>
          </x14:cfRule>
          <x14:cfRule type="cellIs" priority="48" operator="equal" id="{40E09BF1-D46D-4A31-B845-61F490469E8B}">
            <xm:f>Reference_Dropdown1!$C$7</xm:f>
            <x14:dxf>
              <font>
                <color theme="0"/>
              </font>
              <fill>
                <patternFill>
                  <bgColor theme="4" tint="-0.24994659260841701"/>
                </patternFill>
              </fill>
            </x14:dxf>
          </x14:cfRule>
          <x14:cfRule type="cellIs" priority="49" operator="equal" id="{2C603D0F-3A8F-4E74-832D-7AB837E34749}">
            <xm:f>Reference_Dropdown1!$C$8</xm:f>
            <x14:dxf>
              <font>
                <color theme="0"/>
              </font>
              <fill>
                <patternFill>
                  <bgColor theme="9" tint="-0.24994659260841701"/>
                </patternFill>
              </fill>
            </x14:dxf>
          </x14:cfRule>
          <x14:cfRule type="cellIs" priority="50" operator="equal" id="{20F1CB25-A736-484C-997C-CA656B669966}">
            <xm:f>Reference_Dropdown1!$C$9</xm:f>
            <x14:dxf>
              <font>
                <color theme="0"/>
              </font>
              <fill>
                <patternFill>
                  <bgColor rgb="FF7030A0"/>
                </patternFill>
              </fill>
            </x14:dxf>
          </x14:cfRule>
          <x14:cfRule type="cellIs" priority="51" operator="equal" id="{CF6EFC8F-ADBB-4023-99ED-61059A71869B}">
            <xm:f>Reference_Dropdown1!#REF!</xm:f>
            <x14:dxf>
              <font>
                <color theme="1"/>
              </font>
              <fill>
                <patternFill>
                  <bgColor theme="4" tint="0.79998168889431442"/>
                </patternFill>
              </fill>
            </x14:dxf>
          </x14:cfRule>
          <x14:cfRule type="cellIs" priority="52" operator="equal" id="{79C8FF26-B019-4490-87AF-8E6B02EEC8CD}">
            <xm:f>Reference_Dropdown1!$C$11</xm:f>
            <x14:dxf>
              <font>
                <color theme="1"/>
              </font>
              <fill>
                <patternFill>
                  <bgColor theme="4" tint="0.39994506668294322"/>
                </patternFill>
              </fill>
            </x14:dxf>
          </x14:cfRule>
          <x14:cfRule type="cellIs" priority="53" operator="equal" id="{77B6A694-B807-44AB-A992-2E8DD869282E}">
            <xm:f>Reference_Dropdown1!#REF!</xm:f>
            <x14:dxf>
              <font>
                <color theme="0"/>
              </font>
              <fill>
                <patternFill>
                  <bgColor theme="4" tint="-0.24994659260841701"/>
                </patternFill>
              </fill>
            </x14:dxf>
          </x14:cfRule>
          <x14:cfRule type="cellIs" priority="54" operator="equal" id="{E09424BD-0F37-4590-AA1C-509F4F540E8C}">
            <xm:f>Reference_Dropdown1!$C$12</xm:f>
            <x14:dxf>
              <font>
                <color theme="1"/>
              </font>
              <fill>
                <patternFill>
                  <bgColor theme="0" tint="-0.14996795556505021"/>
                </patternFill>
              </fill>
            </x14:dxf>
          </x14:cfRule>
          <x14:cfRule type="cellIs" priority="55" operator="equal" id="{65DECA95-7F47-40A1-98DA-EE5456FAE605}">
            <xm:f>Reference_Dropdown1!$C$13</xm:f>
            <x14:dxf>
              <font>
                <color theme="0"/>
              </font>
              <fill>
                <patternFill>
                  <bgColor theme="0" tint="-0.499984740745262"/>
                </patternFill>
              </fill>
            </x14:dxf>
          </x14:cfRule>
          <x14:cfRule type="cellIs" priority="56" operator="equal" id="{887513AA-E298-4973-8831-5F0573D05403}">
            <xm:f>Reference_Dropdown1!$C$14</xm:f>
            <x14:dxf>
              <font>
                <color theme="0"/>
              </font>
              <fill>
                <patternFill>
                  <bgColor theme="1" tint="0.24994659260841701"/>
                </patternFill>
              </fill>
            </x14:dxf>
          </x14:cfRule>
          <x14:cfRule type="cellIs" priority="57" operator="equal" id="{A09D1DAA-5FD5-4847-B9EE-EB32ACBD5721}">
            <xm:f>Reference_Dropdown1!#REF!</xm:f>
            <x14:dxf>
              <font>
                <color theme="1"/>
              </font>
              <fill>
                <patternFill>
                  <bgColor theme="9" tint="0.79998168889431442"/>
                </patternFill>
              </fill>
            </x14:dxf>
          </x14:cfRule>
          <x14:cfRule type="cellIs" priority="58" operator="equal" id="{E9E0E9C9-4419-447D-BEB8-B7E972C423EE}">
            <xm:f>Reference_Dropdown1!#REF!</xm:f>
            <x14:dxf>
              <font>
                <color theme="1"/>
              </font>
              <fill>
                <patternFill>
                  <bgColor theme="9" tint="0.59996337778862885"/>
                </patternFill>
              </fill>
            </x14:dxf>
          </x14:cfRule>
          <x14:cfRule type="cellIs" priority="59" operator="equal" id="{2698BF97-0D48-4CA3-B591-BC586582F0E1}">
            <xm:f>Reference_Dropdown1!#REF!</xm:f>
            <x14:dxf>
              <font>
                <color theme="1"/>
              </font>
              <fill>
                <patternFill>
                  <bgColor theme="5" tint="0.79998168889431442"/>
                </patternFill>
              </fill>
            </x14:dxf>
          </x14:cfRule>
          <x14:cfRule type="cellIs" priority="60" operator="equal" id="{693477C9-8D92-435B-AF07-B5FB0917B206}">
            <xm:f>Reference_Dropdown1!$C$15</xm:f>
            <x14:dxf>
              <font>
                <color theme="1"/>
              </font>
              <fill>
                <patternFill>
                  <bgColor theme="5" tint="0.59996337778862885"/>
                </patternFill>
              </fill>
            </x14:dxf>
          </x14:cfRule>
          <x14:cfRule type="cellIs" priority="61" operator="equal" id="{35EF0A05-9B82-4417-AE30-393DE870B811}">
            <xm:f>Reference_Dropdown1!$C$16</xm:f>
            <x14:dxf>
              <font>
                <color theme="1"/>
              </font>
              <fill>
                <patternFill>
                  <bgColor rgb="FF9999FF"/>
                </patternFill>
              </fill>
            </x14:dxf>
          </x14:cfRule>
          <xm:sqref>A6:A15</xm:sqref>
        </x14:conditionalFormatting>
        <x14:conditionalFormatting xmlns:xm="http://schemas.microsoft.com/office/excel/2006/main">
          <x14:cfRule type="cellIs" priority="7" operator="equal" id="{358193C8-245F-497C-B938-50882FEDA99E}">
            <xm:f>Reference_Dropdown1!$C$17</xm:f>
            <x14:dxf>
              <font>
                <color theme="0"/>
              </font>
              <fill>
                <patternFill>
                  <bgColor theme="9" tint="-0.24994659260841701"/>
                </patternFill>
              </fill>
            </x14:dxf>
          </x14:cfRule>
          <x14:cfRule type="cellIs" priority="8" operator="equal" id="{D60BF8A9-9AE9-4418-9280-047193AAB0C7}">
            <xm:f>Reference_Dropdown1!#REF!</xm:f>
            <x14:dxf>
              <fill>
                <patternFill>
                  <bgColor theme="5" tint="0.79998168889431442"/>
                </patternFill>
              </fill>
            </x14:dxf>
          </x14:cfRule>
          <x14:cfRule type="cellIs" priority="9" operator="equal" id="{F904C624-A258-42F4-B145-8845882AB8BA}">
            <xm:f>Reference_Dropdown1!#REF!</xm:f>
            <x14:dxf>
              <fill>
                <patternFill>
                  <bgColor theme="4" tint="0.79998168889431442"/>
                </patternFill>
              </fill>
            </x14:dxf>
          </x14:cfRule>
          <x14:cfRule type="cellIs" priority="10" operator="equal" id="{EE21488E-95AF-4B84-9E5A-D726D5B80749}">
            <xm:f>Reference_Dropdown1!#REF!</xm:f>
            <x14:dxf>
              <fill>
                <patternFill>
                  <bgColor theme="3" tint="0.59996337778862885"/>
                </patternFill>
              </fill>
            </x14:dxf>
          </x14:cfRule>
          <x14:cfRule type="cellIs" priority="11" operator="equal" id="{AF057FC7-EFA4-41AE-B6D1-80650BB8DAFB}">
            <xm:f>Reference_Dropdown1!#REF!</xm:f>
            <x14:dxf>
              <font>
                <color theme="0"/>
              </font>
              <fill>
                <patternFill>
                  <bgColor theme="5" tint="-0.24994659260841701"/>
                </patternFill>
              </fill>
            </x14:dxf>
          </x14:cfRule>
          <xm:sqref>A13:A38</xm:sqref>
        </x14:conditionalFormatting>
        <x14:conditionalFormatting xmlns:xm="http://schemas.microsoft.com/office/excel/2006/main">
          <x14:cfRule type="cellIs" priority="2" operator="equal" id="{183B4508-697E-4238-9FA9-1921220378B1}">
            <xm:f>Reference_Dropdown1!$C$17</xm:f>
            <x14:dxf>
              <font>
                <color theme="0"/>
              </font>
              <fill>
                <patternFill>
                  <bgColor theme="9" tint="-0.24994659260841701"/>
                </patternFill>
              </fill>
            </x14:dxf>
          </x14:cfRule>
          <x14:cfRule type="cellIs" priority="3" operator="equal" id="{509FDEBC-89BC-4DC5-88F5-E09D5776466D}">
            <xm:f>Reference_Dropdown1!#REF!</xm:f>
            <x14:dxf>
              <fill>
                <patternFill>
                  <bgColor theme="5" tint="0.79998168889431442"/>
                </patternFill>
              </fill>
            </x14:dxf>
          </x14:cfRule>
          <x14:cfRule type="cellIs" priority="4" operator="equal" id="{44CEFC5F-999D-457E-8B2E-7BED218D3F1D}">
            <xm:f>Reference_Dropdown1!#REF!</xm:f>
            <x14:dxf>
              <fill>
                <patternFill>
                  <bgColor theme="4" tint="0.79998168889431442"/>
                </patternFill>
              </fill>
            </x14:dxf>
          </x14:cfRule>
          <x14:cfRule type="cellIs" priority="5" operator="equal" id="{AEA02441-8AFD-4477-B109-8920C1D9B040}">
            <xm:f>Reference_Dropdown1!#REF!</xm:f>
            <x14:dxf>
              <fill>
                <patternFill>
                  <bgColor theme="3" tint="0.59996337778862885"/>
                </patternFill>
              </fill>
            </x14:dxf>
          </x14:cfRule>
          <x14:cfRule type="cellIs" priority="6" operator="equal" id="{EC7E023D-E70C-468A-901B-13DA247CA1E0}">
            <xm:f>Reference_Dropdown1!#REF!</xm:f>
            <x14:dxf>
              <font>
                <color theme="0"/>
              </font>
              <fill>
                <patternFill>
                  <bgColor theme="5" tint="-0.24994659260841701"/>
                </patternFill>
              </fill>
            </x14:dxf>
          </x14:cfRule>
          <xm:sqref>A16:A17</xm:sqref>
        </x14:conditionalFormatting>
        <x14:conditionalFormatting xmlns:xm="http://schemas.microsoft.com/office/excel/2006/main">
          <x14:cfRule type="cellIs" priority="12" operator="equal" id="{E7992A8B-D26B-4836-942B-9BBF66379F39}">
            <xm:f>Reference_Dropdown1!#REF!</xm:f>
            <x14:dxf>
              <font>
                <color theme="1"/>
              </font>
              <fill>
                <patternFill>
                  <bgColor theme="7" tint="0.79998168889431442"/>
                </patternFill>
              </fill>
            </x14:dxf>
          </x14:cfRule>
          <x14:cfRule type="cellIs" priority="13" operator="equal" id="{27AB9127-18EF-4A55-8271-2F722E0BEA2B}">
            <xm:f>Reference_Dropdown1!$C$2</xm:f>
            <x14:dxf>
              <font>
                <color theme="1"/>
              </font>
              <fill>
                <patternFill>
                  <bgColor rgb="FFCCCCFF"/>
                </patternFill>
              </fill>
            </x14:dxf>
          </x14:cfRule>
          <x14:cfRule type="cellIs" priority="14" operator="equal" id="{8A616F7A-16AB-487A-A1D0-382416B38B58}">
            <xm:f>Reference_Dropdown1!$C$3</xm:f>
            <x14:dxf>
              <font>
                <color auto="1"/>
              </font>
              <fill>
                <patternFill>
                  <bgColor rgb="FFFFC000"/>
                </patternFill>
              </fill>
            </x14:dxf>
          </x14:cfRule>
          <x14:cfRule type="cellIs" priority="15" operator="equal" id="{4B841FD9-D37C-4707-88D5-E19D57C78FC6}">
            <xm:f>Reference_Dropdown1!$C$4</xm:f>
            <x14:dxf>
              <fill>
                <patternFill>
                  <bgColor rgb="FFFFFF00"/>
                </patternFill>
              </fill>
            </x14:dxf>
          </x14:cfRule>
          <x14:cfRule type="cellIs" priority="16" operator="equal" id="{1811E266-BC25-41F1-813B-9179459FFD7B}">
            <xm:f>Reference_Dropdown1!$C$5</xm:f>
            <x14:dxf>
              <font>
                <color theme="0"/>
              </font>
              <fill>
                <patternFill>
                  <bgColor rgb="FF9900CC"/>
                </patternFill>
              </fill>
            </x14:dxf>
          </x14:cfRule>
          <x14:cfRule type="cellIs" priority="17" operator="equal" id="{44DCE2A8-F9E8-476A-B320-6DE4287CA977}">
            <xm:f>Reference_Dropdown1!$C$6</xm:f>
            <x14:dxf>
              <fill>
                <patternFill>
                  <bgColor rgb="FFFF99FF"/>
                </patternFill>
              </fill>
            </x14:dxf>
          </x14:cfRule>
          <x14:cfRule type="cellIs" priority="18" operator="equal" id="{2FFB9951-5B05-4B81-A091-6C0B37ACDA17}">
            <xm:f>Reference_Dropdown1!$C$7</xm:f>
            <x14:dxf>
              <font>
                <color theme="0"/>
              </font>
              <fill>
                <patternFill>
                  <bgColor theme="4" tint="-0.24994659260841701"/>
                </patternFill>
              </fill>
            </x14:dxf>
          </x14:cfRule>
          <x14:cfRule type="cellIs" priority="19" operator="equal" id="{99DAE7C6-0870-48EA-88CD-64CF9B0F7A6E}">
            <xm:f>Reference_Dropdown1!$C$8</xm:f>
            <x14:dxf>
              <font>
                <color theme="0"/>
              </font>
              <fill>
                <patternFill>
                  <bgColor theme="9" tint="-0.24994659260841701"/>
                </patternFill>
              </fill>
            </x14:dxf>
          </x14:cfRule>
          <x14:cfRule type="cellIs" priority="20" operator="equal" id="{FFB46484-7D21-4D57-9A68-BA4C177EDAD4}">
            <xm:f>Reference_Dropdown1!$C$9</xm:f>
            <x14:dxf>
              <font>
                <color theme="0"/>
              </font>
              <fill>
                <patternFill>
                  <bgColor rgb="FF7030A0"/>
                </patternFill>
              </fill>
            </x14:dxf>
          </x14:cfRule>
          <x14:cfRule type="cellIs" priority="21" operator="equal" id="{90600975-6C6D-4F41-8280-8C3DDCC0BBB5}">
            <xm:f>Reference_Dropdown1!#REF!</xm:f>
            <x14:dxf>
              <font>
                <color theme="1"/>
              </font>
              <fill>
                <patternFill>
                  <bgColor theme="4" tint="0.79998168889431442"/>
                </patternFill>
              </fill>
            </x14:dxf>
          </x14:cfRule>
          <x14:cfRule type="cellIs" priority="22" operator="equal" id="{1920B9F2-EF1D-46D9-ABDF-E8CD00C5FF22}">
            <xm:f>Reference_Dropdown1!$C$11</xm:f>
            <x14:dxf>
              <font>
                <color theme="1"/>
              </font>
              <fill>
                <patternFill>
                  <bgColor theme="4" tint="0.39994506668294322"/>
                </patternFill>
              </fill>
            </x14:dxf>
          </x14:cfRule>
          <x14:cfRule type="cellIs" priority="23" operator="equal" id="{43CFF881-B253-49F7-8D11-C1A70206D8A6}">
            <xm:f>Reference_Dropdown1!#REF!</xm:f>
            <x14:dxf>
              <font>
                <color theme="0"/>
              </font>
              <fill>
                <patternFill>
                  <bgColor theme="4" tint="-0.24994659260841701"/>
                </patternFill>
              </fill>
            </x14:dxf>
          </x14:cfRule>
          <x14:cfRule type="cellIs" priority="24" operator="equal" id="{2C6A8E82-2C76-4E58-A6B9-DB4CBB9EB708}">
            <xm:f>Reference_Dropdown1!$C$12</xm:f>
            <x14:dxf>
              <font>
                <color theme="1"/>
              </font>
              <fill>
                <patternFill>
                  <bgColor theme="0" tint="-0.14996795556505021"/>
                </patternFill>
              </fill>
            </x14:dxf>
          </x14:cfRule>
          <x14:cfRule type="cellIs" priority="25" operator="equal" id="{686F1B9B-D728-489C-A218-5BF5823C272F}">
            <xm:f>Reference_Dropdown1!$C$13</xm:f>
            <x14:dxf>
              <font>
                <color theme="0"/>
              </font>
              <fill>
                <patternFill>
                  <bgColor theme="0" tint="-0.499984740745262"/>
                </patternFill>
              </fill>
            </x14:dxf>
          </x14:cfRule>
          <x14:cfRule type="cellIs" priority="26" operator="equal" id="{7E946863-4E89-4561-90AF-DAAA96D553F4}">
            <xm:f>Reference_Dropdown1!$C$14</xm:f>
            <x14:dxf>
              <font>
                <color theme="0"/>
              </font>
              <fill>
                <patternFill>
                  <bgColor theme="1" tint="0.24994659260841701"/>
                </patternFill>
              </fill>
            </x14:dxf>
          </x14:cfRule>
          <x14:cfRule type="cellIs" priority="27" operator="equal" id="{43F0E12D-6B6C-4598-9738-26EFCFED035C}">
            <xm:f>Reference_Dropdown1!#REF!</xm:f>
            <x14:dxf>
              <font>
                <color theme="1"/>
              </font>
              <fill>
                <patternFill>
                  <bgColor theme="9" tint="0.79998168889431442"/>
                </patternFill>
              </fill>
            </x14:dxf>
          </x14:cfRule>
          <x14:cfRule type="cellIs" priority="28" operator="equal" id="{A658887D-379C-4638-865B-5D1B9F7C98D1}">
            <xm:f>Reference_Dropdown1!#REF!</xm:f>
            <x14:dxf>
              <font>
                <color theme="1"/>
              </font>
              <fill>
                <patternFill>
                  <bgColor theme="9" tint="0.59996337778862885"/>
                </patternFill>
              </fill>
            </x14:dxf>
          </x14:cfRule>
          <x14:cfRule type="cellIs" priority="29" operator="equal" id="{043FBC66-C9A6-4925-A623-416E7D7745D9}">
            <xm:f>Reference_Dropdown1!#REF!</xm:f>
            <x14:dxf>
              <font>
                <color theme="1"/>
              </font>
              <fill>
                <patternFill>
                  <bgColor theme="5" tint="0.79998168889431442"/>
                </patternFill>
              </fill>
            </x14:dxf>
          </x14:cfRule>
          <x14:cfRule type="cellIs" priority="30" operator="equal" id="{568CD142-15E2-47CC-888F-E711C9550D9B}">
            <xm:f>Reference_Dropdown1!$C$15</xm:f>
            <x14:dxf>
              <font>
                <color theme="1"/>
              </font>
              <fill>
                <patternFill>
                  <bgColor theme="5" tint="0.59996337778862885"/>
                </patternFill>
              </fill>
            </x14:dxf>
          </x14:cfRule>
          <x14:cfRule type="cellIs" priority="31" operator="equal" id="{0BEF00B0-A023-4D4D-B9A6-A22FEB76F6B3}">
            <xm:f>Reference_Dropdown1!$C$16</xm:f>
            <x14:dxf>
              <font>
                <color theme="1"/>
              </font>
              <fill>
                <patternFill>
                  <bgColor rgb="FF9999FF"/>
                </patternFill>
              </fill>
            </x14:dxf>
          </x14:cfRule>
          <xm:sqref>A16:A38</xm:sqref>
        </x14:conditionalFormatting>
        <x14:conditionalFormatting xmlns:xm="http://schemas.microsoft.com/office/excel/2006/main">
          <x14:cfRule type="cellIs" priority="6836" operator="equal" id="{EF0C2FC3-71C1-498D-82D4-4384C80533A9}">
            <xm:f>Reference_Dropdown1!#REF!</xm:f>
            <x14:dxf>
              <font>
                <color theme="1"/>
              </font>
              <fill>
                <patternFill>
                  <bgColor theme="7" tint="0.79998168889431442"/>
                </patternFill>
              </fill>
            </x14:dxf>
          </x14:cfRule>
          <x14:cfRule type="cellIs" priority="6837" operator="equal" id="{7805AE09-6D20-463C-904A-F947F374BF38}">
            <xm:f>Reference_Dropdown1!$C$2</xm:f>
            <x14:dxf>
              <font>
                <color theme="1"/>
              </font>
              <fill>
                <patternFill>
                  <bgColor rgb="FFCCCCFF"/>
                </patternFill>
              </fill>
            </x14:dxf>
          </x14:cfRule>
          <x14:cfRule type="cellIs" priority="6838" operator="equal" id="{531C31B6-89DC-49BD-8893-8E88A5A3FD1B}">
            <xm:f>Reference_Dropdown1!$C$3</xm:f>
            <x14:dxf>
              <font>
                <color auto="1"/>
              </font>
              <fill>
                <patternFill>
                  <bgColor rgb="FFFFC000"/>
                </patternFill>
              </fill>
            </x14:dxf>
          </x14:cfRule>
          <x14:cfRule type="cellIs" priority="6839" operator="equal" id="{7B19207F-DC4B-4B46-A536-83EA14BA2DC0}">
            <xm:f>Reference_Dropdown1!$C$4</xm:f>
            <x14:dxf>
              <fill>
                <patternFill>
                  <bgColor rgb="FFFFFF00"/>
                </patternFill>
              </fill>
            </x14:dxf>
          </x14:cfRule>
          <x14:cfRule type="cellIs" priority="6840" operator="equal" id="{D2E0F579-F172-43B1-B84B-62616AD11EB7}">
            <xm:f>Reference_Dropdown1!$C$5</xm:f>
            <x14:dxf>
              <font>
                <color theme="0"/>
              </font>
              <fill>
                <patternFill>
                  <bgColor rgb="FF9900CC"/>
                </patternFill>
              </fill>
            </x14:dxf>
          </x14:cfRule>
          <x14:cfRule type="cellIs" priority="6841" operator="equal" id="{C438BA75-8296-48B6-A193-A061E3F307FB}">
            <xm:f>Reference_Dropdown1!$C$6</xm:f>
            <x14:dxf>
              <fill>
                <patternFill>
                  <bgColor rgb="FFFF99FF"/>
                </patternFill>
              </fill>
            </x14:dxf>
          </x14:cfRule>
          <x14:cfRule type="cellIs" priority="6842" operator="equal" id="{857F621D-4A0C-4C79-A44A-34699A023276}">
            <xm:f>Reference_Dropdown1!$C$7</xm:f>
            <x14:dxf>
              <font>
                <color theme="0"/>
              </font>
              <fill>
                <patternFill>
                  <bgColor theme="4" tint="-0.24994659260841701"/>
                </patternFill>
              </fill>
            </x14:dxf>
          </x14:cfRule>
          <x14:cfRule type="cellIs" priority="6843" operator="equal" id="{E1F5554C-8493-4E05-AEE2-EAC5317C92DB}">
            <xm:f>Reference_Dropdown1!$C$8</xm:f>
            <x14:dxf>
              <font>
                <color theme="0"/>
              </font>
              <fill>
                <patternFill>
                  <bgColor theme="9" tint="-0.24994659260841701"/>
                </patternFill>
              </fill>
            </x14:dxf>
          </x14:cfRule>
          <x14:cfRule type="cellIs" priority="6844" operator="equal" id="{9549B3B1-C7EF-44E6-900B-E3C3186DA3BE}">
            <xm:f>Reference_Dropdown1!$C$9</xm:f>
            <x14:dxf>
              <font>
                <color theme="0"/>
              </font>
              <fill>
                <patternFill>
                  <bgColor rgb="FF7030A0"/>
                </patternFill>
              </fill>
            </x14:dxf>
          </x14:cfRule>
          <x14:cfRule type="cellIs" priority="6845" operator="equal" id="{F60DA419-B917-4BFC-BE25-3DE27161B14B}">
            <xm:f>Reference_Dropdown1!#REF!</xm:f>
            <x14:dxf>
              <font>
                <color theme="1"/>
              </font>
              <fill>
                <patternFill>
                  <bgColor theme="4" tint="0.79998168889431442"/>
                </patternFill>
              </fill>
            </x14:dxf>
          </x14:cfRule>
          <x14:cfRule type="cellIs" priority="6846" operator="equal" id="{3BBF486D-9B34-48AA-B04B-525179B8535D}">
            <xm:f>Reference_Dropdown1!$C$11</xm:f>
            <x14:dxf>
              <font>
                <color theme="1"/>
              </font>
              <fill>
                <patternFill>
                  <bgColor theme="4" tint="0.39994506668294322"/>
                </patternFill>
              </fill>
            </x14:dxf>
          </x14:cfRule>
          <x14:cfRule type="cellIs" priority="6847" operator="equal" id="{2B374E64-8E9A-444D-A981-0F4DBED863BC}">
            <xm:f>Reference_Dropdown1!#REF!</xm:f>
            <x14:dxf>
              <font>
                <color theme="0"/>
              </font>
              <fill>
                <patternFill>
                  <bgColor theme="4" tint="-0.24994659260841701"/>
                </patternFill>
              </fill>
            </x14:dxf>
          </x14:cfRule>
          <x14:cfRule type="cellIs" priority="6848" operator="equal" id="{8F24A7F0-D8FB-4F2B-A8D0-A6FD94A708C6}">
            <xm:f>Reference_Dropdown1!$C$12</xm:f>
            <x14:dxf>
              <font>
                <color theme="1"/>
              </font>
              <fill>
                <patternFill>
                  <bgColor theme="0" tint="-0.14996795556505021"/>
                </patternFill>
              </fill>
            </x14:dxf>
          </x14:cfRule>
          <x14:cfRule type="cellIs" priority="6849" operator="equal" id="{CD9A748B-C681-4CF9-98FD-0C9FDCE32EF0}">
            <xm:f>Reference_Dropdown1!$C$13</xm:f>
            <x14:dxf>
              <font>
                <color theme="0"/>
              </font>
              <fill>
                <patternFill>
                  <bgColor theme="0" tint="-0.499984740745262"/>
                </patternFill>
              </fill>
            </x14:dxf>
          </x14:cfRule>
          <x14:cfRule type="cellIs" priority="6850" operator="equal" id="{E3A09092-B7F9-4E04-93BA-5A2C582288E2}">
            <xm:f>Reference_Dropdown1!$C$14</xm:f>
            <x14:dxf>
              <font>
                <color theme="0"/>
              </font>
              <fill>
                <patternFill>
                  <bgColor theme="1" tint="0.24994659260841701"/>
                </patternFill>
              </fill>
            </x14:dxf>
          </x14:cfRule>
          <x14:cfRule type="cellIs" priority="6851" operator="equal" id="{0982DCE9-BBD1-43F9-8F01-D20B473F5567}">
            <xm:f>Reference_Dropdown1!#REF!</xm:f>
            <x14:dxf>
              <font>
                <color theme="1"/>
              </font>
              <fill>
                <patternFill>
                  <bgColor theme="9" tint="0.79998168889431442"/>
                </patternFill>
              </fill>
            </x14:dxf>
          </x14:cfRule>
          <x14:cfRule type="cellIs" priority="6852" operator="equal" id="{2556DECC-9904-408F-93A5-20A4105CEA3C}">
            <xm:f>Reference_Dropdown1!#REF!</xm:f>
            <x14:dxf>
              <font>
                <color theme="1"/>
              </font>
              <fill>
                <patternFill>
                  <bgColor theme="9" tint="0.59996337778862885"/>
                </patternFill>
              </fill>
            </x14:dxf>
          </x14:cfRule>
          <x14:cfRule type="cellIs" priority="6853" operator="equal" id="{A09D1914-3AB3-4D43-A94F-9BB18D4EA9A5}">
            <xm:f>Reference_Dropdown1!#REF!</xm:f>
            <x14:dxf>
              <font>
                <color theme="1"/>
              </font>
              <fill>
                <patternFill>
                  <bgColor theme="5" tint="0.79998168889431442"/>
                </patternFill>
              </fill>
            </x14:dxf>
          </x14:cfRule>
          <x14:cfRule type="cellIs" priority="6854" operator="equal" id="{7D06A7FB-0EEE-4E93-A219-29B79CDE390C}">
            <xm:f>Reference_Dropdown1!$C$15</xm:f>
            <x14:dxf>
              <font>
                <color theme="1"/>
              </font>
              <fill>
                <patternFill>
                  <bgColor theme="5" tint="0.59996337778862885"/>
                </patternFill>
              </fill>
            </x14:dxf>
          </x14:cfRule>
          <x14:cfRule type="cellIs" priority="6855" operator="equal" id="{CDC739F4-E6F4-44C1-8856-10494192D876}">
            <xm:f>Reference_Dropdown1!$C$16</xm:f>
            <x14:dxf>
              <font>
                <color theme="1"/>
              </font>
              <fill>
                <patternFill>
                  <bgColor rgb="FF9999FF"/>
                </patternFill>
              </fill>
            </x14:dxf>
          </x14:cfRule>
          <xm:sqref>A2:B4</xm:sqref>
        </x14:conditionalFormatting>
        <x14:conditionalFormatting xmlns:xm="http://schemas.microsoft.com/office/excel/2006/main">
          <x14:cfRule type="expression" priority="6246" id="{64FB30DF-D54E-4674-8940-C14668C4771C}">
            <xm:f>OR(A2='Prix et modèle des ECF''	'!#REF!,A2='Prix et modèle des ECF''	'!#REF!,A2='Prix et modèle des ECF''	'!#REF!,A2='Prix et modèle des ECF''	'!#REF!,A2='Prix et modèle des ECF''	'!#REF!)</xm:f>
            <x14:dxf>
              <font>
                <color theme="1"/>
              </font>
              <fill>
                <patternFill>
                  <bgColor theme="1" tint="0.499984740745262"/>
                </patternFill>
              </fill>
            </x14:dxf>
          </x14:cfRule>
          <xm:sqref>H2:H5</xm:sqref>
        </x14:conditionalFormatting>
      </x14:conditionalFormattings>
    </ext>
    <ext xmlns:x14="http://schemas.microsoft.com/office/spreadsheetml/2009/9/main" uri="{CCE6A557-97BC-4b89-ADB6-D9C93CAAB3DF}">
      <x14:dataValidations xmlns:xm="http://schemas.microsoft.com/office/excel/2006/main" xWindow="849" yWindow="616" count="3">
        <x14:dataValidation type="list" allowBlank="1" showInputMessage="1" showErrorMessage="1" xr:uid="{56BDEE50-EEC1-4791-AC1C-633F58E1CCD2}">
          <x14:formula1>
            <xm:f>Reference_Dropdown1!$C$29:$C$30</xm:f>
          </x14:formula1>
          <xm:sqref>J40:O40 W40:X40 AI40:AJ40</xm:sqref>
        </x14:dataValidation>
        <x14:dataValidation type="list" allowBlank="1" showInputMessage="1" showErrorMessage="1" xr:uid="{74AFB79B-7CF6-4124-B29F-7DE30BCA7544}">
          <x14:formula1>
            <xm:f>Reference_Dropdown1!$C$33:$C$43</xm:f>
          </x14:formula1>
          <xm:sqref>K3 AN3 AL3 AJ3 AB3 Z3 X3 O3 M3</xm:sqref>
        </x14:dataValidation>
        <x14:dataValidation type="list" allowBlank="1" showInputMessage="1" showErrorMessage="1" xr:uid="{B08D7D9A-AD6E-45EF-91B1-15D393F0DF73}">
          <x14:formula1>
            <xm:f>Dropdowns3_countries!$D$3:$D$4</xm:f>
          </x14:formula1>
          <xm:sqref>P60:S60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225"/>
  <sheetViews>
    <sheetView showGridLines="0" zoomScale="80" zoomScaleNormal="80" zoomScaleSheetLayoutView="25" workbookViewId="0">
      <pane xSplit="1" ySplit="3" topLeftCell="B4" activePane="bottomRight" state="frozen"/>
      <selection pane="topRight"/>
      <selection pane="bottomLeft"/>
      <selection pane="bottomRight" activeCell="B223" sqref="B223"/>
    </sheetView>
  </sheetViews>
  <sheetFormatPr defaultColWidth="9.1796875" defaultRowHeight="14.5" outlineLevelCol="2" x14ac:dyDescent="0.35"/>
  <cols>
    <col min="1" max="1" width="5.453125" customWidth="1"/>
    <col min="2" max="2" width="30.36328125" customWidth="1"/>
    <col min="3" max="3" width="15.453125" customWidth="1"/>
    <col min="4" max="4" width="18.453125" style="15" customWidth="1"/>
    <col min="5" max="5" width="39.453125" style="15" customWidth="1"/>
    <col min="6" max="15" width="15.453125" customWidth="1"/>
    <col min="16" max="25" width="10.453125" customWidth="1"/>
    <col min="26" max="26" width="9.1796875" customWidth="1"/>
    <col min="27" max="29" width="9.1796875" hidden="1" customWidth="1" outlineLevel="2"/>
    <col min="30" max="30" width="9.1796875" hidden="1" customWidth="1" outlineLevel="1" collapsed="1"/>
    <col min="31" max="33" width="9.1796875" hidden="1" customWidth="1" outlineLevel="1"/>
    <col min="34" max="34" width="10.453125" hidden="1" customWidth="1" outlineLevel="1"/>
    <col min="35" max="35" width="9.1796875" collapsed="1"/>
  </cols>
  <sheetData>
    <row r="1" spans="1:34" ht="23.25" customHeight="1" thickBot="1" x14ac:dyDescent="0.4">
      <c r="A1" s="17" t="s">
        <v>252</v>
      </c>
      <c r="B1" s="16"/>
      <c r="C1" s="16"/>
      <c r="D1" s="16"/>
      <c r="E1" s="21"/>
      <c r="F1" s="21"/>
      <c r="G1" s="64"/>
      <c r="H1" s="21"/>
      <c r="I1" s="21"/>
      <c r="J1" s="21"/>
      <c r="K1" s="21"/>
      <c r="L1" s="21"/>
      <c r="M1" s="21"/>
      <c r="N1" s="21"/>
      <c r="O1" s="22"/>
      <c r="P1" s="22"/>
      <c r="Q1" s="22"/>
      <c r="R1" s="22"/>
      <c r="S1" s="22"/>
      <c r="T1" s="22"/>
      <c r="U1" s="22"/>
      <c r="V1" s="22"/>
      <c r="W1" s="22"/>
      <c r="X1" s="22"/>
      <c r="Y1" s="22"/>
    </row>
    <row r="2" spans="1:34" ht="58.5" customHeight="1" thickBot="1" x14ac:dyDescent="0.4">
      <c r="E2" s="23"/>
      <c r="F2" s="22"/>
      <c r="G2" s="22"/>
      <c r="H2" s="22"/>
      <c r="I2" s="22"/>
      <c r="J2" s="458" t="s">
        <v>251</v>
      </c>
      <c r="K2" s="459"/>
      <c r="L2" s="460" t="s">
        <v>253</v>
      </c>
      <c r="M2" s="461"/>
      <c r="N2" s="22"/>
      <c r="O2" s="22"/>
      <c r="P2" s="22"/>
      <c r="Q2" s="22"/>
      <c r="R2" s="22"/>
      <c r="S2" s="22"/>
      <c r="T2" s="22"/>
      <c r="U2" s="22"/>
      <c r="V2" s="22"/>
      <c r="W2" s="22"/>
      <c r="X2" s="22"/>
      <c r="Y2" s="22"/>
    </row>
    <row r="3" spans="1:34" s="7" customFormat="1" ht="40.5" customHeight="1" thickTop="1" x14ac:dyDescent="0.35">
      <c r="A3" s="5" t="s">
        <v>6</v>
      </c>
      <c r="B3" s="5" t="s">
        <v>254</v>
      </c>
      <c r="C3" s="5" t="s">
        <v>255</v>
      </c>
      <c r="D3" s="6" t="s">
        <v>256</v>
      </c>
      <c r="E3" s="6" t="s">
        <v>257</v>
      </c>
      <c r="F3" s="5" t="s">
        <v>258</v>
      </c>
      <c r="G3" s="5" t="s">
        <v>259</v>
      </c>
      <c r="H3" s="5" t="s">
        <v>260</v>
      </c>
      <c r="I3" s="53" t="s">
        <v>265</v>
      </c>
      <c r="J3" s="65" t="s">
        <v>261</v>
      </c>
      <c r="K3" s="66" t="s">
        <v>262</v>
      </c>
      <c r="L3" s="54" t="s">
        <v>261</v>
      </c>
      <c r="M3" s="59" t="s">
        <v>262</v>
      </c>
      <c r="N3" s="54" t="s">
        <v>263</v>
      </c>
      <c r="O3" s="5" t="s">
        <v>264</v>
      </c>
      <c r="P3" s="68"/>
      <c r="Q3" s="25"/>
      <c r="R3" s="25"/>
      <c r="S3" s="25"/>
      <c r="T3" s="25"/>
      <c r="U3" s="25"/>
      <c r="V3" s="25"/>
      <c r="W3" s="25"/>
      <c r="X3" s="25"/>
      <c r="Y3" s="25"/>
      <c r="AA3" s="14" t="s">
        <v>5</v>
      </c>
      <c r="AH3" s="7" t="s">
        <v>7</v>
      </c>
    </row>
    <row r="4" spans="1:34" s="3" customFormat="1" ht="27" customHeight="1" thickBot="1" x14ac:dyDescent="0.4">
      <c r="A4" s="62">
        <v>1</v>
      </c>
      <c r="B4" s="242" t="s">
        <v>266</v>
      </c>
      <c r="C4" s="42" t="s">
        <v>231</v>
      </c>
      <c r="D4" s="43" t="s">
        <v>13</v>
      </c>
      <c r="E4" s="43" t="s">
        <v>14</v>
      </c>
      <c r="F4" s="19">
        <v>36.5</v>
      </c>
      <c r="G4" s="19" t="s">
        <v>8</v>
      </c>
      <c r="H4" s="19">
        <v>5.0791666666666666</v>
      </c>
      <c r="I4" s="123">
        <f>3240*1.135</f>
        <v>3677.4</v>
      </c>
      <c r="J4" s="56">
        <v>850</v>
      </c>
      <c r="K4" s="57">
        <v>1350</v>
      </c>
      <c r="L4" s="55" t="s">
        <v>9</v>
      </c>
      <c r="M4" s="57" t="s">
        <v>9</v>
      </c>
      <c r="N4" s="55">
        <f>I4+400</f>
        <v>4077.4</v>
      </c>
      <c r="O4" s="4">
        <f>N4+950</f>
        <v>5027.3999999999996</v>
      </c>
      <c r="P4" s="101"/>
      <c r="Q4" s="24"/>
      <c r="R4" s="24"/>
      <c r="S4" s="24"/>
      <c r="T4" s="24"/>
      <c r="U4" s="24"/>
      <c r="V4" s="24"/>
      <c r="W4" s="24"/>
      <c r="X4" s="24"/>
      <c r="Y4" s="24"/>
      <c r="AA4" s="61"/>
      <c r="AB4" s="61"/>
      <c r="AC4" s="61"/>
    </row>
    <row r="5" spans="1:34" s="3" customFormat="1" ht="27" customHeight="1" thickBot="1" x14ac:dyDescent="0.4">
      <c r="A5" s="62">
        <f>A4+1</f>
        <v>2</v>
      </c>
      <c r="B5" s="242" t="s">
        <v>266</v>
      </c>
      <c r="C5" s="42" t="s">
        <v>231</v>
      </c>
      <c r="D5" s="43" t="s">
        <v>11</v>
      </c>
      <c r="E5" s="43" t="s">
        <v>17</v>
      </c>
      <c r="F5" s="19">
        <v>50.5</v>
      </c>
      <c r="G5" s="19" t="s">
        <v>8</v>
      </c>
      <c r="H5" s="19">
        <v>3.7</v>
      </c>
      <c r="I5" s="123">
        <v>1100</v>
      </c>
      <c r="J5" s="56">
        <v>850</v>
      </c>
      <c r="K5" s="57">
        <v>1350</v>
      </c>
      <c r="L5" s="55" t="s">
        <v>9</v>
      </c>
      <c r="M5" s="57" t="s">
        <v>9</v>
      </c>
      <c r="N5" s="55">
        <f t="shared" ref="N5:N8" si="0">I5+400</f>
        <v>1500</v>
      </c>
      <c r="O5" s="4">
        <f>N5+950</f>
        <v>2450</v>
      </c>
      <c r="P5" s="462" t="s">
        <v>12</v>
      </c>
      <c r="Q5" s="462"/>
      <c r="R5" s="462"/>
      <c r="S5" s="462"/>
      <c r="T5" s="462"/>
      <c r="U5" s="462"/>
      <c r="V5" s="462"/>
      <c r="W5" s="462"/>
      <c r="X5" s="462"/>
      <c r="Y5" s="463"/>
      <c r="Z5" s="8"/>
      <c r="AA5" s="61"/>
      <c r="AB5" s="61"/>
      <c r="AC5" s="61"/>
    </row>
    <row r="6" spans="1:34" s="3" customFormat="1" ht="27" customHeight="1" thickBot="1" x14ac:dyDescent="0.4">
      <c r="A6" s="62">
        <f>A5+1</f>
        <v>3</v>
      </c>
      <c r="B6" s="242" t="s">
        <v>266</v>
      </c>
      <c r="C6" s="42" t="s">
        <v>231</v>
      </c>
      <c r="D6" s="43" t="s">
        <v>11</v>
      </c>
      <c r="E6" s="43" t="s">
        <v>464</v>
      </c>
      <c r="F6" s="19">
        <v>50.5</v>
      </c>
      <c r="G6" s="19" t="s">
        <v>8</v>
      </c>
      <c r="H6" s="19">
        <v>3.7</v>
      </c>
      <c r="I6" s="123">
        <f>I5+646</f>
        <v>1746</v>
      </c>
      <c r="J6" s="56">
        <v>850</v>
      </c>
      <c r="K6" s="57">
        <v>1350</v>
      </c>
      <c r="L6" s="55" t="s">
        <v>9</v>
      </c>
      <c r="M6" s="57" t="s">
        <v>9</v>
      </c>
      <c r="N6" s="55">
        <f t="shared" si="0"/>
        <v>2146</v>
      </c>
      <c r="O6" s="4">
        <f>N6+950</f>
        <v>3096</v>
      </c>
      <c r="P6" s="90"/>
      <c r="Q6" s="90"/>
      <c r="R6" s="90"/>
      <c r="S6" s="90"/>
      <c r="T6" s="90"/>
      <c r="U6" s="90"/>
      <c r="V6" s="90"/>
      <c r="W6" s="90"/>
      <c r="X6" s="90"/>
      <c r="Y6" s="69"/>
      <c r="Z6" s="8"/>
      <c r="AA6" s="61"/>
      <c r="AB6" s="61"/>
      <c r="AC6" s="61"/>
    </row>
    <row r="7" spans="1:34" s="3" customFormat="1" ht="27" customHeight="1" thickBot="1" x14ac:dyDescent="0.4">
      <c r="A7" s="62">
        <f t="shared" ref="A7:A70" si="1">A6+1</f>
        <v>4</v>
      </c>
      <c r="B7" s="242" t="s">
        <v>266</v>
      </c>
      <c r="C7" s="42" t="s">
        <v>231</v>
      </c>
      <c r="D7" s="43" t="s">
        <v>19</v>
      </c>
      <c r="E7" s="43" t="s">
        <v>145</v>
      </c>
      <c r="F7" s="19">
        <v>38</v>
      </c>
      <c r="G7" s="19" t="s">
        <v>8</v>
      </c>
      <c r="H7" s="19">
        <v>2.4</v>
      </c>
      <c r="I7" s="123">
        <f>1301*1.135</f>
        <v>1476.635</v>
      </c>
      <c r="J7" s="56">
        <v>850</v>
      </c>
      <c r="K7" s="57">
        <v>1350</v>
      </c>
      <c r="L7" s="55" t="s">
        <v>9</v>
      </c>
      <c r="M7" s="57" t="s">
        <v>9</v>
      </c>
      <c r="N7" s="55">
        <f t="shared" si="0"/>
        <v>1876.635</v>
      </c>
      <c r="O7" s="4">
        <f>N7+950</f>
        <v>2826.6350000000002</v>
      </c>
      <c r="P7" s="462" t="s">
        <v>140</v>
      </c>
      <c r="Q7" s="462"/>
      <c r="R7" s="462"/>
      <c r="S7" s="462"/>
      <c r="T7" s="462"/>
      <c r="U7" s="462"/>
      <c r="V7" s="462"/>
      <c r="W7" s="462"/>
      <c r="X7" s="462"/>
      <c r="Y7" s="463"/>
      <c r="Z7" s="8"/>
    </row>
    <row r="8" spans="1:34" s="3" customFormat="1" ht="27" customHeight="1" thickBot="1" x14ac:dyDescent="0.4">
      <c r="A8" s="62">
        <f t="shared" si="1"/>
        <v>5</v>
      </c>
      <c r="B8" s="242" t="s">
        <v>266</v>
      </c>
      <c r="C8" s="42" t="s">
        <v>231</v>
      </c>
      <c r="D8" s="43" t="s">
        <v>19</v>
      </c>
      <c r="E8" s="43" t="s">
        <v>149</v>
      </c>
      <c r="F8" s="19">
        <v>38</v>
      </c>
      <c r="G8" s="19" t="s">
        <v>8</v>
      </c>
      <c r="H8" s="19">
        <v>2.4</v>
      </c>
      <c r="I8" s="123">
        <f>I7+(1065*1.135)</f>
        <v>2685.41</v>
      </c>
      <c r="J8" s="56">
        <v>850</v>
      </c>
      <c r="K8" s="57">
        <v>1350</v>
      </c>
      <c r="L8" s="55" t="s">
        <v>9</v>
      </c>
      <c r="M8" s="57" t="s">
        <v>9</v>
      </c>
      <c r="N8" s="55">
        <f t="shared" si="0"/>
        <v>3085.41</v>
      </c>
      <c r="O8" s="4">
        <f>N8+950</f>
        <v>4035.41</v>
      </c>
      <c r="P8" s="90"/>
      <c r="Q8" s="90"/>
      <c r="R8" s="90"/>
      <c r="S8" s="90"/>
      <c r="T8" s="90"/>
      <c r="U8" s="90"/>
      <c r="V8" s="90"/>
      <c r="W8" s="90"/>
      <c r="X8" s="90"/>
      <c r="Y8" s="69"/>
      <c r="Z8" s="8"/>
    </row>
    <row r="9" spans="1:34" s="3" customFormat="1" ht="27" customHeight="1" thickBot="1" x14ac:dyDescent="0.4">
      <c r="A9" s="62">
        <f t="shared" si="1"/>
        <v>6</v>
      </c>
      <c r="B9" s="242" t="s">
        <v>266</v>
      </c>
      <c r="C9" s="42" t="s">
        <v>231</v>
      </c>
      <c r="D9" s="43" t="s">
        <v>16</v>
      </c>
      <c r="E9" s="43" t="s">
        <v>529</v>
      </c>
      <c r="F9" s="19">
        <v>50</v>
      </c>
      <c r="G9" s="19" t="s">
        <v>8</v>
      </c>
      <c r="H9" s="19">
        <v>5</v>
      </c>
      <c r="I9" s="123">
        <v>1500</v>
      </c>
      <c r="J9" s="56">
        <v>850</v>
      </c>
      <c r="K9" s="57">
        <v>1350</v>
      </c>
      <c r="L9" s="55" t="s">
        <v>9</v>
      </c>
      <c r="M9" s="57" t="s">
        <v>9</v>
      </c>
      <c r="N9" s="55">
        <f t="shared" ref="N9:N10" si="2">I9+400</f>
        <v>1900</v>
      </c>
      <c r="O9" s="4">
        <f t="shared" ref="O9:O10" si="3">N9+950</f>
        <v>2850</v>
      </c>
      <c r="P9" s="90"/>
      <c r="Q9" s="90"/>
      <c r="R9" s="90"/>
      <c r="S9" s="90"/>
      <c r="T9" s="90"/>
      <c r="U9" s="90"/>
      <c r="V9" s="90"/>
      <c r="W9" s="90"/>
      <c r="X9" s="90"/>
      <c r="Y9" s="69"/>
      <c r="Z9" s="8"/>
    </row>
    <row r="10" spans="1:34" s="3" customFormat="1" ht="27" customHeight="1" thickBot="1" x14ac:dyDescent="0.4">
      <c r="A10" s="62">
        <f t="shared" si="1"/>
        <v>7</v>
      </c>
      <c r="B10" s="242" t="s">
        <v>266</v>
      </c>
      <c r="C10" s="42" t="s">
        <v>231</v>
      </c>
      <c r="D10" s="43" t="s">
        <v>16</v>
      </c>
      <c r="E10" s="43" t="s">
        <v>530</v>
      </c>
      <c r="F10" s="19">
        <v>50</v>
      </c>
      <c r="G10" s="19" t="s">
        <v>8</v>
      </c>
      <c r="H10" s="19">
        <v>5</v>
      </c>
      <c r="I10" s="123">
        <f>I9+1210</f>
        <v>2710</v>
      </c>
      <c r="J10" s="56">
        <v>850</v>
      </c>
      <c r="K10" s="57">
        <v>1350</v>
      </c>
      <c r="L10" s="55" t="s">
        <v>9</v>
      </c>
      <c r="M10" s="57" t="s">
        <v>9</v>
      </c>
      <c r="N10" s="55">
        <f t="shared" si="2"/>
        <v>3110</v>
      </c>
      <c r="O10" s="4">
        <f t="shared" si="3"/>
        <v>4060</v>
      </c>
      <c r="P10" s="90"/>
      <c r="Q10" s="90"/>
      <c r="R10" s="90"/>
      <c r="S10" s="90"/>
      <c r="T10" s="90"/>
      <c r="U10" s="90"/>
      <c r="V10" s="90"/>
      <c r="W10" s="90"/>
      <c r="X10" s="90"/>
      <c r="Y10" s="69"/>
      <c r="Z10" s="8"/>
    </row>
    <row r="11" spans="1:34" s="3" customFormat="1" ht="27" customHeight="1" thickBot="1" x14ac:dyDescent="0.4">
      <c r="A11" s="62">
        <f t="shared" si="1"/>
        <v>8</v>
      </c>
      <c r="B11" s="242" t="s">
        <v>266</v>
      </c>
      <c r="C11" s="42" t="s">
        <v>144</v>
      </c>
      <c r="D11" s="43" t="s">
        <v>10</v>
      </c>
      <c r="E11" s="43" t="s">
        <v>21</v>
      </c>
      <c r="F11" s="19">
        <v>61</v>
      </c>
      <c r="G11" s="19" t="s">
        <v>8</v>
      </c>
      <c r="H11" s="19">
        <v>2.5</v>
      </c>
      <c r="I11" s="124">
        <v>943</v>
      </c>
      <c r="J11" s="56">
        <v>850</v>
      </c>
      <c r="K11" s="57">
        <v>1350</v>
      </c>
      <c r="L11" s="55" t="s">
        <v>9</v>
      </c>
      <c r="M11" s="57" t="s">
        <v>9</v>
      </c>
      <c r="N11" s="55">
        <f>I11+400</f>
        <v>1343</v>
      </c>
      <c r="O11" s="4">
        <f t="shared" ref="O11:O27" si="4">N11+950</f>
        <v>2293</v>
      </c>
      <c r="P11" s="464" t="s">
        <v>15</v>
      </c>
      <c r="Q11" s="464"/>
      <c r="R11" s="464"/>
      <c r="S11" s="464"/>
      <c r="T11" s="464"/>
      <c r="U11" s="464"/>
      <c r="V11" s="464"/>
      <c r="W11" s="464"/>
      <c r="X11" s="464"/>
      <c r="Y11" s="465"/>
      <c r="Z11" s="8"/>
    </row>
    <row r="12" spans="1:34" s="3" customFormat="1" ht="27" customHeight="1" thickBot="1" x14ac:dyDescent="0.4">
      <c r="A12" s="62">
        <f t="shared" si="1"/>
        <v>9</v>
      </c>
      <c r="B12" s="242" t="s">
        <v>266</v>
      </c>
      <c r="C12" s="42" t="s">
        <v>144</v>
      </c>
      <c r="D12" s="43" t="s">
        <v>10</v>
      </c>
      <c r="E12" s="43" t="s">
        <v>150</v>
      </c>
      <c r="F12" s="19">
        <v>61</v>
      </c>
      <c r="G12" s="19" t="s">
        <v>8</v>
      </c>
      <c r="H12" s="19">
        <v>2.5</v>
      </c>
      <c r="I12" s="124">
        <f>I11+460</f>
        <v>1403</v>
      </c>
      <c r="J12" s="56">
        <v>850</v>
      </c>
      <c r="K12" s="57">
        <v>1350</v>
      </c>
      <c r="L12" s="55" t="s">
        <v>9</v>
      </c>
      <c r="M12" s="57" t="s">
        <v>9</v>
      </c>
      <c r="N12" s="55">
        <f t="shared" ref="N12:N27" si="5">I12+400</f>
        <v>1803</v>
      </c>
      <c r="O12" s="4">
        <f t="shared" si="4"/>
        <v>2753</v>
      </c>
      <c r="P12" s="91"/>
      <c r="Q12" s="91"/>
      <c r="R12" s="91"/>
      <c r="S12" s="91"/>
      <c r="T12" s="91"/>
      <c r="U12" s="91"/>
      <c r="V12" s="91"/>
      <c r="W12" s="91"/>
      <c r="X12" s="91"/>
      <c r="Y12" s="92"/>
      <c r="Z12" s="8"/>
    </row>
    <row r="13" spans="1:34" s="3" customFormat="1" ht="27" customHeight="1" thickBot="1" x14ac:dyDescent="0.4">
      <c r="A13" s="62">
        <f t="shared" si="1"/>
        <v>10</v>
      </c>
      <c r="B13" s="242" t="s">
        <v>266</v>
      </c>
      <c r="C13" s="42" t="s">
        <v>144</v>
      </c>
      <c r="D13" s="43" t="s">
        <v>11</v>
      </c>
      <c r="E13" s="43" t="s">
        <v>23</v>
      </c>
      <c r="F13" s="19">
        <v>72.5</v>
      </c>
      <c r="G13" s="19" t="s">
        <v>8</v>
      </c>
      <c r="H13" s="19">
        <v>3.4</v>
      </c>
      <c r="I13" s="124">
        <v>1125</v>
      </c>
      <c r="J13" s="56">
        <v>850</v>
      </c>
      <c r="K13" s="57">
        <v>1350</v>
      </c>
      <c r="L13" s="55" t="s">
        <v>9</v>
      </c>
      <c r="M13" s="57" t="s">
        <v>9</v>
      </c>
      <c r="N13" s="55">
        <f t="shared" si="5"/>
        <v>1525</v>
      </c>
      <c r="O13" s="4">
        <f t="shared" si="4"/>
        <v>2475</v>
      </c>
      <c r="P13" s="462" t="s">
        <v>106</v>
      </c>
      <c r="Q13" s="462"/>
      <c r="R13" s="462"/>
      <c r="S13" s="462"/>
      <c r="T13" s="462"/>
      <c r="U13" s="462"/>
      <c r="V13" s="462"/>
      <c r="W13" s="462"/>
      <c r="X13" s="462"/>
      <c r="Y13" s="463"/>
      <c r="Z13" s="8"/>
    </row>
    <row r="14" spans="1:34" s="3" customFormat="1" ht="27" customHeight="1" thickBot="1" x14ac:dyDescent="0.4">
      <c r="A14" s="62">
        <f t="shared" si="1"/>
        <v>11</v>
      </c>
      <c r="B14" s="242" t="s">
        <v>266</v>
      </c>
      <c r="C14" s="42" t="s">
        <v>144</v>
      </c>
      <c r="D14" s="43" t="s">
        <v>11</v>
      </c>
      <c r="E14" s="43" t="s">
        <v>465</v>
      </c>
      <c r="F14" s="19">
        <v>72.5</v>
      </c>
      <c r="G14" s="19" t="s">
        <v>8</v>
      </c>
      <c r="H14" s="19">
        <v>3.4</v>
      </c>
      <c r="I14" s="124">
        <f>I13+646</f>
        <v>1771</v>
      </c>
      <c r="J14" s="56">
        <v>850</v>
      </c>
      <c r="K14" s="57">
        <v>1350</v>
      </c>
      <c r="L14" s="55" t="s">
        <v>9</v>
      </c>
      <c r="M14" s="57" t="s">
        <v>9</v>
      </c>
      <c r="N14" s="55">
        <f t="shared" si="5"/>
        <v>2171</v>
      </c>
      <c r="O14" s="4">
        <f t="shared" si="4"/>
        <v>3121</v>
      </c>
      <c r="P14" s="90"/>
      <c r="Q14" s="90"/>
      <c r="R14" s="90"/>
      <c r="S14" s="90"/>
      <c r="T14" s="90"/>
      <c r="U14" s="90"/>
      <c r="V14" s="90"/>
      <c r="W14" s="90"/>
      <c r="X14" s="90"/>
      <c r="Y14" s="69"/>
      <c r="Z14" s="2"/>
    </row>
    <row r="15" spans="1:34" s="3" customFormat="1" ht="27" customHeight="1" thickBot="1" x14ac:dyDescent="0.4">
      <c r="A15" s="62">
        <f t="shared" si="1"/>
        <v>12</v>
      </c>
      <c r="B15" s="242" t="s">
        <v>266</v>
      </c>
      <c r="C15" s="42" t="s">
        <v>144</v>
      </c>
      <c r="D15" s="43" t="s">
        <v>13</v>
      </c>
      <c r="E15" s="43" t="s">
        <v>24</v>
      </c>
      <c r="F15" s="19">
        <v>80.5</v>
      </c>
      <c r="G15" s="19" t="s">
        <v>8</v>
      </c>
      <c r="H15" s="19">
        <v>3.0062500000000001</v>
      </c>
      <c r="I15" s="124">
        <f>3489*1.135</f>
        <v>3960.0149999999999</v>
      </c>
      <c r="J15" s="56">
        <v>850</v>
      </c>
      <c r="K15" s="57">
        <v>1350</v>
      </c>
      <c r="L15" s="55" t="s">
        <v>9</v>
      </c>
      <c r="M15" s="57" t="s">
        <v>9</v>
      </c>
      <c r="N15" s="55">
        <f>I15+400</f>
        <v>4360.0149999999994</v>
      </c>
      <c r="O15" s="4">
        <f t="shared" si="4"/>
        <v>5310.0149999999994</v>
      </c>
      <c r="P15" s="466" t="s">
        <v>18</v>
      </c>
      <c r="Q15" s="466"/>
      <c r="R15" s="466"/>
      <c r="S15" s="466"/>
      <c r="T15" s="466"/>
      <c r="U15" s="466"/>
      <c r="V15" s="466"/>
      <c r="W15" s="466"/>
      <c r="X15" s="466"/>
      <c r="Y15" s="69"/>
    </row>
    <row r="16" spans="1:34" s="3" customFormat="1" ht="27" customHeight="1" x14ac:dyDescent="0.35">
      <c r="A16" s="62">
        <f t="shared" si="1"/>
        <v>13</v>
      </c>
      <c r="B16" s="242" t="s">
        <v>266</v>
      </c>
      <c r="C16" s="42" t="s">
        <v>144</v>
      </c>
      <c r="D16" s="43" t="s">
        <v>19</v>
      </c>
      <c r="E16" s="43" t="s">
        <v>25</v>
      </c>
      <c r="F16" s="19">
        <v>98</v>
      </c>
      <c r="G16" s="19" t="s">
        <v>8</v>
      </c>
      <c r="H16" s="19">
        <v>2.2708333333333335</v>
      </c>
      <c r="I16" s="124">
        <f>1478*1.135</f>
        <v>1677.53</v>
      </c>
      <c r="J16" s="56">
        <v>850</v>
      </c>
      <c r="K16" s="57">
        <v>1350</v>
      </c>
      <c r="L16" s="55" t="s">
        <v>9</v>
      </c>
      <c r="M16" s="57" t="s">
        <v>9</v>
      </c>
      <c r="N16" s="55">
        <f t="shared" si="5"/>
        <v>2077.5299999999997</v>
      </c>
      <c r="O16" s="4">
        <f t="shared" si="4"/>
        <v>3027.5299999999997</v>
      </c>
      <c r="P16" s="7"/>
      <c r="Q16" s="7"/>
      <c r="R16" s="7"/>
      <c r="S16" s="7"/>
      <c r="T16" s="7"/>
      <c r="U16" s="7"/>
      <c r="V16" s="7"/>
      <c r="W16" s="7"/>
      <c r="X16" s="7"/>
    </row>
    <row r="17" spans="1:25" s="3" customFormat="1" ht="27" customHeight="1" x14ac:dyDescent="0.35">
      <c r="A17" s="62">
        <f t="shared" si="1"/>
        <v>14</v>
      </c>
      <c r="B17" s="242" t="s">
        <v>266</v>
      </c>
      <c r="C17" s="42" t="s">
        <v>144</v>
      </c>
      <c r="D17" s="43" t="s">
        <v>19</v>
      </c>
      <c r="E17" s="43" t="s">
        <v>151</v>
      </c>
      <c r="F17" s="19">
        <v>98</v>
      </c>
      <c r="G17" s="19" t="s">
        <v>8</v>
      </c>
      <c r="H17" s="19">
        <v>2.2708333333333335</v>
      </c>
      <c r="I17" s="124">
        <f>I16+(1065*1.135)</f>
        <v>2886.3050000000003</v>
      </c>
      <c r="J17" s="56">
        <v>850</v>
      </c>
      <c r="K17" s="57">
        <v>1350</v>
      </c>
      <c r="L17" s="55" t="s">
        <v>9</v>
      </c>
      <c r="M17" s="57" t="s">
        <v>9</v>
      </c>
      <c r="N17" s="55">
        <f t="shared" si="5"/>
        <v>3286.3050000000003</v>
      </c>
      <c r="O17" s="4">
        <f t="shared" si="4"/>
        <v>4236.3050000000003</v>
      </c>
      <c r="P17" s="3" t="s">
        <v>20</v>
      </c>
      <c r="Q17" s="7"/>
      <c r="R17" s="7"/>
      <c r="S17" s="7"/>
      <c r="T17" s="7"/>
      <c r="U17" s="7"/>
      <c r="V17" s="7"/>
      <c r="W17" s="7"/>
      <c r="X17" s="7"/>
    </row>
    <row r="18" spans="1:25" s="3" customFormat="1" ht="27" customHeight="1" x14ac:dyDescent="0.35">
      <c r="A18" s="62">
        <f t="shared" si="1"/>
        <v>15</v>
      </c>
      <c r="B18" s="242" t="s">
        <v>266</v>
      </c>
      <c r="C18" s="42" t="s">
        <v>144</v>
      </c>
      <c r="D18" s="43" t="s">
        <v>19</v>
      </c>
      <c r="E18" s="43" t="s">
        <v>152</v>
      </c>
      <c r="F18" s="19">
        <v>60</v>
      </c>
      <c r="G18" s="19" t="s">
        <v>8</v>
      </c>
      <c r="H18" s="19">
        <v>2.2999999999999998</v>
      </c>
      <c r="I18" s="124">
        <f>1350*1.135</f>
        <v>1532.25</v>
      </c>
      <c r="J18" s="56">
        <v>850</v>
      </c>
      <c r="K18" s="57">
        <v>1350</v>
      </c>
      <c r="L18" s="55" t="s">
        <v>9</v>
      </c>
      <c r="M18" s="57" t="s">
        <v>9</v>
      </c>
      <c r="N18" s="55">
        <f t="shared" si="5"/>
        <v>1932.25</v>
      </c>
      <c r="O18" s="4">
        <f t="shared" si="4"/>
        <v>2882.25</v>
      </c>
      <c r="P18" s="467" t="s">
        <v>22</v>
      </c>
      <c r="Q18" s="467"/>
      <c r="R18" s="467"/>
      <c r="S18" s="467"/>
      <c r="T18" s="467"/>
      <c r="U18" s="467"/>
      <c r="V18" s="467"/>
      <c r="W18" s="467"/>
      <c r="X18" s="467"/>
      <c r="Y18" s="467"/>
    </row>
    <row r="19" spans="1:25" s="3" customFormat="1" ht="27" customHeight="1" x14ac:dyDescent="0.35">
      <c r="A19" s="62">
        <f t="shared" si="1"/>
        <v>16</v>
      </c>
      <c r="B19" s="242" t="s">
        <v>266</v>
      </c>
      <c r="C19" s="42" t="s">
        <v>144</v>
      </c>
      <c r="D19" s="43" t="s">
        <v>19</v>
      </c>
      <c r="E19" s="43" t="s">
        <v>153</v>
      </c>
      <c r="F19" s="19">
        <v>60</v>
      </c>
      <c r="G19" s="19" t="s">
        <v>8</v>
      </c>
      <c r="H19" s="19">
        <v>2.2999999999999998</v>
      </c>
      <c r="I19" s="124">
        <f>I18+(1065*1.135)</f>
        <v>2741.0250000000001</v>
      </c>
      <c r="J19" s="56">
        <v>850</v>
      </c>
      <c r="K19" s="57">
        <v>1350</v>
      </c>
      <c r="L19" s="55" t="s">
        <v>9</v>
      </c>
      <c r="M19" s="57" t="s">
        <v>9</v>
      </c>
      <c r="N19" s="55">
        <f t="shared" si="5"/>
        <v>3141.0250000000001</v>
      </c>
      <c r="O19" s="4">
        <f t="shared" si="4"/>
        <v>4091.0250000000001</v>
      </c>
      <c r="P19" s="7"/>
      <c r="Q19" s="7"/>
      <c r="R19" s="7"/>
      <c r="S19" s="7"/>
      <c r="T19" s="7"/>
      <c r="U19" s="7"/>
      <c r="V19" s="7"/>
      <c r="W19" s="7"/>
      <c r="X19" s="7"/>
      <c r="Y19" s="7"/>
    </row>
    <row r="20" spans="1:25" s="3" customFormat="1" ht="27" customHeight="1" x14ac:dyDescent="0.35">
      <c r="A20" s="62">
        <f t="shared" si="1"/>
        <v>17</v>
      </c>
      <c r="B20" s="242" t="s">
        <v>266</v>
      </c>
      <c r="C20" s="42" t="s">
        <v>144</v>
      </c>
      <c r="D20" s="43" t="s">
        <v>11</v>
      </c>
      <c r="E20" s="43" t="s">
        <v>26</v>
      </c>
      <c r="F20" s="19">
        <v>98.5</v>
      </c>
      <c r="G20" s="19" t="s">
        <v>8</v>
      </c>
      <c r="H20" s="19">
        <v>2.4819444444444447</v>
      </c>
      <c r="I20" s="124">
        <v>1295</v>
      </c>
      <c r="J20" s="56">
        <v>850</v>
      </c>
      <c r="K20" s="57">
        <v>1350</v>
      </c>
      <c r="L20" s="55" t="s">
        <v>9</v>
      </c>
      <c r="M20" s="57" t="s">
        <v>9</v>
      </c>
      <c r="N20" s="55">
        <f t="shared" si="5"/>
        <v>1695</v>
      </c>
      <c r="O20" s="4">
        <f t="shared" si="4"/>
        <v>2645</v>
      </c>
      <c r="P20" s="7"/>
      <c r="Q20" s="7"/>
      <c r="R20" s="7"/>
      <c r="S20" s="7"/>
      <c r="T20" s="7"/>
      <c r="U20" s="7"/>
      <c r="V20" s="7"/>
      <c r="W20" s="7"/>
      <c r="X20" s="7"/>
      <c r="Y20" s="7"/>
    </row>
    <row r="21" spans="1:25" s="3" customFormat="1" ht="27" customHeight="1" x14ac:dyDescent="0.35">
      <c r="A21" s="62">
        <f t="shared" si="1"/>
        <v>18</v>
      </c>
      <c r="B21" s="242" t="s">
        <v>266</v>
      </c>
      <c r="C21" s="42" t="s">
        <v>144</v>
      </c>
      <c r="D21" s="43" t="s">
        <v>11</v>
      </c>
      <c r="E21" s="43" t="s">
        <v>466</v>
      </c>
      <c r="F21" s="19">
        <v>98.5</v>
      </c>
      <c r="G21" s="19" t="s">
        <v>8</v>
      </c>
      <c r="H21" s="19">
        <v>2.4819444444444447</v>
      </c>
      <c r="I21" s="124">
        <f>I20+646</f>
        <v>1941</v>
      </c>
      <c r="J21" s="56">
        <v>850</v>
      </c>
      <c r="K21" s="57">
        <v>1350</v>
      </c>
      <c r="L21" s="55" t="s">
        <v>9</v>
      </c>
      <c r="M21" s="57" t="s">
        <v>9</v>
      </c>
      <c r="N21" s="55">
        <f t="shared" si="5"/>
        <v>2341</v>
      </c>
      <c r="O21" s="4">
        <f t="shared" si="4"/>
        <v>3291</v>
      </c>
      <c r="P21" s="7"/>
      <c r="Q21" s="7"/>
      <c r="R21" s="7"/>
      <c r="S21" s="7"/>
      <c r="T21" s="7"/>
      <c r="U21" s="7"/>
      <c r="V21" s="7"/>
      <c r="W21" s="7"/>
      <c r="X21" s="7"/>
      <c r="Y21" s="7"/>
    </row>
    <row r="22" spans="1:25" s="3" customFormat="1" ht="27" customHeight="1" x14ac:dyDescent="0.35">
      <c r="A22" s="62">
        <f t="shared" si="1"/>
        <v>19</v>
      </c>
      <c r="B22" s="242" t="s">
        <v>266</v>
      </c>
      <c r="C22" s="42" t="s">
        <v>144</v>
      </c>
      <c r="D22" s="43" t="s">
        <v>10</v>
      </c>
      <c r="E22" s="43" t="s">
        <v>27</v>
      </c>
      <c r="F22" s="19">
        <v>100</v>
      </c>
      <c r="G22" s="19" t="s">
        <v>8</v>
      </c>
      <c r="H22" s="19">
        <v>5.3666666666666671</v>
      </c>
      <c r="I22" s="124">
        <v>1898</v>
      </c>
      <c r="J22" s="56">
        <v>850</v>
      </c>
      <c r="K22" s="57">
        <v>1350</v>
      </c>
      <c r="L22" s="55" t="s">
        <v>9</v>
      </c>
      <c r="M22" s="57" t="s">
        <v>9</v>
      </c>
      <c r="N22" s="55">
        <f t="shared" si="5"/>
        <v>2298</v>
      </c>
      <c r="O22" s="4">
        <f t="shared" si="4"/>
        <v>3248</v>
      </c>
      <c r="P22" s="24"/>
      <c r="Q22" s="24"/>
      <c r="R22" s="24"/>
      <c r="S22" s="24"/>
      <c r="T22" s="24"/>
      <c r="U22" s="24"/>
      <c r="V22" s="24"/>
      <c r="W22" s="24"/>
      <c r="X22" s="24"/>
      <c r="Y22" s="24"/>
    </row>
    <row r="23" spans="1:25" s="3" customFormat="1" ht="27" customHeight="1" x14ac:dyDescent="0.35">
      <c r="A23" s="62">
        <f t="shared" si="1"/>
        <v>20</v>
      </c>
      <c r="B23" s="242" t="s">
        <v>266</v>
      </c>
      <c r="C23" s="42" t="s">
        <v>144</v>
      </c>
      <c r="D23" s="43" t="s">
        <v>10</v>
      </c>
      <c r="E23" s="43" t="s">
        <v>500</v>
      </c>
      <c r="F23" s="19">
        <v>100</v>
      </c>
      <c r="G23" s="19" t="s">
        <v>8</v>
      </c>
      <c r="H23" s="19">
        <v>5.3666666666666671</v>
      </c>
      <c r="I23" s="124">
        <f>I22+460</f>
        <v>2358</v>
      </c>
      <c r="J23" s="56">
        <v>850</v>
      </c>
      <c r="K23" s="57">
        <v>1350</v>
      </c>
      <c r="L23" s="55" t="s">
        <v>9</v>
      </c>
      <c r="M23" s="57" t="s">
        <v>9</v>
      </c>
      <c r="N23" s="55">
        <f t="shared" si="5"/>
        <v>2758</v>
      </c>
      <c r="O23" s="4">
        <f t="shared" si="4"/>
        <v>3708</v>
      </c>
      <c r="P23" s="24"/>
      <c r="Q23" s="24"/>
      <c r="R23" s="24"/>
      <c r="S23" s="24"/>
      <c r="T23" s="24"/>
      <c r="U23" s="24"/>
      <c r="V23" s="24"/>
      <c r="W23" s="24"/>
      <c r="X23" s="24"/>
      <c r="Y23" s="24"/>
    </row>
    <row r="24" spans="1:25" s="3" customFormat="1" ht="27" customHeight="1" x14ac:dyDescent="0.35">
      <c r="A24" s="62">
        <f t="shared" si="1"/>
        <v>21</v>
      </c>
      <c r="B24" s="242" t="s">
        <v>266</v>
      </c>
      <c r="C24" s="42" t="s">
        <v>28</v>
      </c>
      <c r="D24" s="43" t="s">
        <v>19</v>
      </c>
      <c r="E24" s="43" t="s">
        <v>467</v>
      </c>
      <c r="F24" s="19">
        <v>242</v>
      </c>
      <c r="G24" s="19" t="s">
        <v>8</v>
      </c>
      <c r="H24" s="19">
        <v>2.2999999999999998</v>
      </c>
      <c r="I24" s="123">
        <f>2280*1.135</f>
        <v>2587.8000000000002</v>
      </c>
      <c r="J24" s="56">
        <v>850</v>
      </c>
      <c r="K24" s="57">
        <v>1350</v>
      </c>
      <c r="L24" s="55" t="s">
        <v>9</v>
      </c>
      <c r="M24" s="57" t="s">
        <v>9</v>
      </c>
      <c r="N24" s="55">
        <f t="shared" si="5"/>
        <v>2987.8</v>
      </c>
      <c r="O24" s="4">
        <f t="shared" si="4"/>
        <v>3937.8</v>
      </c>
    </row>
    <row r="25" spans="1:25" s="3" customFormat="1" ht="27" customHeight="1" x14ac:dyDescent="0.35">
      <c r="A25" s="62">
        <f t="shared" si="1"/>
        <v>22</v>
      </c>
      <c r="B25" s="242" t="s">
        <v>266</v>
      </c>
      <c r="C25" s="42" t="s">
        <v>28</v>
      </c>
      <c r="D25" s="43" t="s">
        <v>19</v>
      </c>
      <c r="E25" s="43" t="s">
        <v>468</v>
      </c>
      <c r="F25" s="19">
        <v>242</v>
      </c>
      <c r="G25" s="19" t="s">
        <v>8</v>
      </c>
      <c r="H25" s="19">
        <v>2.2999999999999998</v>
      </c>
      <c r="I25" s="123">
        <f>I24+(1065*1.135)</f>
        <v>3796.5750000000003</v>
      </c>
      <c r="J25" s="56">
        <v>850</v>
      </c>
      <c r="K25" s="57">
        <v>1350</v>
      </c>
      <c r="L25" s="55" t="s">
        <v>9</v>
      </c>
      <c r="M25" s="57" t="s">
        <v>9</v>
      </c>
      <c r="N25" s="55">
        <f t="shared" si="5"/>
        <v>4196.5750000000007</v>
      </c>
      <c r="O25" s="4">
        <f>N25+950</f>
        <v>5146.5750000000007</v>
      </c>
    </row>
    <row r="26" spans="1:25" s="3" customFormat="1" ht="27" customHeight="1" x14ac:dyDescent="0.35">
      <c r="A26" s="62">
        <f t="shared" si="1"/>
        <v>23</v>
      </c>
      <c r="B26" s="242" t="s">
        <v>266</v>
      </c>
      <c r="C26" s="42" t="s">
        <v>28</v>
      </c>
      <c r="D26" s="43" t="s">
        <v>29</v>
      </c>
      <c r="E26" s="43" t="s">
        <v>30</v>
      </c>
      <c r="F26" s="19">
        <v>184</v>
      </c>
      <c r="G26" s="19" t="s">
        <v>8</v>
      </c>
      <c r="H26" s="19">
        <v>3.9166666666666665</v>
      </c>
      <c r="I26" s="123">
        <f>3400*1.135</f>
        <v>3859</v>
      </c>
      <c r="J26" s="56">
        <v>850</v>
      </c>
      <c r="K26" s="57">
        <v>1350</v>
      </c>
      <c r="L26" s="55" t="s">
        <v>9</v>
      </c>
      <c r="M26" s="57" t="s">
        <v>9</v>
      </c>
      <c r="N26" s="55">
        <f t="shared" si="5"/>
        <v>4259</v>
      </c>
      <c r="O26" s="4">
        <f t="shared" si="4"/>
        <v>5209</v>
      </c>
    </row>
    <row r="27" spans="1:25" s="3" customFormat="1" ht="27" customHeight="1" x14ac:dyDescent="0.35">
      <c r="A27" s="62">
        <f t="shared" si="1"/>
        <v>24</v>
      </c>
      <c r="B27" s="242" t="s">
        <v>266</v>
      </c>
      <c r="C27" s="42" t="s">
        <v>28</v>
      </c>
      <c r="D27" s="43" t="s">
        <v>29</v>
      </c>
      <c r="E27" s="43" t="s">
        <v>154</v>
      </c>
      <c r="F27" s="19">
        <v>184</v>
      </c>
      <c r="G27" s="19" t="s">
        <v>8</v>
      </c>
      <c r="H27" s="19">
        <v>3.9166666666666665</v>
      </c>
      <c r="I27" s="123">
        <f>I26+(250*1.135)</f>
        <v>4142.75</v>
      </c>
      <c r="J27" s="56">
        <v>850</v>
      </c>
      <c r="K27" s="57">
        <v>1350</v>
      </c>
      <c r="L27" s="55" t="s">
        <v>9</v>
      </c>
      <c r="M27" s="57" t="s">
        <v>9</v>
      </c>
      <c r="N27" s="55">
        <f t="shared" si="5"/>
        <v>4542.75</v>
      </c>
      <c r="O27" s="4">
        <f t="shared" si="4"/>
        <v>5492.75</v>
      </c>
    </row>
    <row r="28" spans="1:25" s="3" customFormat="1" ht="27" customHeight="1" x14ac:dyDescent="0.35">
      <c r="A28" s="62">
        <f t="shared" si="1"/>
        <v>25</v>
      </c>
      <c r="B28" s="242" t="s">
        <v>266</v>
      </c>
      <c r="C28" s="42" t="s">
        <v>28</v>
      </c>
      <c r="D28" s="43" t="s">
        <v>10</v>
      </c>
      <c r="E28" s="43" t="s">
        <v>31</v>
      </c>
      <c r="F28" s="19">
        <v>211</v>
      </c>
      <c r="G28" s="19" t="s">
        <v>8</v>
      </c>
      <c r="H28" s="19">
        <v>2.6</v>
      </c>
      <c r="I28" s="123">
        <v>1453</v>
      </c>
      <c r="J28" s="56">
        <v>850</v>
      </c>
      <c r="K28" s="57">
        <v>1350</v>
      </c>
      <c r="L28" s="55" t="s">
        <v>9</v>
      </c>
      <c r="M28" s="57" t="s">
        <v>9</v>
      </c>
      <c r="N28" s="55">
        <v>1720</v>
      </c>
      <c r="O28" s="4">
        <v>2670</v>
      </c>
    </row>
    <row r="29" spans="1:25" s="3" customFormat="1" ht="27" customHeight="1" x14ac:dyDescent="0.35">
      <c r="A29" s="62">
        <f t="shared" si="1"/>
        <v>26</v>
      </c>
      <c r="B29" s="242" t="s">
        <v>266</v>
      </c>
      <c r="C29" s="42" t="s">
        <v>28</v>
      </c>
      <c r="D29" s="43" t="s">
        <v>10</v>
      </c>
      <c r="E29" s="43" t="s">
        <v>155</v>
      </c>
      <c r="F29" s="19">
        <v>211</v>
      </c>
      <c r="G29" s="19" t="s">
        <v>8</v>
      </c>
      <c r="H29" s="19">
        <v>2.6</v>
      </c>
      <c r="I29" s="123">
        <f>I28+460</f>
        <v>1913</v>
      </c>
      <c r="J29" s="56">
        <v>850</v>
      </c>
      <c r="K29" s="57">
        <v>1350</v>
      </c>
      <c r="L29" s="55" t="s">
        <v>9</v>
      </c>
      <c r="M29" s="57" t="s">
        <v>9</v>
      </c>
      <c r="N29" s="55">
        <f t="shared" ref="N29:N91" si="6">I29+400</f>
        <v>2313</v>
      </c>
      <c r="O29" s="4">
        <f>N29+950</f>
        <v>3263</v>
      </c>
    </row>
    <row r="30" spans="1:25" s="3" customFormat="1" ht="27" customHeight="1" x14ac:dyDescent="0.35">
      <c r="A30" s="62">
        <f t="shared" si="1"/>
        <v>27</v>
      </c>
      <c r="B30" s="242" t="s">
        <v>266</v>
      </c>
      <c r="C30" s="42" t="s">
        <v>28</v>
      </c>
      <c r="D30" s="43" t="s">
        <v>11</v>
      </c>
      <c r="E30" s="43" t="s">
        <v>32</v>
      </c>
      <c r="F30" s="19">
        <v>225</v>
      </c>
      <c r="G30" s="19" t="s">
        <v>8</v>
      </c>
      <c r="H30" s="19">
        <v>2.2916666666666665</v>
      </c>
      <c r="I30" s="123">
        <v>1390</v>
      </c>
      <c r="J30" s="56">
        <v>850</v>
      </c>
      <c r="K30" s="57">
        <v>1350</v>
      </c>
      <c r="L30" s="55" t="s">
        <v>9</v>
      </c>
      <c r="M30" s="57" t="s">
        <v>9</v>
      </c>
      <c r="N30" s="55">
        <f t="shared" si="6"/>
        <v>1790</v>
      </c>
      <c r="O30" s="4">
        <f>N30+960</f>
        <v>2750</v>
      </c>
    </row>
    <row r="31" spans="1:25" s="3" customFormat="1" ht="27" customHeight="1" x14ac:dyDescent="0.35">
      <c r="A31" s="62">
        <f t="shared" si="1"/>
        <v>28</v>
      </c>
      <c r="B31" s="242" t="s">
        <v>266</v>
      </c>
      <c r="C31" s="42" t="s">
        <v>28</v>
      </c>
      <c r="D31" s="43" t="s">
        <v>11</v>
      </c>
      <c r="E31" s="43" t="s">
        <v>469</v>
      </c>
      <c r="F31" s="19">
        <v>225</v>
      </c>
      <c r="G31" s="19" t="s">
        <v>8</v>
      </c>
      <c r="H31" s="19">
        <v>2.2916666666666665</v>
      </c>
      <c r="I31" s="123">
        <f>I30+646</f>
        <v>2036</v>
      </c>
      <c r="J31" s="56">
        <v>850</v>
      </c>
      <c r="K31" s="57">
        <v>1350</v>
      </c>
      <c r="L31" s="55" t="s">
        <v>9</v>
      </c>
      <c r="M31" s="57" t="s">
        <v>9</v>
      </c>
      <c r="N31" s="55">
        <f t="shared" si="6"/>
        <v>2436</v>
      </c>
      <c r="O31" s="4">
        <f t="shared" ref="O31:O94" si="7">N31+950</f>
        <v>3386</v>
      </c>
    </row>
    <row r="32" spans="1:25" s="3" customFormat="1" ht="27" customHeight="1" x14ac:dyDescent="0.35">
      <c r="A32" s="62">
        <f t="shared" si="1"/>
        <v>29</v>
      </c>
      <c r="B32" s="242" t="s">
        <v>266</v>
      </c>
      <c r="C32" s="42" t="s">
        <v>28</v>
      </c>
      <c r="D32" s="43" t="s">
        <v>13</v>
      </c>
      <c r="E32" s="43" t="s">
        <v>33</v>
      </c>
      <c r="F32" s="19">
        <v>240</v>
      </c>
      <c r="G32" s="19" t="s">
        <v>8</v>
      </c>
      <c r="H32" s="19">
        <v>3.2208333333333332</v>
      </c>
      <c r="I32" s="123">
        <f>4635*1.135</f>
        <v>5260.7250000000004</v>
      </c>
      <c r="J32" s="56">
        <v>850</v>
      </c>
      <c r="K32" s="57">
        <v>1350</v>
      </c>
      <c r="L32" s="55" t="s">
        <v>9</v>
      </c>
      <c r="M32" s="57" t="s">
        <v>9</v>
      </c>
      <c r="N32" s="55">
        <f t="shared" si="6"/>
        <v>5660.7250000000004</v>
      </c>
      <c r="O32" s="4">
        <f t="shared" si="7"/>
        <v>6610.7250000000004</v>
      </c>
    </row>
    <row r="33" spans="1:25" s="3" customFormat="1" ht="27" customHeight="1" x14ac:dyDescent="0.35">
      <c r="A33" s="62">
        <f t="shared" si="1"/>
        <v>30</v>
      </c>
      <c r="B33" s="242" t="s">
        <v>266</v>
      </c>
      <c r="C33" s="42" t="s">
        <v>28</v>
      </c>
      <c r="D33" s="43" t="s">
        <v>156</v>
      </c>
      <c r="E33" s="43" t="s">
        <v>157</v>
      </c>
      <c r="F33" s="19">
        <v>241</v>
      </c>
      <c r="G33" s="19" t="s">
        <v>8</v>
      </c>
      <c r="H33" s="19">
        <v>0.9</v>
      </c>
      <c r="I33" s="123">
        <f>2580*1.135</f>
        <v>2928.3</v>
      </c>
      <c r="J33" s="56">
        <v>850</v>
      </c>
      <c r="K33" s="57">
        <v>1350</v>
      </c>
      <c r="L33" s="55" t="s">
        <v>9</v>
      </c>
      <c r="M33" s="57" t="s">
        <v>9</v>
      </c>
      <c r="N33" s="55">
        <f t="shared" si="6"/>
        <v>3328.3</v>
      </c>
      <c r="O33" s="4">
        <f t="shared" si="7"/>
        <v>4278.3</v>
      </c>
    </row>
    <row r="34" spans="1:25" s="3" customFormat="1" ht="27" customHeight="1" x14ac:dyDescent="0.35">
      <c r="A34" s="62">
        <f t="shared" si="1"/>
        <v>31</v>
      </c>
      <c r="B34" s="242" t="s">
        <v>266</v>
      </c>
      <c r="C34" s="42" t="s">
        <v>28</v>
      </c>
      <c r="D34" s="43" t="s">
        <v>156</v>
      </c>
      <c r="E34" s="43" t="s">
        <v>517</v>
      </c>
      <c r="F34" s="19">
        <v>241</v>
      </c>
      <c r="G34" s="19" t="s">
        <v>8</v>
      </c>
      <c r="H34" s="19">
        <v>0.9</v>
      </c>
      <c r="I34" s="123">
        <f>I33+(645*1.135)</f>
        <v>3660.375</v>
      </c>
      <c r="J34" s="56">
        <v>850</v>
      </c>
      <c r="K34" s="57">
        <v>1350</v>
      </c>
      <c r="L34" s="55" t="s">
        <v>9</v>
      </c>
      <c r="M34" s="57" t="s">
        <v>9</v>
      </c>
      <c r="N34" s="55">
        <f t="shared" si="6"/>
        <v>4060.375</v>
      </c>
      <c r="O34" s="4">
        <f t="shared" si="7"/>
        <v>5010.375</v>
      </c>
    </row>
    <row r="35" spans="1:25" s="3" customFormat="1" ht="27" customHeight="1" x14ac:dyDescent="0.35">
      <c r="A35" s="62">
        <f t="shared" si="1"/>
        <v>32</v>
      </c>
      <c r="B35" s="243" t="s">
        <v>267</v>
      </c>
      <c r="C35" s="42" t="s">
        <v>231</v>
      </c>
      <c r="D35" s="43" t="s">
        <v>10</v>
      </c>
      <c r="E35" s="43" t="s">
        <v>34</v>
      </c>
      <c r="F35" s="19">
        <v>30</v>
      </c>
      <c r="G35" s="19">
        <v>32</v>
      </c>
      <c r="H35" s="19">
        <v>2.6583333333333332</v>
      </c>
      <c r="I35" s="124">
        <v>1653</v>
      </c>
      <c r="J35" s="56">
        <v>850</v>
      </c>
      <c r="K35" s="57">
        <v>1350</v>
      </c>
      <c r="L35" s="55" t="s">
        <v>9</v>
      </c>
      <c r="M35" s="57" t="s">
        <v>9</v>
      </c>
      <c r="N35" s="55">
        <f t="shared" si="6"/>
        <v>2053</v>
      </c>
      <c r="O35" s="4">
        <f t="shared" si="7"/>
        <v>3003</v>
      </c>
      <c r="P35" s="24"/>
      <c r="Q35" s="24"/>
      <c r="R35" s="24"/>
      <c r="S35" s="24"/>
      <c r="T35" s="24"/>
      <c r="U35" s="24"/>
      <c r="V35" s="24"/>
      <c r="W35" s="24"/>
      <c r="X35" s="24"/>
      <c r="Y35" s="24"/>
    </row>
    <row r="36" spans="1:25" s="3" customFormat="1" ht="27" customHeight="1" x14ac:dyDescent="0.35">
      <c r="A36" s="62">
        <f t="shared" si="1"/>
        <v>33</v>
      </c>
      <c r="B36" s="243" t="s">
        <v>267</v>
      </c>
      <c r="C36" s="42" t="s">
        <v>231</v>
      </c>
      <c r="D36" s="43" t="s">
        <v>10</v>
      </c>
      <c r="E36" s="43" t="s">
        <v>176</v>
      </c>
      <c r="F36" s="19">
        <v>30</v>
      </c>
      <c r="G36" s="19">
        <v>32</v>
      </c>
      <c r="H36" s="19">
        <v>2.6583333333333332</v>
      </c>
      <c r="I36" s="124">
        <f>I35+460</f>
        <v>2113</v>
      </c>
      <c r="J36" s="56">
        <v>850</v>
      </c>
      <c r="K36" s="57">
        <v>1350</v>
      </c>
      <c r="L36" s="55" t="s">
        <v>9</v>
      </c>
      <c r="M36" s="57" t="s">
        <v>9</v>
      </c>
      <c r="N36" s="55">
        <f t="shared" si="6"/>
        <v>2513</v>
      </c>
      <c r="O36" s="4">
        <f t="shared" si="7"/>
        <v>3463</v>
      </c>
      <c r="P36" s="24"/>
      <c r="Q36" s="24"/>
      <c r="R36" s="24"/>
      <c r="S36" s="24"/>
      <c r="T36" s="24"/>
      <c r="U36" s="24"/>
      <c r="V36" s="24"/>
      <c r="W36" s="24"/>
      <c r="X36" s="24"/>
      <c r="Y36" s="24"/>
    </row>
    <row r="37" spans="1:25" s="3" customFormat="1" ht="27" customHeight="1" x14ac:dyDescent="0.35">
      <c r="A37" s="62">
        <f t="shared" si="1"/>
        <v>34</v>
      </c>
      <c r="B37" s="243" t="s">
        <v>267</v>
      </c>
      <c r="C37" s="42" t="s">
        <v>231</v>
      </c>
      <c r="D37" s="43" t="s">
        <v>11</v>
      </c>
      <c r="E37" s="43" t="s">
        <v>35</v>
      </c>
      <c r="F37" s="19">
        <v>58</v>
      </c>
      <c r="G37" s="19">
        <v>44</v>
      </c>
      <c r="H37" s="19">
        <v>4.7340277777777775</v>
      </c>
      <c r="I37" s="124">
        <v>1530</v>
      </c>
      <c r="J37" s="56">
        <v>850</v>
      </c>
      <c r="K37" s="57">
        <v>1350</v>
      </c>
      <c r="L37" s="55" t="s">
        <v>9</v>
      </c>
      <c r="M37" s="57" t="s">
        <v>9</v>
      </c>
      <c r="N37" s="55">
        <f t="shared" si="6"/>
        <v>1930</v>
      </c>
      <c r="O37" s="4">
        <f t="shared" si="7"/>
        <v>2880</v>
      </c>
      <c r="P37" s="24"/>
      <c r="Q37" s="24"/>
      <c r="R37" s="24"/>
      <c r="S37" s="24"/>
      <c r="T37" s="24"/>
      <c r="U37" s="24"/>
      <c r="V37" s="24"/>
      <c r="W37" s="24"/>
      <c r="X37" s="24"/>
      <c r="Y37" s="24"/>
    </row>
    <row r="38" spans="1:25" s="3" customFormat="1" ht="27" customHeight="1" x14ac:dyDescent="0.35">
      <c r="A38" s="62">
        <f t="shared" si="1"/>
        <v>35</v>
      </c>
      <c r="B38" s="243" t="s">
        <v>267</v>
      </c>
      <c r="C38" s="42" t="s">
        <v>231</v>
      </c>
      <c r="D38" s="43" t="s">
        <v>11</v>
      </c>
      <c r="E38" s="43" t="s">
        <v>470</v>
      </c>
      <c r="F38" s="19">
        <v>58</v>
      </c>
      <c r="G38" s="19">
        <v>44</v>
      </c>
      <c r="H38" s="19">
        <v>4.7340277777777775</v>
      </c>
      <c r="I38" s="124">
        <f>I37+646</f>
        <v>2176</v>
      </c>
      <c r="J38" s="56">
        <v>850</v>
      </c>
      <c r="K38" s="57">
        <v>1350</v>
      </c>
      <c r="L38" s="55" t="s">
        <v>9</v>
      </c>
      <c r="M38" s="57" t="s">
        <v>9</v>
      </c>
      <c r="N38" s="55">
        <f t="shared" si="6"/>
        <v>2576</v>
      </c>
      <c r="O38" s="4">
        <f t="shared" si="7"/>
        <v>3526</v>
      </c>
      <c r="P38" s="24"/>
      <c r="Q38" s="24"/>
      <c r="R38" s="24"/>
      <c r="S38" s="24"/>
      <c r="T38" s="24"/>
      <c r="U38" s="24"/>
      <c r="V38" s="24"/>
      <c r="W38" s="24"/>
      <c r="X38" s="24"/>
      <c r="Y38" s="24"/>
    </row>
    <row r="39" spans="1:25" s="3" customFormat="1" ht="27" customHeight="1" x14ac:dyDescent="0.35">
      <c r="A39" s="62">
        <f t="shared" si="1"/>
        <v>36</v>
      </c>
      <c r="B39" s="243" t="s">
        <v>267</v>
      </c>
      <c r="C39" s="42" t="s">
        <v>231</v>
      </c>
      <c r="D39" s="43" t="s">
        <v>19</v>
      </c>
      <c r="E39" s="43" t="s">
        <v>36</v>
      </c>
      <c r="F39" s="19">
        <v>36</v>
      </c>
      <c r="G39" s="19">
        <v>5.0999999999999996</v>
      </c>
      <c r="H39" s="19">
        <v>2</v>
      </c>
      <c r="I39" s="124">
        <f>1718*1.135</f>
        <v>1949.93</v>
      </c>
      <c r="J39" s="56">
        <v>850</v>
      </c>
      <c r="K39" s="57">
        <v>1350</v>
      </c>
      <c r="L39" s="55" t="s">
        <v>9</v>
      </c>
      <c r="M39" s="57" t="s">
        <v>9</v>
      </c>
      <c r="N39" s="55">
        <f t="shared" si="6"/>
        <v>2349.9300000000003</v>
      </c>
      <c r="O39" s="4">
        <f t="shared" si="7"/>
        <v>3299.9300000000003</v>
      </c>
      <c r="P39" s="24"/>
      <c r="Q39" s="24"/>
      <c r="R39" s="24"/>
      <c r="S39" s="24"/>
      <c r="T39" s="24"/>
      <c r="U39" s="24"/>
      <c r="V39" s="24"/>
      <c r="W39" s="24"/>
      <c r="X39" s="24"/>
      <c r="Y39" s="24"/>
    </row>
    <row r="40" spans="1:25" s="3" customFormat="1" ht="27" customHeight="1" x14ac:dyDescent="0.35">
      <c r="A40" s="62">
        <f t="shared" si="1"/>
        <v>37</v>
      </c>
      <c r="B40" s="243" t="s">
        <v>267</v>
      </c>
      <c r="C40" s="42" t="s">
        <v>231</v>
      </c>
      <c r="D40" s="43" t="s">
        <v>19</v>
      </c>
      <c r="E40" s="43" t="s">
        <v>159</v>
      </c>
      <c r="F40" s="19">
        <v>36</v>
      </c>
      <c r="G40" s="19">
        <v>5.0999999999999996</v>
      </c>
      <c r="H40" s="19">
        <v>2</v>
      </c>
      <c r="I40" s="124">
        <f>I39+(1065*1.135)</f>
        <v>3158.7049999999999</v>
      </c>
      <c r="J40" s="56">
        <v>850</v>
      </c>
      <c r="K40" s="57">
        <v>1350</v>
      </c>
      <c r="L40" s="55" t="s">
        <v>9</v>
      </c>
      <c r="M40" s="57" t="s">
        <v>9</v>
      </c>
      <c r="N40" s="55">
        <f t="shared" si="6"/>
        <v>3558.7049999999999</v>
      </c>
      <c r="O40" s="4">
        <f t="shared" si="7"/>
        <v>4508.7049999999999</v>
      </c>
      <c r="P40" s="24"/>
      <c r="Q40" s="24"/>
      <c r="R40" s="24"/>
      <c r="S40" s="24"/>
      <c r="T40" s="24"/>
      <c r="U40" s="24"/>
      <c r="V40" s="24"/>
      <c r="W40" s="24"/>
      <c r="X40" s="24"/>
      <c r="Y40" s="24"/>
    </row>
    <row r="41" spans="1:25" s="3" customFormat="1" ht="27" customHeight="1" x14ac:dyDescent="0.35">
      <c r="A41" s="62">
        <f t="shared" si="1"/>
        <v>38</v>
      </c>
      <c r="B41" s="243" t="s">
        <v>267</v>
      </c>
      <c r="C41" s="42" t="s">
        <v>144</v>
      </c>
      <c r="D41" s="43" t="s">
        <v>13</v>
      </c>
      <c r="E41" s="43" t="s">
        <v>471</v>
      </c>
      <c r="F41" s="19">
        <v>120</v>
      </c>
      <c r="G41" s="19">
        <v>28</v>
      </c>
      <c r="H41" s="19">
        <v>3</v>
      </c>
      <c r="I41" s="123">
        <f>4909*1.135</f>
        <v>5571.7150000000001</v>
      </c>
      <c r="J41" s="56">
        <v>850</v>
      </c>
      <c r="K41" s="57">
        <v>1350</v>
      </c>
      <c r="L41" s="55" t="s">
        <v>9</v>
      </c>
      <c r="M41" s="57" t="s">
        <v>9</v>
      </c>
      <c r="N41" s="55">
        <f>I41+400</f>
        <v>5971.7150000000001</v>
      </c>
      <c r="O41" s="4">
        <f>N41+950</f>
        <v>6921.7150000000001</v>
      </c>
      <c r="P41" s="24"/>
      <c r="Q41" s="24"/>
      <c r="R41" s="24"/>
      <c r="S41" s="24"/>
      <c r="T41" s="24"/>
      <c r="U41" s="24"/>
      <c r="V41" s="24"/>
      <c r="W41" s="24"/>
      <c r="X41" s="24"/>
      <c r="Y41" s="24"/>
    </row>
    <row r="42" spans="1:25" s="3" customFormat="1" ht="27" customHeight="1" x14ac:dyDescent="0.35">
      <c r="A42" s="62">
        <f t="shared" si="1"/>
        <v>39</v>
      </c>
      <c r="B42" s="244" t="s">
        <v>268</v>
      </c>
      <c r="C42" s="42" t="s">
        <v>144</v>
      </c>
      <c r="D42" s="43" t="s">
        <v>16</v>
      </c>
      <c r="E42" s="43" t="s">
        <v>37</v>
      </c>
      <c r="F42" s="19" t="s">
        <v>8</v>
      </c>
      <c r="G42" s="19">
        <v>96</v>
      </c>
      <c r="H42" s="19">
        <v>0.28055555555555556</v>
      </c>
      <c r="I42" s="124">
        <v>623</v>
      </c>
      <c r="J42" s="56">
        <v>850</v>
      </c>
      <c r="K42" s="57">
        <v>1350</v>
      </c>
      <c r="L42" s="55" t="s">
        <v>9</v>
      </c>
      <c r="M42" s="57" t="s">
        <v>9</v>
      </c>
      <c r="N42" s="55">
        <f>I42+400</f>
        <v>1023</v>
      </c>
      <c r="O42" s="4">
        <f>N42+950</f>
        <v>1973</v>
      </c>
      <c r="P42" s="24"/>
      <c r="Q42" s="24"/>
      <c r="R42" s="24"/>
      <c r="S42" s="24"/>
      <c r="T42" s="24"/>
      <c r="U42" s="24"/>
      <c r="V42" s="24"/>
      <c r="W42" s="24"/>
      <c r="X42" s="24"/>
      <c r="Y42" s="24"/>
    </row>
    <row r="43" spans="1:25" s="3" customFormat="1" ht="27" customHeight="1" x14ac:dyDescent="0.35">
      <c r="A43" s="62">
        <f t="shared" si="1"/>
        <v>40</v>
      </c>
      <c r="B43" s="244" t="s">
        <v>268</v>
      </c>
      <c r="C43" s="42" t="s">
        <v>144</v>
      </c>
      <c r="D43" s="43" t="s">
        <v>16</v>
      </c>
      <c r="E43" s="43" t="s">
        <v>472</v>
      </c>
      <c r="F43" s="19" t="s">
        <v>8</v>
      </c>
      <c r="G43" s="19">
        <v>96</v>
      </c>
      <c r="H43" s="19">
        <v>0.28055555555555556</v>
      </c>
      <c r="I43" s="124">
        <f>I42+1210</f>
        <v>1833</v>
      </c>
      <c r="J43" s="56">
        <v>850</v>
      </c>
      <c r="K43" s="57">
        <v>1350</v>
      </c>
      <c r="L43" s="55" t="s">
        <v>9</v>
      </c>
      <c r="M43" s="57" t="s">
        <v>9</v>
      </c>
      <c r="N43" s="55">
        <f>I43+400</f>
        <v>2233</v>
      </c>
      <c r="O43" s="4">
        <f t="shared" si="7"/>
        <v>3183</v>
      </c>
      <c r="P43" s="24"/>
      <c r="Q43" s="24"/>
      <c r="R43" s="24"/>
      <c r="S43" s="24"/>
      <c r="T43" s="24"/>
      <c r="U43" s="24"/>
      <c r="V43" s="24"/>
      <c r="W43" s="24"/>
      <c r="X43" s="24"/>
      <c r="Y43" s="24"/>
    </row>
    <row r="44" spans="1:25" s="3" customFormat="1" ht="27" customHeight="1" x14ac:dyDescent="0.35">
      <c r="A44" s="62">
        <f t="shared" si="1"/>
        <v>41</v>
      </c>
      <c r="B44" s="244" t="s">
        <v>268</v>
      </c>
      <c r="C44" s="42" t="s">
        <v>144</v>
      </c>
      <c r="D44" s="43" t="s">
        <v>10</v>
      </c>
      <c r="E44" s="43" t="s">
        <v>473</v>
      </c>
      <c r="F44" s="19" t="s">
        <v>8</v>
      </c>
      <c r="G44" s="19">
        <v>97</v>
      </c>
      <c r="H44" s="19">
        <v>0.2</v>
      </c>
      <c r="I44" s="124">
        <v>1209</v>
      </c>
      <c r="J44" s="56">
        <v>850</v>
      </c>
      <c r="K44" s="57">
        <v>1350</v>
      </c>
      <c r="L44" s="55" t="s">
        <v>9</v>
      </c>
      <c r="M44" s="57" t="s">
        <v>9</v>
      </c>
      <c r="N44" s="55">
        <f t="shared" si="6"/>
        <v>1609</v>
      </c>
      <c r="O44" s="4">
        <f t="shared" si="7"/>
        <v>2559</v>
      </c>
      <c r="P44" s="24"/>
      <c r="Q44" s="24"/>
      <c r="R44" s="24"/>
      <c r="S44" s="24"/>
      <c r="T44" s="24"/>
      <c r="U44" s="24"/>
      <c r="V44" s="24"/>
      <c r="W44" s="24"/>
      <c r="X44" s="24"/>
      <c r="Y44" s="24"/>
    </row>
    <row r="45" spans="1:25" s="3" customFormat="1" ht="27" customHeight="1" x14ac:dyDescent="0.35">
      <c r="A45" s="62">
        <f t="shared" si="1"/>
        <v>42</v>
      </c>
      <c r="B45" s="244" t="s">
        <v>268</v>
      </c>
      <c r="C45" s="42" t="s">
        <v>144</v>
      </c>
      <c r="D45" s="43" t="s">
        <v>10</v>
      </c>
      <c r="E45" s="43" t="s">
        <v>474</v>
      </c>
      <c r="F45" s="19" t="s">
        <v>8</v>
      </c>
      <c r="G45" s="19">
        <v>97</v>
      </c>
      <c r="H45" s="19">
        <v>0.2</v>
      </c>
      <c r="I45" s="124">
        <f>I44+460</f>
        <v>1669</v>
      </c>
      <c r="J45" s="56">
        <v>850</v>
      </c>
      <c r="K45" s="57">
        <v>1350</v>
      </c>
      <c r="L45" s="55" t="s">
        <v>9</v>
      </c>
      <c r="M45" s="57" t="s">
        <v>9</v>
      </c>
      <c r="N45" s="55">
        <f t="shared" si="6"/>
        <v>2069</v>
      </c>
      <c r="O45" s="4">
        <f t="shared" si="7"/>
        <v>3019</v>
      </c>
      <c r="P45" s="24"/>
      <c r="Q45" s="24"/>
      <c r="R45" s="24"/>
      <c r="S45" s="24"/>
      <c r="T45" s="24"/>
      <c r="U45" s="24"/>
      <c r="V45" s="24"/>
      <c r="W45" s="24"/>
      <c r="X45" s="24"/>
      <c r="Y45" s="24"/>
    </row>
    <row r="46" spans="1:25" s="3" customFormat="1" ht="27" customHeight="1" x14ac:dyDescent="0.35">
      <c r="A46" s="62">
        <f t="shared" si="1"/>
        <v>43</v>
      </c>
      <c r="B46" s="244" t="s">
        <v>268</v>
      </c>
      <c r="C46" s="42" t="s">
        <v>28</v>
      </c>
      <c r="D46" s="43" t="s">
        <v>16</v>
      </c>
      <c r="E46" s="43" t="s">
        <v>39</v>
      </c>
      <c r="F46" s="19" t="s">
        <v>8</v>
      </c>
      <c r="G46" s="19">
        <v>240</v>
      </c>
      <c r="H46" s="19">
        <v>2.4416666666666669</v>
      </c>
      <c r="I46" s="124">
        <v>713</v>
      </c>
      <c r="J46" s="56">
        <v>850</v>
      </c>
      <c r="K46" s="57">
        <v>1350</v>
      </c>
      <c r="L46" s="55" t="s">
        <v>9</v>
      </c>
      <c r="M46" s="57" t="s">
        <v>9</v>
      </c>
      <c r="N46" s="55">
        <f t="shared" si="6"/>
        <v>1113</v>
      </c>
      <c r="O46" s="4">
        <f t="shared" si="7"/>
        <v>2063</v>
      </c>
      <c r="P46" s="24"/>
      <c r="Q46" s="24"/>
      <c r="R46" s="24"/>
      <c r="S46" s="24"/>
      <c r="T46" s="24"/>
      <c r="U46" s="24"/>
      <c r="V46" s="24"/>
      <c r="W46" s="24"/>
      <c r="X46" s="24"/>
      <c r="Y46" s="24"/>
    </row>
    <row r="47" spans="1:25" s="3" customFormat="1" ht="27" customHeight="1" x14ac:dyDescent="0.35">
      <c r="A47" s="62">
        <f t="shared" si="1"/>
        <v>44</v>
      </c>
      <c r="B47" s="244" t="s">
        <v>268</v>
      </c>
      <c r="C47" s="42" t="s">
        <v>28</v>
      </c>
      <c r="D47" s="43" t="s">
        <v>16</v>
      </c>
      <c r="E47" s="43" t="s">
        <v>475</v>
      </c>
      <c r="F47" s="19" t="s">
        <v>8</v>
      </c>
      <c r="G47" s="19">
        <v>240</v>
      </c>
      <c r="H47" s="19">
        <v>2.4416666666666669</v>
      </c>
      <c r="I47" s="124">
        <f>I46+1210</f>
        <v>1923</v>
      </c>
      <c r="J47" s="56">
        <v>850</v>
      </c>
      <c r="K47" s="57">
        <v>1350</v>
      </c>
      <c r="L47" s="55" t="s">
        <v>9</v>
      </c>
      <c r="M47" s="57" t="s">
        <v>9</v>
      </c>
      <c r="N47" s="55">
        <f t="shared" si="6"/>
        <v>2323</v>
      </c>
      <c r="O47" s="4">
        <f t="shared" si="7"/>
        <v>3273</v>
      </c>
      <c r="P47" s="24"/>
      <c r="Q47" s="24"/>
      <c r="R47" s="24"/>
      <c r="S47" s="24"/>
      <c r="T47" s="24"/>
      <c r="U47" s="24"/>
      <c r="V47" s="24"/>
      <c r="W47" s="24"/>
      <c r="X47" s="24"/>
      <c r="Y47" s="24"/>
    </row>
    <row r="48" spans="1:25" s="3" customFormat="1" ht="27" customHeight="1" x14ac:dyDescent="0.35">
      <c r="A48" s="62">
        <f t="shared" si="1"/>
        <v>45</v>
      </c>
      <c r="B48" s="244" t="s">
        <v>268</v>
      </c>
      <c r="C48" s="42" t="s">
        <v>28</v>
      </c>
      <c r="D48" s="43" t="s">
        <v>19</v>
      </c>
      <c r="E48" s="43" t="s">
        <v>40</v>
      </c>
      <c r="F48" s="19" t="s">
        <v>8</v>
      </c>
      <c r="G48" s="19">
        <v>281</v>
      </c>
      <c r="H48" s="19">
        <v>0.16666666666666666</v>
      </c>
      <c r="I48" s="124">
        <f>1098*1.135</f>
        <v>1246.23</v>
      </c>
      <c r="J48" s="56">
        <v>850</v>
      </c>
      <c r="K48" s="57">
        <v>1350</v>
      </c>
      <c r="L48" s="55" t="s">
        <v>9</v>
      </c>
      <c r="M48" s="57" t="s">
        <v>9</v>
      </c>
      <c r="N48" s="55">
        <f t="shared" si="6"/>
        <v>1646.23</v>
      </c>
      <c r="O48" s="4">
        <f t="shared" si="7"/>
        <v>2596.23</v>
      </c>
      <c r="P48" s="24"/>
      <c r="Q48" s="24"/>
      <c r="R48" s="24"/>
      <c r="S48" s="24"/>
      <c r="T48" s="24"/>
      <c r="U48" s="24"/>
      <c r="V48" s="24"/>
      <c r="W48" s="24"/>
      <c r="X48" s="24"/>
      <c r="Y48" s="24"/>
    </row>
    <row r="49" spans="1:25" s="3" customFormat="1" ht="27" customHeight="1" x14ac:dyDescent="0.35">
      <c r="A49" s="62">
        <f t="shared" si="1"/>
        <v>46</v>
      </c>
      <c r="B49" s="244" t="s">
        <v>268</v>
      </c>
      <c r="C49" s="42" t="s">
        <v>28</v>
      </c>
      <c r="D49" s="43" t="s">
        <v>19</v>
      </c>
      <c r="E49" s="43" t="s">
        <v>161</v>
      </c>
      <c r="F49" s="19" t="s">
        <v>8</v>
      </c>
      <c r="G49" s="19">
        <v>281</v>
      </c>
      <c r="H49" s="19">
        <v>0.16666666666666666</v>
      </c>
      <c r="I49" s="124">
        <f>I48+(1065*1.135)</f>
        <v>2455.0050000000001</v>
      </c>
      <c r="J49" s="56">
        <v>850</v>
      </c>
      <c r="K49" s="57">
        <v>1350</v>
      </c>
      <c r="L49" s="55" t="s">
        <v>9</v>
      </c>
      <c r="M49" s="57" t="s">
        <v>9</v>
      </c>
      <c r="N49" s="55">
        <f t="shared" si="6"/>
        <v>2855.0050000000001</v>
      </c>
      <c r="O49" s="4">
        <f t="shared" si="7"/>
        <v>3805.0050000000001</v>
      </c>
      <c r="P49" s="24"/>
      <c r="Q49" s="24"/>
      <c r="R49" s="24"/>
      <c r="S49" s="24"/>
      <c r="T49" s="24"/>
      <c r="U49" s="24"/>
      <c r="V49" s="24"/>
      <c r="W49" s="24"/>
      <c r="X49" s="24"/>
      <c r="Y49" s="24"/>
    </row>
    <row r="50" spans="1:25" s="3" customFormat="1" ht="27" customHeight="1" x14ac:dyDescent="0.35">
      <c r="A50" s="62">
        <f t="shared" si="1"/>
        <v>47</v>
      </c>
      <c r="B50" s="244" t="s">
        <v>268</v>
      </c>
      <c r="C50" s="42" t="s">
        <v>28</v>
      </c>
      <c r="D50" s="43" t="s">
        <v>10</v>
      </c>
      <c r="E50" s="43" t="s">
        <v>476</v>
      </c>
      <c r="F50" s="19" t="s">
        <v>8</v>
      </c>
      <c r="G50" s="19">
        <v>258</v>
      </c>
      <c r="H50" s="19">
        <v>0.2</v>
      </c>
      <c r="I50" s="124">
        <v>1579</v>
      </c>
      <c r="J50" s="56">
        <v>850</v>
      </c>
      <c r="K50" s="57">
        <v>1350</v>
      </c>
      <c r="L50" s="55" t="s">
        <v>9</v>
      </c>
      <c r="M50" s="57" t="s">
        <v>9</v>
      </c>
      <c r="N50" s="55">
        <f t="shared" si="6"/>
        <v>1979</v>
      </c>
      <c r="O50" s="4">
        <f t="shared" si="7"/>
        <v>2929</v>
      </c>
      <c r="P50" s="24"/>
      <c r="Q50" s="24"/>
      <c r="R50" s="24"/>
      <c r="S50" s="24"/>
      <c r="T50" s="24"/>
      <c r="U50" s="24"/>
      <c r="V50" s="24"/>
      <c r="W50" s="24"/>
      <c r="X50" s="24"/>
      <c r="Y50" s="24"/>
    </row>
    <row r="51" spans="1:25" s="3" customFormat="1" ht="27" customHeight="1" x14ac:dyDescent="0.35">
      <c r="A51" s="62">
        <f t="shared" si="1"/>
        <v>48</v>
      </c>
      <c r="B51" s="244" t="s">
        <v>268</v>
      </c>
      <c r="C51" s="42" t="s">
        <v>28</v>
      </c>
      <c r="D51" s="43" t="s">
        <v>10</v>
      </c>
      <c r="E51" s="43" t="s">
        <v>477</v>
      </c>
      <c r="F51" s="19" t="s">
        <v>8</v>
      </c>
      <c r="G51" s="19">
        <v>258</v>
      </c>
      <c r="H51" s="19">
        <v>0.2</v>
      </c>
      <c r="I51" s="124">
        <f>I50+460</f>
        <v>2039</v>
      </c>
      <c r="J51" s="56">
        <v>850</v>
      </c>
      <c r="K51" s="57">
        <v>1350</v>
      </c>
      <c r="L51" s="55" t="s">
        <v>9</v>
      </c>
      <c r="M51" s="57" t="s">
        <v>9</v>
      </c>
      <c r="N51" s="55">
        <f t="shared" si="6"/>
        <v>2439</v>
      </c>
      <c r="O51" s="4">
        <f t="shared" si="7"/>
        <v>3389</v>
      </c>
      <c r="P51" s="24"/>
      <c r="Q51" s="24"/>
      <c r="R51" s="24"/>
      <c r="S51" s="24"/>
      <c r="T51" s="24"/>
      <c r="U51" s="24"/>
      <c r="V51" s="24"/>
      <c r="W51" s="24"/>
      <c r="X51" s="24"/>
      <c r="Y51" s="24"/>
    </row>
    <row r="52" spans="1:25" s="3" customFormat="1" ht="27" customHeight="1" x14ac:dyDescent="0.35">
      <c r="A52" s="62">
        <f t="shared" si="1"/>
        <v>49</v>
      </c>
      <c r="B52" s="244" t="s">
        <v>268</v>
      </c>
      <c r="C52" s="42" t="s">
        <v>28</v>
      </c>
      <c r="D52" s="43" t="s">
        <v>11</v>
      </c>
      <c r="E52" s="43" t="s">
        <v>478</v>
      </c>
      <c r="F52" s="19" t="s">
        <v>8</v>
      </c>
      <c r="G52" s="19">
        <v>216</v>
      </c>
      <c r="H52" s="19">
        <v>0.17083333333333331</v>
      </c>
      <c r="I52" s="124">
        <v>942</v>
      </c>
      <c r="J52" s="56">
        <v>850</v>
      </c>
      <c r="K52" s="57">
        <v>1350</v>
      </c>
      <c r="L52" s="55" t="s">
        <v>9</v>
      </c>
      <c r="M52" s="57" t="s">
        <v>9</v>
      </c>
      <c r="N52" s="55">
        <f t="shared" si="6"/>
        <v>1342</v>
      </c>
      <c r="O52" s="4">
        <f t="shared" si="7"/>
        <v>2292</v>
      </c>
      <c r="P52" s="24"/>
      <c r="Q52" s="24"/>
      <c r="R52" s="24"/>
      <c r="S52" s="24"/>
      <c r="T52" s="24"/>
      <c r="U52" s="24"/>
      <c r="V52" s="24"/>
      <c r="W52" s="24"/>
      <c r="X52" s="24"/>
      <c r="Y52" s="24"/>
    </row>
    <row r="53" spans="1:25" s="3" customFormat="1" ht="27" customHeight="1" x14ac:dyDescent="0.35">
      <c r="A53" s="62">
        <f t="shared" si="1"/>
        <v>50</v>
      </c>
      <c r="B53" s="244" t="s">
        <v>268</v>
      </c>
      <c r="C53" s="42" t="s">
        <v>28</v>
      </c>
      <c r="D53" s="43" t="s">
        <v>11</v>
      </c>
      <c r="E53" s="43" t="s">
        <v>479</v>
      </c>
      <c r="F53" s="19" t="s">
        <v>8</v>
      </c>
      <c r="G53" s="19">
        <v>216</v>
      </c>
      <c r="H53" s="19">
        <v>0.17083333333333331</v>
      </c>
      <c r="I53" s="124">
        <f>I52+646</f>
        <v>1588</v>
      </c>
      <c r="J53" s="56">
        <v>850</v>
      </c>
      <c r="K53" s="57">
        <v>1350</v>
      </c>
      <c r="L53" s="55" t="s">
        <v>9</v>
      </c>
      <c r="M53" s="57" t="s">
        <v>9</v>
      </c>
      <c r="N53" s="55">
        <f t="shared" si="6"/>
        <v>1988</v>
      </c>
      <c r="O53" s="4">
        <f t="shared" si="7"/>
        <v>2938</v>
      </c>
      <c r="P53" s="24"/>
      <c r="Q53" s="24"/>
      <c r="R53" s="24"/>
      <c r="S53" s="24"/>
      <c r="T53" s="24"/>
      <c r="U53" s="24"/>
      <c r="V53" s="24"/>
      <c r="W53" s="24"/>
      <c r="X53" s="24"/>
      <c r="Y53" s="24"/>
    </row>
    <row r="54" spans="1:25" s="3" customFormat="1" ht="27" customHeight="1" x14ac:dyDescent="0.35">
      <c r="A54" s="62">
        <f t="shared" si="1"/>
        <v>51</v>
      </c>
      <c r="B54" s="244" t="s">
        <v>268</v>
      </c>
      <c r="C54" s="42" t="s">
        <v>144</v>
      </c>
      <c r="D54" s="43" t="s">
        <v>19</v>
      </c>
      <c r="E54" s="43" t="s">
        <v>38</v>
      </c>
      <c r="F54" s="19" t="s">
        <v>8</v>
      </c>
      <c r="G54" s="19">
        <v>105</v>
      </c>
      <c r="H54" s="19">
        <v>0.11666666666666665</v>
      </c>
      <c r="I54" s="123">
        <f>923*1.135</f>
        <v>1047.605</v>
      </c>
      <c r="J54" s="56">
        <v>850</v>
      </c>
      <c r="K54" s="57">
        <v>1350</v>
      </c>
      <c r="L54" s="55" t="s">
        <v>9</v>
      </c>
      <c r="M54" s="57" t="s">
        <v>9</v>
      </c>
      <c r="N54" s="55">
        <f>I54+400</f>
        <v>1447.605</v>
      </c>
      <c r="O54" s="4">
        <f>N54+950</f>
        <v>2397.605</v>
      </c>
      <c r="P54" s="24"/>
      <c r="Q54" s="24"/>
      <c r="R54" s="24"/>
      <c r="S54" s="24"/>
      <c r="T54" s="24"/>
      <c r="U54" s="24"/>
      <c r="V54" s="24"/>
      <c r="W54" s="24"/>
      <c r="X54" s="24"/>
      <c r="Y54" s="24"/>
    </row>
    <row r="55" spans="1:25" s="3" customFormat="1" ht="27" customHeight="1" x14ac:dyDescent="0.35">
      <c r="A55" s="62">
        <f t="shared" si="1"/>
        <v>52</v>
      </c>
      <c r="B55" s="244" t="s">
        <v>268</v>
      </c>
      <c r="C55" s="42" t="s">
        <v>144</v>
      </c>
      <c r="D55" s="43" t="s">
        <v>19</v>
      </c>
      <c r="E55" s="43" t="s">
        <v>160</v>
      </c>
      <c r="F55" s="19" t="s">
        <v>8</v>
      </c>
      <c r="G55" s="19">
        <v>105</v>
      </c>
      <c r="H55" s="19">
        <v>0.11666666666666665</v>
      </c>
      <c r="I55" s="123">
        <f>I54+(1065*1.135)</f>
        <v>2256.38</v>
      </c>
      <c r="J55" s="56">
        <v>850</v>
      </c>
      <c r="K55" s="57">
        <v>1350</v>
      </c>
      <c r="L55" s="55" t="s">
        <v>9</v>
      </c>
      <c r="M55" s="57" t="s">
        <v>9</v>
      </c>
      <c r="N55" s="55">
        <f>I55+400</f>
        <v>2656.38</v>
      </c>
      <c r="O55" s="4">
        <f>N55+950</f>
        <v>3606.38</v>
      </c>
      <c r="P55" s="24"/>
      <c r="Q55" s="24"/>
      <c r="R55" s="24"/>
      <c r="S55" s="24"/>
      <c r="T55" s="24"/>
      <c r="U55" s="24"/>
      <c r="V55" s="24"/>
      <c r="W55" s="24"/>
      <c r="X55" s="24"/>
      <c r="Y55" s="24"/>
    </row>
    <row r="56" spans="1:25" s="3" customFormat="1" ht="27" customHeight="1" x14ac:dyDescent="0.35">
      <c r="A56" s="62">
        <f t="shared" si="1"/>
        <v>53</v>
      </c>
      <c r="B56" s="245" t="s">
        <v>269</v>
      </c>
      <c r="C56" s="42" t="s">
        <v>231</v>
      </c>
      <c r="D56" s="43" t="s">
        <v>13</v>
      </c>
      <c r="E56" s="43" t="s">
        <v>41</v>
      </c>
      <c r="F56" s="19">
        <v>26</v>
      </c>
      <c r="G56" s="19" t="s">
        <v>8</v>
      </c>
      <c r="H56" s="19">
        <v>3.4125000000000001</v>
      </c>
      <c r="I56" s="123">
        <f>6075*1.135</f>
        <v>6895.125</v>
      </c>
      <c r="J56" s="56">
        <v>1750</v>
      </c>
      <c r="K56" s="57">
        <v>2150</v>
      </c>
      <c r="L56" s="56">
        <v>1750</v>
      </c>
      <c r="M56" s="57">
        <v>4000</v>
      </c>
      <c r="N56" s="55">
        <f t="shared" si="6"/>
        <v>7295.125</v>
      </c>
      <c r="O56" s="4">
        <f t="shared" si="7"/>
        <v>8245.125</v>
      </c>
      <c r="P56" s="24"/>
      <c r="Q56" s="24"/>
      <c r="R56" s="24"/>
      <c r="S56" s="24"/>
      <c r="T56" s="24"/>
      <c r="U56" s="24"/>
      <c r="V56" s="24"/>
      <c r="W56" s="24"/>
      <c r="X56" s="24"/>
      <c r="Y56" s="24"/>
    </row>
    <row r="57" spans="1:25" s="3" customFormat="1" ht="27" customHeight="1" x14ac:dyDescent="0.35">
      <c r="A57" s="62">
        <f t="shared" si="1"/>
        <v>54</v>
      </c>
      <c r="B57" s="245" t="s">
        <v>269</v>
      </c>
      <c r="C57" s="42" t="s">
        <v>231</v>
      </c>
      <c r="D57" s="43" t="s">
        <v>11</v>
      </c>
      <c r="E57" s="43" t="s">
        <v>42</v>
      </c>
      <c r="F57" s="19">
        <v>46.5</v>
      </c>
      <c r="G57" s="19" t="s">
        <v>8</v>
      </c>
      <c r="H57" s="19">
        <v>5.6166666666666671</v>
      </c>
      <c r="I57" s="123">
        <v>2850</v>
      </c>
      <c r="J57" s="56">
        <v>1750</v>
      </c>
      <c r="K57" s="57">
        <v>2150</v>
      </c>
      <c r="L57" s="56">
        <v>1750</v>
      </c>
      <c r="M57" s="57">
        <v>4000</v>
      </c>
      <c r="N57" s="55">
        <f t="shared" si="6"/>
        <v>3250</v>
      </c>
      <c r="O57" s="4">
        <f t="shared" si="7"/>
        <v>4200</v>
      </c>
      <c r="P57" s="24"/>
      <c r="Q57" s="24"/>
      <c r="R57" s="24"/>
      <c r="S57" s="24"/>
      <c r="T57" s="24"/>
      <c r="U57" s="24"/>
      <c r="V57" s="24"/>
      <c r="W57" s="24"/>
      <c r="X57" s="24"/>
      <c r="Y57" s="24"/>
    </row>
    <row r="58" spans="1:25" s="3" customFormat="1" ht="27" customHeight="1" x14ac:dyDescent="0.35">
      <c r="A58" s="62">
        <f t="shared" si="1"/>
        <v>55</v>
      </c>
      <c r="B58" s="245" t="s">
        <v>269</v>
      </c>
      <c r="C58" s="42" t="s">
        <v>231</v>
      </c>
      <c r="D58" s="43" t="s">
        <v>11</v>
      </c>
      <c r="E58" s="43" t="s">
        <v>480</v>
      </c>
      <c r="F58" s="19">
        <v>46.5</v>
      </c>
      <c r="G58" s="19" t="s">
        <v>8</v>
      </c>
      <c r="H58" s="19">
        <v>5.6166666666666671</v>
      </c>
      <c r="I58" s="123">
        <f>I57+646</f>
        <v>3496</v>
      </c>
      <c r="J58" s="56">
        <v>1750</v>
      </c>
      <c r="K58" s="57">
        <v>2150</v>
      </c>
      <c r="L58" s="56">
        <v>1750</v>
      </c>
      <c r="M58" s="57">
        <v>4000</v>
      </c>
      <c r="N58" s="55">
        <f t="shared" si="6"/>
        <v>3896</v>
      </c>
      <c r="O58" s="4">
        <f t="shared" si="7"/>
        <v>4846</v>
      </c>
      <c r="P58" s="24"/>
      <c r="Q58" s="24"/>
      <c r="R58" s="24"/>
      <c r="S58" s="24"/>
      <c r="T58" s="24"/>
      <c r="U58" s="24"/>
      <c r="V58" s="24"/>
      <c r="W58" s="24"/>
      <c r="X58" s="24"/>
      <c r="Y58" s="24"/>
    </row>
    <row r="59" spans="1:25" s="3" customFormat="1" ht="27" customHeight="1" x14ac:dyDescent="0.35">
      <c r="A59" s="62">
        <f t="shared" si="1"/>
        <v>56</v>
      </c>
      <c r="B59" s="245" t="s">
        <v>269</v>
      </c>
      <c r="C59" s="42" t="s">
        <v>231</v>
      </c>
      <c r="D59" s="43" t="s">
        <v>16</v>
      </c>
      <c r="E59" s="43" t="s">
        <v>43</v>
      </c>
      <c r="F59" s="19">
        <v>50</v>
      </c>
      <c r="G59" s="19" t="s">
        <v>8</v>
      </c>
      <c r="H59" s="19">
        <v>5</v>
      </c>
      <c r="I59" s="123">
        <v>3060</v>
      </c>
      <c r="J59" s="56">
        <v>1750</v>
      </c>
      <c r="K59" s="57">
        <v>2150</v>
      </c>
      <c r="L59" s="56">
        <v>1750</v>
      </c>
      <c r="M59" s="57">
        <v>4000</v>
      </c>
      <c r="N59" s="55">
        <f t="shared" si="6"/>
        <v>3460</v>
      </c>
      <c r="O59" s="4">
        <f t="shared" si="7"/>
        <v>4410</v>
      </c>
      <c r="P59" s="24"/>
      <c r="Q59" s="24"/>
      <c r="R59" s="24"/>
      <c r="S59" s="24"/>
      <c r="T59" s="24"/>
      <c r="U59" s="24"/>
      <c r="V59" s="24"/>
      <c r="W59" s="24"/>
      <c r="X59" s="24"/>
      <c r="Y59" s="24"/>
    </row>
    <row r="60" spans="1:25" s="3" customFormat="1" ht="27" customHeight="1" x14ac:dyDescent="0.35">
      <c r="A60" s="62">
        <f t="shared" si="1"/>
        <v>57</v>
      </c>
      <c r="B60" s="245" t="s">
        <v>269</v>
      </c>
      <c r="C60" s="42" t="s">
        <v>231</v>
      </c>
      <c r="D60" s="43" t="s">
        <v>16</v>
      </c>
      <c r="E60" s="43" t="s">
        <v>501</v>
      </c>
      <c r="F60" s="19">
        <v>50</v>
      </c>
      <c r="G60" s="19" t="s">
        <v>8</v>
      </c>
      <c r="H60" s="19">
        <v>5</v>
      </c>
      <c r="I60" s="123">
        <f>I59+1587</f>
        <v>4647</v>
      </c>
      <c r="J60" s="56">
        <v>1750</v>
      </c>
      <c r="K60" s="57">
        <v>2150</v>
      </c>
      <c r="L60" s="56">
        <v>1750</v>
      </c>
      <c r="M60" s="57">
        <v>4000</v>
      </c>
      <c r="N60" s="55">
        <f t="shared" si="6"/>
        <v>5047</v>
      </c>
      <c r="O60" s="4">
        <f t="shared" si="7"/>
        <v>5997</v>
      </c>
      <c r="P60" s="24"/>
      <c r="Q60" s="335"/>
      <c r="R60" s="24"/>
      <c r="S60" s="24"/>
      <c r="T60" s="24"/>
      <c r="U60" s="24"/>
      <c r="V60" s="24"/>
      <c r="W60" s="24"/>
      <c r="X60" s="24"/>
      <c r="Y60" s="24"/>
    </row>
    <row r="61" spans="1:25" s="3" customFormat="1" ht="27" customHeight="1" x14ac:dyDescent="0.35">
      <c r="A61" s="62">
        <f t="shared" si="1"/>
        <v>58</v>
      </c>
      <c r="B61" s="245" t="s">
        <v>269</v>
      </c>
      <c r="C61" s="42" t="s">
        <v>231</v>
      </c>
      <c r="D61" s="43"/>
      <c r="E61" s="43"/>
      <c r="F61" s="19"/>
      <c r="G61" s="19"/>
      <c r="H61" s="19"/>
      <c r="I61" s="123"/>
      <c r="J61" s="56"/>
      <c r="K61" s="57"/>
      <c r="L61" s="56"/>
      <c r="M61" s="57"/>
      <c r="N61" s="55"/>
      <c r="O61" s="4"/>
      <c r="P61" s="24"/>
      <c r="Q61" s="24"/>
      <c r="R61" s="24"/>
      <c r="S61" s="24"/>
      <c r="T61" s="24"/>
      <c r="U61" s="24"/>
      <c r="V61" s="24"/>
      <c r="W61" s="24"/>
      <c r="X61" s="24"/>
      <c r="Y61" s="24"/>
    </row>
    <row r="62" spans="1:25" s="3" customFormat="1" ht="27" customHeight="1" x14ac:dyDescent="0.35">
      <c r="A62" s="62">
        <f t="shared" si="1"/>
        <v>59</v>
      </c>
      <c r="B62" s="245" t="s">
        <v>269</v>
      </c>
      <c r="C62" s="42" t="s">
        <v>231</v>
      </c>
      <c r="D62" s="43"/>
      <c r="E62" s="43"/>
      <c r="F62" s="19"/>
      <c r="G62" s="19"/>
      <c r="H62" s="19"/>
      <c r="I62" s="123"/>
      <c r="J62" s="56"/>
      <c r="K62" s="57"/>
      <c r="L62" s="56"/>
      <c r="M62" s="57"/>
      <c r="N62" s="55"/>
      <c r="O62" s="4"/>
      <c r="P62" s="24"/>
      <c r="Q62" s="24"/>
      <c r="R62" s="24"/>
      <c r="S62" s="24"/>
      <c r="T62" s="24"/>
      <c r="U62" s="24"/>
      <c r="V62" s="24"/>
      <c r="W62" s="24"/>
      <c r="X62" s="24"/>
      <c r="Y62" s="24"/>
    </row>
    <row r="63" spans="1:25" s="3" customFormat="1" ht="27" customHeight="1" x14ac:dyDescent="0.35">
      <c r="A63" s="62">
        <f t="shared" si="1"/>
        <v>60</v>
      </c>
      <c r="B63" s="245" t="s">
        <v>269</v>
      </c>
      <c r="C63" s="42" t="s">
        <v>231</v>
      </c>
      <c r="D63" s="43" t="s">
        <v>19</v>
      </c>
      <c r="E63" s="43" t="s">
        <v>45</v>
      </c>
      <c r="F63" s="19">
        <v>55.5</v>
      </c>
      <c r="G63" s="19" t="s">
        <v>8</v>
      </c>
      <c r="H63" s="19">
        <v>3.0166666666666671</v>
      </c>
      <c r="I63" s="123">
        <f>3107*1.135</f>
        <v>3526.4450000000002</v>
      </c>
      <c r="J63" s="56">
        <v>1750</v>
      </c>
      <c r="K63" s="57">
        <v>2150</v>
      </c>
      <c r="L63" s="56">
        <v>1750</v>
      </c>
      <c r="M63" s="57">
        <v>4000</v>
      </c>
      <c r="N63" s="55">
        <f t="shared" si="6"/>
        <v>3926.4450000000002</v>
      </c>
      <c r="O63" s="4">
        <f t="shared" si="7"/>
        <v>4876.4449999999997</v>
      </c>
      <c r="P63" s="24"/>
      <c r="Q63" s="24"/>
      <c r="R63" s="24"/>
      <c r="S63" s="24"/>
      <c r="T63" s="24"/>
      <c r="U63" s="24"/>
      <c r="V63" s="24"/>
      <c r="W63" s="24"/>
      <c r="X63" s="24"/>
      <c r="Y63" s="24"/>
    </row>
    <row r="64" spans="1:25" s="3" customFormat="1" ht="27" customHeight="1" x14ac:dyDescent="0.35">
      <c r="A64" s="62">
        <f t="shared" si="1"/>
        <v>61</v>
      </c>
      <c r="B64" s="245" t="s">
        <v>269</v>
      </c>
      <c r="C64" s="42" t="s">
        <v>231</v>
      </c>
      <c r="D64" s="43" t="s">
        <v>19</v>
      </c>
      <c r="E64" s="43" t="s">
        <v>165</v>
      </c>
      <c r="F64" s="19">
        <v>55.5</v>
      </c>
      <c r="G64" s="19" t="s">
        <v>8</v>
      </c>
      <c r="H64" s="19">
        <v>3.0166666666666671</v>
      </c>
      <c r="I64" s="123">
        <f>I63+(1065*1.135)</f>
        <v>4735.22</v>
      </c>
      <c r="J64" s="56">
        <v>1750</v>
      </c>
      <c r="K64" s="57">
        <v>2150</v>
      </c>
      <c r="L64" s="56">
        <v>1750</v>
      </c>
      <c r="M64" s="57">
        <v>4000</v>
      </c>
      <c r="N64" s="55">
        <f t="shared" si="6"/>
        <v>5135.22</v>
      </c>
      <c r="O64" s="4">
        <f t="shared" si="7"/>
        <v>6085.22</v>
      </c>
      <c r="P64" s="24"/>
      <c r="Q64" s="24"/>
      <c r="R64" s="24"/>
      <c r="S64" s="24"/>
      <c r="T64" s="24"/>
      <c r="U64" s="24"/>
      <c r="V64" s="24"/>
      <c r="W64" s="24"/>
      <c r="X64" s="24"/>
      <c r="Y64" s="24"/>
    </row>
    <row r="65" spans="1:34" s="3" customFormat="1" ht="27" customHeight="1" x14ac:dyDescent="0.35">
      <c r="A65" s="62">
        <f t="shared" si="1"/>
        <v>62</v>
      </c>
      <c r="B65" s="245" t="s">
        <v>269</v>
      </c>
      <c r="C65" s="42" t="s">
        <v>231</v>
      </c>
      <c r="D65" s="43" t="s">
        <v>10</v>
      </c>
      <c r="E65" s="43" t="s">
        <v>46</v>
      </c>
      <c r="F65" s="19">
        <v>59</v>
      </c>
      <c r="G65" s="19" t="s">
        <v>8</v>
      </c>
      <c r="H65" s="19">
        <v>4</v>
      </c>
      <c r="I65" s="123">
        <v>2650</v>
      </c>
      <c r="J65" s="56">
        <v>1750</v>
      </c>
      <c r="K65" s="57">
        <v>2150</v>
      </c>
      <c r="L65" s="56">
        <v>1750</v>
      </c>
      <c r="M65" s="57">
        <v>4000</v>
      </c>
      <c r="N65" s="55">
        <f t="shared" si="6"/>
        <v>3050</v>
      </c>
      <c r="O65" s="4">
        <f t="shared" si="7"/>
        <v>4000</v>
      </c>
      <c r="P65" s="24"/>
      <c r="Q65" s="24"/>
      <c r="R65" s="24"/>
      <c r="S65" s="24"/>
      <c r="T65" s="24"/>
      <c r="U65" s="24"/>
      <c r="V65" s="24"/>
      <c r="W65" s="24"/>
      <c r="X65" s="24"/>
      <c r="Y65" s="24"/>
    </row>
    <row r="66" spans="1:34" s="3" customFormat="1" ht="27" customHeight="1" x14ac:dyDescent="0.35">
      <c r="A66" s="62">
        <f t="shared" si="1"/>
        <v>63</v>
      </c>
      <c r="B66" s="245" t="s">
        <v>269</v>
      </c>
      <c r="C66" s="42" t="s">
        <v>231</v>
      </c>
      <c r="D66" s="43" t="s">
        <v>10</v>
      </c>
      <c r="E66" s="43" t="s">
        <v>164</v>
      </c>
      <c r="F66" s="19">
        <v>59</v>
      </c>
      <c r="G66" s="19" t="s">
        <v>8</v>
      </c>
      <c r="H66" s="19">
        <v>4</v>
      </c>
      <c r="I66" s="123">
        <f>I65+460</f>
        <v>3110</v>
      </c>
      <c r="J66" s="56">
        <v>1750</v>
      </c>
      <c r="K66" s="57">
        <v>2150</v>
      </c>
      <c r="L66" s="56">
        <v>1750</v>
      </c>
      <c r="M66" s="57">
        <v>4000</v>
      </c>
      <c r="N66" s="55">
        <f t="shared" si="6"/>
        <v>3510</v>
      </c>
      <c r="O66" s="4">
        <f t="shared" si="7"/>
        <v>4460</v>
      </c>
      <c r="P66" s="24"/>
      <c r="Q66" s="24"/>
      <c r="R66" s="24"/>
      <c r="S66" s="24"/>
      <c r="T66" s="24"/>
      <c r="U66" s="24"/>
      <c r="V66" s="24"/>
      <c r="W66" s="24"/>
      <c r="X66" s="24"/>
      <c r="Y66" s="24"/>
    </row>
    <row r="67" spans="1:34" s="3" customFormat="1" ht="27" customHeight="1" x14ac:dyDescent="0.35">
      <c r="A67" s="62">
        <f t="shared" si="1"/>
        <v>64</v>
      </c>
      <c r="B67" s="245" t="s">
        <v>269</v>
      </c>
      <c r="C67" s="42" t="s">
        <v>144</v>
      </c>
      <c r="D67" s="43" t="s">
        <v>29</v>
      </c>
      <c r="E67" s="43" t="s">
        <v>47</v>
      </c>
      <c r="F67" s="19">
        <v>88</v>
      </c>
      <c r="G67" s="19" t="s">
        <v>8</v>
      </c>
      <c r="H67" s="19">
        <v>3.2562500000000001</v>
      </c>
      <c r="I67" s="123">
        <f>4080*1.135</f>
        <v>4630.8</v>
      </c>
      <c r="J67" s="56">
        <v>1750</v>
      </c>
      <c r="K67" s="57">
        <v>2150</v>
      </c>
      <c r="L67" s="56">
        <v>1750</v>
      </c>
      <c r="M67" s="57">
        <v>4000</v>
      </c>
      <c r="N67" s="55">
        <f t="shared" si="6"/>
        <v>5030.8</v>
      </c>
      <c r="O67" s="4">
        <f t="shared" si="7"/>
        <v>5980.8</v>
      </c>
      <c r="P67" s="24"/>
      <c r="Q67" s="24"/>
      <c r="R67" s="24"/>
      <c r="S67" s="24"/>
      <c r="T67" s="24"/>
      <c r="U67" s="24"/>
      <c r="V67" s="24"/>
      <c r="W67" s="24"/>
      <c r="X67" s="24"/>
      <c r="Y67" s="24"/>
    </row>
    <row r="68" spans="1:34" s="3" customFormat="1" ht="27" customHeight="1" x14ac:dyDescent="0.35">
      <c r="A68" s="62">
        <f t="shared" si="1"/>
        <v>65</v>
      </c>
      <c r="B68" s="245" t="s">
        <v>269</v>
      </c>
      <c r="C68" s="42" t="s">
        <v>144</v>
      </c>
      <c r="D68" s="43" t="s">
        <v>29</v>
      </c>
      <c r="E68" s="43" t="s">
        <v>166</v>
      </c>
      <c r="F68" s="19">
        <v>88</v>
      </c>
      <c r="G68" s="19" t="s">
        <v>8</v>
      </c>
      <c r="H68" s="19">
        <v>3.2562500000000001</v>
      </c>
      <c r="I68" s="123">
        <f>I67+(250*1.135)</f>
        <v>4914.55</v>
      </c>
      <c r="J68" s="56">
        <v>1750</v>
      </c>
      <c r="K68" s="57">
        <v>2150</v>
      </c>
      <c r="L68" s="56">
        <v>1750</v>
      </c>
      <c r="M68" s="57">
        <v>4000</v>
      </c>
      <c r="N68" s="55">
        <f t="shared" si="6"/>
        <v>5314.55</v>
      </c>
      <c r="O68" s="4">
        <f t="shared" si="7"/>
        <v>6264.55</v>
      </c>
      <c r="P68" s="24"/>
      <c r="Q68" s="24"/>
      <c r="R68" s="24"/>
      <c r="S68" s="24"/>
      <c r="T68" s="24"/>
      <c r="U68" s="24"/>
      <c r="V68" s="24"/>
      <c r="W68" s="24"/>
      <c r="X68" s="24"/>
      <c r="Y68" s="24"/>
    </row>
    <row r="69" spans="1:34" s="3" customFormat="1" ht="27" customHeight="1" x14ac:dyDescent="0.35">
      <c r="A69" s="62">
        <f t="shared" si="1"/>
        <v>66</v>
      </c>
      <c r="B69" s="245" t="s">
        <v>269</v>
      </c>
      <c r="C69" s="42" t="s">
        <v>144</v>
      </c>
      <c r="D69" s="43" t="s">
        <v>19</v>
      </c>
      <c r="E69" s="43" t="s">
        <v>48</v>
      </c>
      <c r="F69" s="19">
        <v>92</v>
      </c>
      <c r="G69" s="20" t="s">
        <v>8</v>
      </c>
      <c r="H69" s="20">
        <v>3.0208333333333335</v>
      </c>
      <c r="I69" s="123">
        <f>3464*1.135</f>
        <v>3931.64</v>
      </c>
      <c r="J69" s="56">
        <v>1750</v>
      </c>
      <c r="K69" s="57">
        <v>2150</v>
      </c>
      <c r="L69" s="56">
        <v>1750</v>
      </c>
      <c r="M69" s="57">
        <v>4000</v>
      </c>
      <c r="N69" s="55">
        <f t="shared" si="6"/>
        <v>4331.6399999999994</v>
      </c>
      <c r="O69" s="4">
        <f t="shared" si="7"/>
        <v>5281.6399999999994</v>
      </c>
    </row>
    <row r="70" spans="1:34" s="3" customFormat="1" ht="27" customHeight="1" x14ac:dyDescent="0.35">
      <c r="A70" s="62">
        <f t="shared" si="1"/>
        <v>67</v>
      </c>
      <c r="B70" s="245" t="s">
        <v>269</v>
      </c>
      <c r="C70" s="42" t="s">
        <v>144</v>
      </c>
      <c r="D70" s="43" t="s">
        <v>19</v>
      </c>
      <c r="E70" s="43" t="s">
        <v>169</v>
      </c>
      <c r="F70" s="19">
        <v>92</v>
      </c>
      <c r="G70" s="20" t="s">
        <v>8</v>
      </c>
      <c r="H70" s="20">
        <v>3.0208333333333335</v>
      </c>
      <c r="I70" s="123">
        <f>I69+(1065*1.135)</f>
        <v>5140.415</v>
      </c>
      <c r="J70" s="56">
        <v>1750</v>
      </c>
      <c r="K70" s="57">
        <v>2150</v>
      </c>
      <c r="L70" s="56">
        <v>1750</v>
      </c>
      <c r="M70" s="57">
        <v>4000</v>
      </c>
      <c r="N70" s="55">
        <f t="shared" si="6"/>
        <v>5540.415</v>
      </c>
      <c r="O70" s="4">
        <f t="shared" si="7"/>
        <v>6490.415</v>
      </c>
    </row>
    <row r="71" spans="1:34" s="3" customFormat="1" ht="27" customHeight="1" x14ac:dyDescent="0.35">
      <c r="A71" s="62">
        <f t="shared" ref="A71:A134" si="8">A70+1</f>
        <v>68</v>
      </c>
      <c r="B71" s="245" t="s">
        <v>269</v>
      </c>
      <c r="C71" s="42" t="s">
        <v>144</v>
      </c>
      <c r="D71" s="43" t="s">
        <v>11</v>
      </c>
      <c r="E71" s="43" t="s">
        <v>49</v>
      </c>
      <c r="F71" s="19">
        <v>99</v>
      </c>
      <c r="G71" s="19" t="s">
        <v>8</v>
      </c>
      <c r="H71" s="19">
        <v>7.3312499999999998</v>
      </c>
      <c r="I71" s="123">
        <v>3550</v>
      </c>
      <c r="J71" s="56">
        <v>1750</v>
      </c>
      <c r="K71" s="57">
        <v>2150</v>
      </c>
      <c r="L71" s="56">
        <v>1750</v>
      </c>
      <c r="M71" s="57">
        <v>4000</v>
      </c>
      <c r="N71" s="55">
        <f t="shared" si="6"/>
        <v>3950</v>
      </c>
      <c r="O71" s="4">
        <f t="shared" si="7"/>
        <v>4900</v>
      </c>
      <c r="P71" s="7"/>
      <c r="Q71" s="7"/>
      <c r="R71" s="7"/>
      <c r="S71" s="7"/>
      <c r="T71" s="7"/>
      <c r="U71" s="7"/>
      <c r="V71" s="7"/>
      <c r="W71" s="7"/>
      <c r="X71" s="7"/>
      <c r="Y71" s="7"/>
      <c r="AA71" s="22"/>
      <c r="AB71" s="22"/>
      <c r="AC71" s="22"/>
      <c r="AD71" s="22"/>
    </row>
    <row r="72" spans="1:34" s="3" customFormat="1" ht="27" customHeight="1" x14ac:dyDescent="0.35">
      <c r="A72" s="62">
        <f t="shared" si="8"/>
        <v>69</v>
      </c>
      <c r="B72" s="245" t="s">
        <v>269</v>
      </c>
      <c r="C72" s="42" t="s">
        <v>144</v>
      </c>
      <c r="D72" s="43" t="s">
        <v>11</v>
      </c>
      <c r="E72" s="43" t="s">
        <v>481</v>
      </c>
      <c r="F72" s="19">
        <v>99</v>
      </c>
      <c r="G72" s="19" t="s">
        <v>8</v>
      </c>
      <c r="H72" s="19">
        <v>7.3312499999999998</v>
      </c>
      <c r="I72" s="123">
        <f>I71+646</f>
        <v>4196</v>
      </c>
      <c r="J72" s="56">
        <v>1750</v>
      </c>
      <c r="K72" s="57">
        <v>2150</v>
      </c>
      <c r="L72" s="56">
        <v>1750</v>
      </c>
      <c r="M72" s="57">
        <v>4000</v>
      </c>
      <c r="N72" s="55">
        <f t="shared" si="6"/>
        <v>4596</v>
      </c>
      <c r="O72" s="4">
        <f t="shared" si="7"/>
        <v>5546</v>
      </c>
      <c r="P72" s="7"/>
      <c r="Q72" s="7"/>
      <c r="R72" s="7"/>
      <c r="S72" s="7"/>
      <c r="T72" s="7"/>
      <c r="U72" s="7"/>
      <c r="V72" s="7"/>
      <c r="W72" s="7"/>
      <c r="X72" s="7"/>
      <c r="Y72" s="7"/>
      <c r="AA72" s="22"/>
      <c r="AB72" s="22"/>
      <c r="AC72" s="22"/>
      <c r="AD72" s="22"/>
    </row>
    <row r="73" spans="1:34" s="3" customFormat="1" ht="27" customHeight="1" x14ac:dyDescent="0.35">
      <c r="A73" s="62">
        <f t="shared" si="8"/>
        <v>70</v>
      </c>
      <c r="B73" s="245" t="s">
        <v>269</v>
      </c>
      <c r="C73" s="42" t="s">
        <v>144</v>
      </c>
      <c r="D73" s="43" t="s">
        <v>10</v>
      </c>
      <c r="E73" s="43" t="s">
        <v>50</v>
      </c>
      <c r="F73" s="19">
        <v>100</v>
      </c>
      <c r="G73" s="19" t="s">
        <v>8</v>
      </c>
      <c r="H73" s="19">
        <v>4.6833333333333336</v>
      </c>
      <c r="I73" s="123">
        <v>3400</v>
      </c>
      <c r="J73" s="56">
        <v>1750</v>
      </c>
      <c r="K73" s="57">
        <v>2150</v>
      </c>
      <c r="L73" s="56">
        <v>1750</v>
      </c>
      <c r="M73" s="57">
        <v>4000</v>
      </c>
      <c r="N73" s="55">
        <f t="shared" si="6"/>
        <v>3800</v>
      </c>
      <c r="O73" s="4">
        <f t="shared" si="7"/>
        <v>4750</v>
      </c>
      <c r="AA73" s="22"/>
      <c r="AB73" s="22"/>
      <c r="AC73" s="22"/>
      <c r="AD73" s="22"/>
    </row>
    <row r="74" spans="1:34" s="3" customFormat="1" ht="27" customHeight="1" x14ac:dyDescent="0.35">
      <c r="A74" s="62">
        <f t="shared" si="8"/>
        <v>71</v>
      </c>
      <c r="B74" s="245" t="s">
        <v>269</v>
      </c>
      <c r="C74" s="42" t="s">
        <v>144</v>
      </c>
      <c r="D74" s="43" t="s">
        <v>10</v>
      </c>
      <c r="E74" s="43" t="s">
        <v>168</v>
      </c>
      <c r="F74" s="19">
        <v>100</v>
      </c>
      <c r="G74" s="19" t="s">
        <v>8</v>
      </c>
      <c r="H74" s="19">
        <v>4.6833333333333336</v>
      </c>
      <c r="I74" s="123">
        <f>I73+460</f>
        <v>3860</v>
      </c>
      <c r="J74" s="56">
        <v>1750</v>
      </c>
      <c r="K74" s="57">
        <v>2150</v>
      </c>
      <c r="L74" s="56">
        <v>1750</v>
      </c>
      <c r="M74" s="57">
        <v>4000</v>
      </c>
      <c r="N74" s="55">
        <f t="shared" si="6"/>
        <v>4260</v>
      </c>
      <c r="O74" s="4">
        <f t="shared" si="7"/>
        <v>5210</v>
      </c>
      <c r="AA74" s="22"/>
      <c r="AB74" s="22"/>
      <c r="AC74" s="22"/>
      <c r="AD74" s="22"/>
    </row>
    <row r="75" spans="1:34" s="3" customFormat="1" ht="27" customHeight="1" x14ac:dyDescent="0.35">
      <c r="A75" s="62">
        <f t="shared" si="8"/>
        <v>72</v>
      </c>
      <c r="B75" s="245" t="s">
        <v>269</v>
      </c>
      <c r="C75" s="42" t="s">
        <v>144</v>
      </c>
      <c r="D75" s="43" t="s">
        <v>13</v>
      </c>
      <c r="E75" s="43" t="s">
        <v>147</v>
      </c>
      <c r="F75" s="19">
        <v>80.5</v>
      </c>
      <c r="G75" s="19" t="s">
        <v>8</v>
      </c>
      <c r="H75" s="19">
        <v>3</v>
      </c>
      <c r="I75" s="123">
        <f>6651*1.135</f>
        <v>7548.8850000000002</v>
      </c>
      <c r="J75" s="56">
        <v>1750</v>
      </c>
      <c r="K75" s="57">
        <v>2150</v>
      </c>
      <c r="L75" s="56">
        <v>1750</v>
      </c>
      <c r="M75" s="57">
        <v>4000</v>
      </c>
      <c r="N75" s="55">
        <f>I75+400</f>
        <v>7948.8850000000002</v>
      </c>
      <c r="O75" s="4">
        <f t="shared" si="7"/>
        <v>8898.8850000000002</v>
      </c>
      <c r="AA75" s="22"/>
      <c r="AB75" s="22"/>
      <c r="AC75" s="22"/>
      <c r="AD75" s="22"/>
    </row>
    <row r="76" spans="1:34" s="22" customFormat="1" ht="29" x14ac:dyDescent="0.35">
      <c r="A76" s="62">
        <f t="shared" si="8"/>
        <v>73</v>
      </c>
      <c r="B76" s="245" t="s">
        <v>269</v>
      </c>
      <c r="C76" s="42" t="s">
        <v>28</v>
      </c>
      <c r="D76" s="43" t="s">
        <v>29</v>
      </c>
      <c r="E76" s="43" t="s">
        <v>51</v>
      </c>
      <c r="F76" s="19">
        <v>132</v>
      </c>
      <c r="G76" s="19" t="s">
        <v>8</v>
      </c>
      <c r="H76" s="19">
        <v>3.3118055555555554</v>
      </c>
      <c r="I76" s="123">
        <f>4320*1.135</f>
        <v>4903.2</v>
      </c>
      <c r="J76" s="56">
        <v>1750</v>
      </c>
      <c r="K76" s="57">
        <v>2150</v>
      </c>
      <c r="L76" s="56">
        <v>1750</v>
      </c>
      <c r="M76" s="57">
        <v>4000</v>
      </c>
      <c r="N76" s="55">
        <f t="shared" si="6"/>
        <v>5303.2</v>
      </c>
      <c r="O76" s="4">
        <f t="shared" si="7"/>
        <v>6253.2</v>
      </c>
      <c r="AH76" s="3"/>
    </row>
    <row r="77" spans="1:34" s="22" customFormat="1" ht="29" x14ac:dyDescent="0.35">
      <c r="A77" s="62">
        <f t="shared" si="8"/>
        <v>74</v>
      </c>
      <c r="B77" s="245" t="s">
        <v>269</v>
      </c>
      <c r="C77" s="42" t="s">
        <v>28</v>
      </c>
      <c r="D77" s="43" t="s">
        <v>29</v>
      </c>
      <c r="E77" s="43" t="s">
        <v>170</v>
      </c>
      <c r="F77" s="19">
        <v>132</v>
      </c>
      <c r="G77" s="19" t="s">
        <v>8</v>
      </c>
      <c r="H77" s="19">
        <v>3.3118055555555554</v>
      </c>
      <c r="I77" s="123">
        <f>I76+(250*1.135)</f>
        <v>5186.95</v>
      </c>
      <c r="J77" s="56">
        <v>1750</v>
      </c>
      <c r="K77" s="57">
        <v>2150</v>
      </c>
      <c r="L77" s="56">
        <v>1750</v>
      </c>
      <c r="M77" s="57">
        <v>4000</v>
      </c>
      <c r="N77" s="55">
        <f t="shared" si="6"/>
        <v>5586.95</v>
      </c>
      <c r="O77" s="4">
        <f t="shared" si="7"/>
        <v>6536.95</v>
      </c>
      <c r="AH77" s="3"/>
    </row>
    <row r="78" spans="1:34" s="22" customFormat="1" ht="29" x14ac:dyDescent="0.35">
      <c r="A78" s="62">
        <f t="shared" si="8"/>
        <v>75</v>
      </c>
      <c r="B78" s="245" t="s">
        <v>269</v>
      </c>
      <c r="C78" s="42" t="s">
        <v>28</v>
      </c>
      <c r="D78" s="43" t="s">
        <v>19</v>
      </c>
      <c r="E78" s="43" t="s">
        <v>52</v>
      </c>
      <c r="F78" s="19">
        <v>170</v>
      </c>
      <c r="G78" s="19" t="s">
        <v>8</v>
      </c>
      <c r="H78" s="19">
        <v>3.0583333333333336</v>
      </c>
      <c r="I78" s="123">
        <f>4345*1.135</f>
        <v>4931.5749999999998</v>
      </c>
      <c r="J78" s="56">
        <v>1750</v>
      </c>
      <c r="K78" s="57">
        <v>2150</v>
      </c>
      <c r="L78" s="56">
        <v>1750</v>
      </c>
      <c r="M78" s="57">
        <v>4000</v>
      </c>
      <c r="N78" s="55">
        <f t="shared" si="6"/>
        <v>5331.5749999999998</v>
      </c>
      <c r="O78" s="4">
        <f t="shared" si="7"/>
        <v>6281.5749999999998</v>
      </c>
    </row>
    <row r="79" spans="1:34" s="22" customFormat="1" ht="29" x14ac:dyDescent="0.35">
      <c r="A79" s="62">
        <f t="shared" si="8"/>
        <v>76</v>
      </c>
      <c r="B79" s="245" t="s">
        <v>269</v>
      </c>
      <c r="C79" s="42" t="s">
        <v>28</v>
      </c>
      <c r="D79" s="43" t="s">
        <v>19</v>
      </c>
      <c r="E79" s="43" t="s">
        <v>171</v>
      </c>
      <c r="F79" s="19">
        <v>170</v>
      </c>
      <c r="G79" s="19" t="s">
        <v>8</v>
      </c>
      <c r="H79" s="19">
        <v>3.0583333333333336</v>
      </c>
      <c r="I79" s="123">
        <f>I78+(1065*1.135)</f>
        <v>6140.35</v>
      </c>
      <c r="J79" s="56">
        <v>1750</v>
      </c>
      <c r="K79" s="57">
        <v>2150</v>
      </c>
      <c r="L79" s="56">
        <v>1750</v>
      </c>
      <c r="M79" s="57">
        <v>4000</v>
      </c>
      <c r="N79" s="55">
        <f t="shared" si="6"/>
        <v>6540.35</v>
      </c>
      <c r="O79" s="4">
        <f t="shared" si="7"/>
        <v>7490.35</v>
      </c>
    </row>
    <row r="80" spans="1:34" s="22" customFormat="1" ht="29" x14ac:dyDescent="0.35">
      <c r="A80" s="62">
        <f t="shared" si="8"/>
        <v>77</v>
      </c>
      <c r="B80" s="245" t="s">
        <v>269</v>
      </c>
      <c r="C80" s="42" t="s">
        <v>28</v>
      </c>
      <c r="D80" s="43" t="s">
        <v>10</v>
      </c>
      <c r="E80" s="43" t="s">
        <v>53</v>
      </c>
      <c r="F80" s="19">
        <v>200</v>
      </c>
      <c r="G80" s="19" t="s">
        <v>8</v>
      </c>
      <c r="H80" s="19">
        <v>3.8909722222222225</v>
      </c>
      <c r="I80" s="123">
        <v>3804</v>
      </c>
      <c r="J80" s="56">
        <v>1750</v>
      </c>
      <c r="K80" s="57">
        <v>2150</v>
      </c>
      <c r="L80" s="56">
        <v>1750</v>
      </c>
      <c r="M80" s="57">
        <v>4000</v>
      </c>
      <c r="N80" s="55">
        <f t="shared" si="6"/>
        <v>4204</v>
      </c>
      <c r="O80" s="4">
        <f t="shared" si="7"/>
        <v>5154</v>
      </c>
    </row>
    <row r="81" spans="1:34" s="22" customFormat="1" ht="29" x14ac:dyDescent="0.35">
      <c r="A81" s="62">
        <f t="shared" si="8"/>
        <v>78</v>
      </c>
      <c r="B81" s="245" t="s">
        <v>269</v>
      </c>
      <c r="C81" s="42" t="s">
        <v>28</v>
      </c>
      <c r="D81" s="43" t="s">
        <v>10</v>
      </c>
      <c r="E81" s="43" t="s">
        <v>167</v>
      </c>
      <c r="F81" s="19">
        <v>200</v>
      </c>
      <c r="G81" s="19" t="s">
        <v>8</v>
      </c>
      <c r="H81" s="19">
        <v>3.8909722222222225</v>
      </c>
      <c r="I81" s="123">
        <f>I80+460</f>
        <v>4264</v>
      </c>
      <c r="J81" s="56">
        <v>1750</v>
      </c>
      <c r="K81" s="57">
        <v>2150</v>
      </c>
      <c r="L81" s="56">
        <v>1750</v>
      </c>
      <c r="M81" s="57">
        <v>4000</v>
      </c>
      <c r="N81" s="55">
        <f t="shared" si="6"/>
        <v>4664</v>
      </c>
      <c r="O81" s="4">
        <f t="shared" si="7"/>
        <v>5614</v>
      </c>
    </row>
    <row r="82" spans="1:34" s="22" customFormat="1" ht="29" x14ac:dyDescent="0.35">
      <c r="A82" s="62">
        <f t="shared" si="8"/>
        <v>79</v>
      </c>
      <c r="B82" s="245" t="s">
        <v>269</v>
      </c>
      <c r="C82" s="42" t="s">
        <v>28</v>
      </c>
      <c r="D82" s="43" t="s">
        <v>13</v>
      </c>
      <c r="E82" s="43" t="s">
        <v>54</v>
      </c>
      <c r="F82" s="19">
        <v>220</v>
      </c>
      <c r="G82" s="19" t="s">
        <v>8</v>
      </c>
      <c r="H82" s="19">
        <v>3.8027777777777776</v>
      </c>
      <c r="I82" s="123">
        <f>7952*1.135</f>
        <v>9025.52</v>
      </c>
      <c r="J82" s="56">
        <v>1750</v>
      </c>
      <c r="K82" s="57">
        <v>2150</v>
      </c>
      <c r="L82" s="56">
        <v>1750</v>
      </c>
      <c r="M82" s="57">
        <v>4000</v>
      </c>
      <c r="N82" s="55">
        <f t="shared" si="6"/>
        <v>9425.52</v>
      </c>
      <c r="O82" s="4">
        <f t="shared" si="7"/>
        <v>10375.52</v>
      </c>
    </row>
    <row r="83" spans="1:34" ht="29" x14ac:dyDescent="0.35">
      <c r="A83" s="62">
        <f t="shared" si="8"/>
        <v>80</v>
      </c>
      <c r="B83" s="241" t="s">
        <v>270</v>
      </c>
      <c r="C83" s="42" t="s">
        <v>231</v>
      </c>
      <c r="D83" s="43" t="s">
        <v>13</v>
      </c>
      <c r="E83" s="43" t="s">
        <v>55</v>
      </c>
      <c r="F83" s="19">
        <v>36</v>
      </c>
      <c r="G83" s="19">
        <v>4.8</v>
      </c>
      <c r="H83" s="19">
        <v>3.4125000000000001</v>
      </c>
      <c r="I83" s="123">
        <f>6390*1.135</f>
        <v>7252.65</v>
      </c>
      <c r="J83" s="56">
        <v>1750</v>
      </c>
      <c r="K83" s="57">
        <v>2150</v>
      </c>
      <c r="L83" s="56">
        <v>1750</v>
      </c>
      <c r="M83" s="57">
        <v>4000</v>
      </c>
      <c r="N83" s="55">
        <f t="shared" si="6"/>
        <v>7652.65</v>
      </c>
      <c r="O83" s="4">
        <f t="shared" si="7"/>
        <v>8602.65</v>
      </c>
      <c r="P83" s="22"/>
      <c r="Q83" s="22"/>
      <c r="R83" s="22"/>
      <c r="S83" s="22"/>
      <c r="T83" s="22"/>
      <c r="U83" s="22"/>
      <c r="V83" s="22"/>
      <c r="W83" s="22"/>
      <c r="X83" s="22"/>
      <c r="Y83" s="22"/>
      <c r="Z83" s="22"/>
      <c r="AH83" s="22"/>
    </row>
    <row r="84" spans="1:34" ht="29" x14ac:dyDescent="0.35">
      <c r="A84" s="62">
        <f t="shared" si="8"/>
        <v>81</v>
      </c>
      <c r="B84" s="241" t="s">
        <v>270</v>
      </c>
      <c r="C84" s="42" t="s">
        <v>231</v>
      </c>
      <c r="D84" s="43" t="s">
        <v>10</v>
      </c>
      <c r="E84" s="43" t="s">
        <v>56</v>
      </c>
      <c r="F84" s="19">
        <v>37.5</v>
      </c>
      <c r="G84" s="19">
        <v>32</v>
      </c>
      <c r="H84" s="19">
        <v>4.7875000000000005</v>
      </c>
      <c r="I84" s="123">
        <v>4150</v>
      </c>
      <c r="J84" s="56">
        <v>1750</v>
      </c>
      <c r="K84" s="57">
        <v>2150</v>
      </c>
      <c r="L84" s="56">
        <v>1750</v>
      </c>
      <c r="M84" s="57">
        <v>4000</v>
      </c>
      <c r="N84" s="55">
        <f t="shared" si="6"/>
        <v>4550</v>
      </c>
      <c r="O84" s="4">
        <f t="shared" si="7"/>
        <v>5500</v>
      </c>
      <c r="P84" s="22"/>
      <c r="Q84" s="22"/>
      <c r="R84" s="22"/>
      <c r="S84" s="22"/>
      <c r="T84" s="22"/>
      <c r="U84" s="22"/>
      <c r="V84" s="22"/>
      <c r="W84" s="22"/>
      <c r="X84" s="22"/>
      <c r="Y84" s="22"/>
      <c r="Z84" s="22"/>
      <c r="AH84" s="22"/>
    </row>
    <row r="85" spans="1:34" ht="29" x14ac:dyDescent="0.35">
      <c r="A85" s="62">
        <f t="shared" si="8"/>
        <v>82</v>
      </c>
      <c r="B85" s="241" t="s">
        <v>270</v>
      </c>
      <c r="C85" s="42" t="s">
        <v>231</v>
      </c>
      <c r="D85" s="43" t="s">
        <v>10</v>
      </c>
      <c r="E85" s="43" t="s">
        <v>173</v>
      </c>
      <c r="F85" s="19">
        <v>37.5</v>
      </c>
      <c r="G85" s="19">
        <v>32</v>
      </c>
      <c r="H85" s="19">
        <v>4.7875000000000005</v>
      </c>
      <c r="I85" s="123">
        <f>I84+460</f>
        <v>4610</v>
      </c>
      <c r="J85" s="56">
        <v>1750</v>
      </c>
      <c r="K85" s="57">
        <v>2150</v>
      </c>
      <c r="L85" s="56">
        <v>1750</v>
      </c>
      <c r="M85" s="57">
        <v>4000</v>
      </c>
      <c r="N85" s="55">
        <f t="shared" si="6"/>
        <v>5010</v>
      </c>
      <c r="O85" s="4">
        <f t="shared" si="7"/>
        <v>5960</v>
      </c>
      <c r="P85" s="22"/>
      <c r="Q85" s="22"/>
      <c r="R85" s="22"/>
      <c r="S85" s="22"/>
      <c r="T85" s="22"/>
      <c r="U85" s="22"/>
      <c r="V85" s="22"/>
      <c r="W85" s="22"/>
      <c r="X85" s="22"/>
      <c r="Y85" s="22"/>
      <c r="Z85" s="22"/>
      <c r="AH85" s="22"/>
    </row>
    <row r="86" spans="1:34" ht="29" x14ac:dyDescent="0.35">
      <c r="A86" s="62">
        <f t="shared" si="8"/>
        <v>83</v>
      </c>
      <c r="B86" s="241" t="s">
        <v>270</v>
      </c>
      <c r="C86" s="42" t="s">
        <v>231</v>
      </c>
      <c r="D86" s="43" t="s">
        <v>19</v>
      </c>
      <c r="E86" s="43" t="s">
        <v>57</v>
      </c>
      <c r="F86" s="19">
        <v>36</v>
      </c>
      <c r="G86" s="19">
        <v>34.299999999999997</v>
      </c>
      <c r="H86" s="19">
        <v>3</v>
      </c>
      <c r="I86" s="123">
        <f>5050*1.135</f>
        <v>5731.75</v>
      </c>
      <c r="J86" s="56">
        <v>1750</v>
      </c>
      <c r="K86" s="57">
        <v>2150</v>
      </c>
      <c r="L86" s="56">
        <v>1750</v>
      </c>
      <c r="M86" s="57">
        <v>4000</v>
      </c>
      <c r="N86" s="55">
        <f t="shared" si="6"/>
        <v>6131.75</v>
      </c>
      <c r="O86" s="4">
        <f t="shared" si="7"/>
        <v>7081.75</v>
      </c>
      <c r="P86" s="22"/>
      <c r="Q86" s="22"/>
      <c r="R86" s="22"/>
      <c r="S86" s="22"/>
      <c r="T86" s="22"/>
      <c r="U86" s="22"/>
      <c r="V86" s="22"/>
      <c r="W86" s="22"/>
      <c r="X86" s="22"/>
      <c r="Y86" s="22"/>
      <c r="Z86" s="22"/>
      <c r="AH86" s="22"/>
    </row>
    <row r="87" spans="1:34" ht="29" x14ac:dyDescent="0.35">
      <c r="A87" s="62">
        <f t="shared" si="8"/>
        <v>84</v>
      </c>
      <c r="B87" s="241" t="s">
        <v>270</v>
      </c>
      <c r="C87" s="42" t="s">
        <v>231</v>
      </c>
      <c r="D87" s="43" t="s">
        <v>19</v>
      </c>
      <c r="E87" s="43" t="s">
        <v>174</v>
      </c>
      <c r="F87" s="19">
        <v>36</v>
      </c>
      <c r="G87" s="19">
        <v>34.299999999999997</v>
      </c>
      <c r="H87" s="19">
        <v>3</v>
      </c>
      <c r="I87" s="123">
        <f>I86+(1065*1.135)</f>
        <v>6940.5249999999996</v>
      </c>
      <c r="J87" s="56">
        <v>1750</v>
      </c>
      <c r="K87" s="57">
        <v>2150</v>
      </c>
      <c r="L87" s="56">
        <v>1750</v>
      </c>
      <c r="M87" s="57">
        <v>4000</v>
      </c>
      <c r="N87" s="55">
        <f t="shared" si="6"/>
        <v>7340.5249999999996</v>
      </c>
      <c r="O87" s="4">
        <f t="shared" si="7"/>
        <v>8290.5249999999996</v>
      </c>
      <c r="P87" s="22"/>
      <c r="Q87" s="22"/>
      <c r="R87" s="22"/>
      <c r="S87" s="22"/>
      <c r="T87" s="22"/>
      <c r="U87" s="22"/>
      <c r="V87" s="22"/>
      <c r="W87" s="22"/>
      <c r="X87" s="22"/>
      <c r="Y87" s="22"/>
      <c r="Z87" s="22"/>
      <c r="AH87" s="22"/>
    </row>
    <row r="88" spans="1:34" ht="29" x14ac:dyDescent="0.35">
      <c r="A88" s="62">
        <f t="shared" si="8"/>
        <v>85</v>
      </c>
      <c r="B88" s="241" t="s">
        <v>270</v>
      </c>
      <c r="C88" s="42" t="s">
        <v>231</v>
      </c>
      <c r="D88" s="43" t="s">
        <v>29</v>
      </c>
      <c r="E88" s="43" t="s">
        <v>58</v>
      </c>
      <c r="F88" s="19">
        <v>57</v>
      </c>
      <c r="G88" s="19">
        <v>24</v>
      </c>
      <c r="H88" s="19">
        <v>3.4583333333333335</v>
      </c>
      <c r="I88" s="123">
        <f>4870*1.135</f>
        <v>5527.45</v>
      </c>
      <c r="J88" s="56">
        <v>1750</v>
      </c>
      <c r="K88" s="57">
        <v>2150</v>
      </c>
      <c r="L88" s="56">
        <v>1750</v>
      </c>
      <c r="M88" s="57">
        <v>4000</v>
      </c>
      <c r="N88" s="55">
        <f t="shared" si="6"/>
        <v>5927.45</v>
      </c>
      <c r="O88" s="4">
        <f t="shared" si="7"/>
        <v>6877.45</v>
      </c>
      <c r="P88" s="22"/>
      <c r="Q88" s="22"/>
      <c r="R88" s="22"/>
      <c r="S88" s="22"/>
      <c r="T88" s="22"/>
      <c r="U88" s="22"/>
      <c r="V88" s="22"/>
      <c r="W88" s="22"/>
      <c r="X88" s="22"/>
      <c r="Y88" s="22"/>
      <c r="Z88" s="22"/>
      <c r="AH88" s="22"/>
    </row>
    <row r="89" spans="1:34" ht="29" x14ac:dyDescent="0.35">
      <c r="A89" s="62">
        <f t="shared" si="8"/>
        <v>86</v>
      </c>
      <c r="B89" s="241" t="s">
        <v>270</v>
      </c>
      <c r="C89" s="42" t="s">
        <v>231</v>
      </c>
      <c r="D89" s="43" t="s">
        <v>29</v>
      </c>
      <c r="E89" s="43" t="s">
        <v>172</v>
      </c>
      <c r="F89" s="19">
        <v>57</v>
      </c>
      <c r="G89" s="19">
        <v>24</v>
      </c>
      <c r="H89" s="19">
        <v>3.4583333333333335</v>
      </c>
      <c r="I89" s="123">
        <f>I88+(250*1.135)</f>
        <v>5811.2</v>
      </c>
      <c r="J89" s="56">
        <v>1750</v>
      </c>
      <c r="K89" s="57">
        <v>2150</v>
      </c>
      <c r="L89" s="56">
        <v>1750</v>
      </c>
      <c r="M89" s="57">
        <v>4000</v>
      </c>
      <c r="N89" s="55">
        <f t="shared" si="6"/>
        <v>6211.2</v>
      </c>
      <c r="O89" s="4">
        <f t="shared" si="7"/>
        <v>7161.2</v>
      </c>
      <c r="P89" s="22"/>
      <c r="Q89" s="22"/>
      <c r="R89" s="22"/>
      <c r="S89" s="22"/>
      <c r="T89" s="22"/>
      <c r="U89" s="22"/>
      <c r="V89" s="22"/>
      <c r="W89" s="22"/>
      <c r="X89" s="22"/>
      <c r="Y89" s="22"/>
      <c r="Z89" s="22"/>
      <c r="AH89" s="22"/>
    </row>
    <row r="90" spans="1:34" ht="29" x14ac:dyDescent="0.35">
      <c r="A90" s="62">
        <f t="shared" si="8"/>
        <v>87</v>
      </c>
      <c r="B90" s="241" t="s">
        <v>270</v>
      </c>
      <c r="C90" s="42" t="s">
        <v>231</v>
      </c>
      <c r="D90" s="43" t="s">
        <v>11</v>
      </c>
      <c r="E90" s="43" t="s">
        <v>59</v>
      </c>
      <c r="F90" s="19">
        <v>58</v>
      </c>
      <c r="G90" s="19">
        <v>44</v>
      </c>
      <c r="H90" s="19">
        <v>11.8125</v>
      </c>
      <c r="I90" s="123">
        <v>4800</v>
      </c>
      <c r="J90" s="56">
        <v>1750</v>
      </c>
      <c r="K90" s="57">
        <v>2150</v>
      </c>
      <c r="L90" s="56">
        <v>1750</v>
      </c>
      <c r="M90" s="57">
        <v>4000</v>
      </c>
      <c r="N90" s="55">
        <f t="shared" si="6"/>
        <v>5200</v>
      </c>
      <c r="O90" s="4">
        <f t="shared" si="7"/>
        <v>6150</v>
      </c>
      <c r="P90" s="22"/>
      <c r="Q90" s="22"/>
      <c r="R90" s="22"/>
      <c r="S90" s="22"/>
      <c r="T90" s="22"/>
      <c r="U90" s="22"/>
      <c r="V90" s="22"/>
      <c r="W90" s="22"/>
      <c r="X90" s="22"/>
      <c r="Y90" s="22"/>
      <c r="Z90" s="22"/>
      <c r="AH90" s="22"/>
    </row>
    <row r="91" spans="1:34" ht="29" x14ac:dyDescent="0.35">
      <c r="A91" s="62">
        <f t="shared" si="8"/>
        <v>88</v>
      </c>
      <c r="B91" s="241" t="s">
        <v>270</v>
      </c>
      <c r="C91" s="42" t="s">
        <v>231</v>
      </c>
      <c r="D91" s="43" t="s">
        <v>11</v>
      </c>
      <c r="E91" s="43" t="s">
        <v>482</v>
      </c>
      <c r="F91" s="19">
        <v>58</v>
      </c>
      <c r="G91" s="19">
        <v>44</v>
      </c>
      <c r="H91" s="19">
        <v>11.8125</v>
      </c>
      <c r="I91" s="123">
        <f>I90+646</f>
        <v>5446</v>
      </c>
      <c r="J91" s="56">
        <v>1750</v>
      </c>
      <c r="K91" s="57">
        <v>2150</v>
      </c>
      <c r="L91" s="56">
        <v>1750</v>
      </c>
      <c r="M91" s="57">
        <v>4000</v>
      </c>
      <c r="N91" s="55">
        <f t="shared" si="6"/>
        <v>5846</v>
      </c>
      <c r="O91" s="4">
        <f t="shared" si="7"/>
        <v>6796</v>
      </c>
      <c r="P91" s="22"/>
      <c r="Q91" s="22"/>
      <c r="R91" s="22"/>
      <c r="S91" s="22"/>
      <c r="T91" s="22"/>
      <c r="U91" s="22"/>
      <c r="V91" s="22"/>
      <c r="W91" s="22"/>
      <c r="X91" s="22"/>
      <c r="Y91" s="22"/>
      <c r="Z91" s="22"/>
      <c r="AH91" s="22"/>
    </row>
    <row r="92" spans="1:34" ht="29" x14ac:dyDescent="0.35">
      <c r="A92" s="62">
        <f t="shared" si="8"/>
        <v>89</v>
      </c>
      <c r="B92" s="241" t="s">
        <v>270</v>
      </c>
      <c r="C92" s="42" t="s">
        <v>231</v>
      </c>
      <c r="D92" s="43" t="s">
        <v>16</v>
      </c>
      <c r="E92" s="43" t="s">
        <v>483</v>
      </c>
      <c r="F92" s="19">
        <v>48</v>
      </c>
      <c r="G92" s="19">
        <v>38</v>
      </c>
      <c r="H92" s="19">
        <v>7.9</v>
      </c>
      <c r="I92" s="123">
        <v>2550</v>
      </c>
      <c r="J92" s="56">
        <v>1750</v>
      </c>
      <c r="K92" s="57">
        <v>2150</v>
      </c>
      <c r="L92" s="56">
        <v>1750</v>
      </c>
      <c r="M92" s="57">
        <v>4000</v>
      </c>
      <c r="N92" s="55">
        <f>I92+400</f>
        <v>2950</v>
      </c>
      <c r="O92" s="4">
        <f t="shared" si="7"/>
        <v>3900</v>
      </c>
      <c r="P92" s="22"/>
      <c r="Q92" s="22"/>
      <c r="R92" s="22"/>
      <c r="S92" s="22"/>
      <c r="T92" s="22"/>
      <c r="U92" s="22"/>
      <c r="V92" s="22"/>
      <c r="W92" s="22"/>
      <c r="X92" s="22"/>
      <c r="Y92" s="22"/>
      <c r="Z92" s="22"/>
      <c r="AH92" s="22"/>
    </row>
    <row r="93" spans="1:34" ht="29" x14ac:dyDescent="0.35">
      <c r="A93" s="62">
        <f t="shared" si="8"/>
        <v>90</v>
      </c>
      <c r="B93" s="241" t="s">
        <v>270</v>
      </c>
      <c r="C93" s="42" t="s">
        <v>231</v>
      </c>
      <c r="D93" s="43" t="s">
        <v>16</v>
      </c>
      <c r="E93" s="43" t="s">
        <v>484</v>
      </c>
      <c r="F93" s="19">
        <v>48</v>
      </c>
      <c r="G93" s="19">
        <v>38</v>
      </c>
      <c r="H93" s="19">
        <v>7.9</v>
      </c>
      <c r="I93" s="123">
        <f>I92+1210</f>
        <v>3760</v>
      </c>
      <c r="J93" s="56">
        <v>1750</v>
      </c>
      <c r="K93" s="57">
        <v>2150</v>
      </c>
      <c r="L93" s="56">
        <v>1750</v>
      </c>
      <c r="M93" s="57">
        <v>4000</v>
      </c>
      <c r="N93" s="55">
        <f t="shared" ref="N93:N100" si="9">I93+400</f>
        <v>4160</v>
      </c>
      <c r="O93" s="4">
        <f t="shared" si="7"/>
        <v>5110</v>
      </c>
      <c r="P93" s="22"/>
      <c r="Q93" s="22"/>
      <c r="R93" s="22"/>
      <c r="S93" s="22"/>
      <c r="T93" s="22"/>
      <c r="U93" s="22"/>
      <c r="V93" s="22"/>
      <c r="W93" s="22"/>
      <c r="X93" s="22"/>
      <c r="Y93" s="22"/>
      <c r="Z93" s="22"/>
      <c r="AH93" s="22"/>
    </row>
    <row r="94" spans="1:34" ht="29" x14ac:dyDescent="0.35">
      <c r="A94" s="62">
        <f t="shared" si="8"/>
        <v>91</v>
      </c>
      <c r="B94" s="241" t="s">
        <v>270</v>
      </c>
      <c r="C94" s="42" t="s">
        <v>144</v>
      </c>
      <c r="D94" s="43" t="s">
        <v>13</v>
      </c>
      <c r="E94" s="43" t="s">
        <v>60</v>
      </c>
      <c r="F94" s="19">
        <v>70</v>
      </c>
      <c r="G94" s="19">
        <v>42</v>
      </c>
      <c r="H94" s="19">
        <v>3.0791666666666671</v>
      </c>
      <c r="I94" s="123">
        <f>10619*1.135</f>
        <v>12052.565000000001</v>
      </c>
      <c r="J94" s="56">
        <v>1750</v>
      </c>
      <c r="K94" s="57">
        <v>2150</v>
      </c>
      <c r="L94" s="56">
        <v>1750</v>
      </c>
      <c r="M94" s="57">
        <v>4000</v>
      </c>
      <c r="N94" s="55">
        <f t="shared" si="9"/>
        <v>12452.565000000001</v>
      </c>
      <c r="O94" s="4">
        <f t="shared" si="7"/>
        <v>13402.565000000001</v>
      </c>
      <c r="P94" s="22"/>
      <c r="Q94" s="22"/>
      <c r="R94" s="22"/>
      <c r="S94" s="22"/>
      <c r="T94" s="22"/>
      <c r="U94" s="22"/>
      <c r="V94" s="22"/>
      <c r="W94" s="22"/>
      <c r="X94" s="22"/>
      <c r="Y94" s="22"/>
      <c r="Z94" s="22"/>
      <c r="AH94" s="22"/>
    </row>
    <row r="95" spans="1:34" ht="29" x14ac:dyDescent="0.35">
      <c r="A95" s="62">
        <f t="shared" si="8"/>
        <v>92</v>
      </c>
      <c r="B95" s="241" t="s">
        <v>270</v>
      </c>
      <c r="C95" s="42" t="s">
        <v>144</v>
      </c>
      <c r="D95" s="43" t="s">
        <v>10</v>
      </c>
      <c r="E95" s="43" t="s">
        <v>520</v>
      </c>
      <c r="F95" s="19">
        <v>100</v>
      </c>
      <c r="G95" s="19">
        <v>40</v>
      </c>
      <c r="H95" s="19">
        <v>5.0604166666666668</v>
      </c>
      <c r="I95" s="123">
        <v>5800</v>
      </c>
      <c r="J95" s="56">
        <v>1750</v>
      </c>
      <c r="K95" s="57">
        <v>2150</v>
      </c>
      <c r="L95" s="56">
        <v>1750</v>
      </c>
      <c r="M95" s="57">
        <v>4000</v>
      </c>
      <c r="N95" s="55">
        <f t="shared" si="9"/>
        <v>6200</v>
      </c>
      <c r="O95" s="4">
        <f t="shared" ref="O95:O100" si="10">N95+950</f>
        <v>7150</v>
      </c>
      <c r="P95" s="22"/>
      <c r="Q95" s="22"/>
      <c r="R95" s="22"/>
      <c r="S95" s="22"/>
      <c r="T95" s="22"/>
      <c r="U95" s="22"/>
      <c r="V95" s="22"/>
      <c r="W95" s="22"/>
      <c r="X95" s="22"/>
      <c r="Y95" s="22"/>
      <c r="Z95" s="22"/>
      <c r="AH95" s="22"/>
    </row>
    <row r="96" spans="1:34" ht="29" x14ac:dyDescent="0.35">
      <c r="A96" s="62">
        <f t="shared" si="8"/>
        <v>93</v>
      </c>
      <c r="B96" s="241" t="s">
        <v>270</v>
      </c>
      <c r="C96" s="42" t="s">
        <v>144</v>
      </c>
      <c r="D96" s="43" t="s">
        <v>10</v>
      </c>
      <c r="E96" s="43" t="s">
        <v>521</v>
      </c>
      <c r="F96" s="19">
        <v>100</v>
      </c>
      <c r="G96" s="19">
        <v>40</v>
      </c>
      <c r="H96" s="19">
        <v>5.0604166666666668</v>
      </c>
      <c r="I96" s="123">
        <f>I95+460</f>
        <v>6260</v>
      </c>
      <c r="J96" s="56">
        <v>1750</v>
      </c>
      <c r="K96" s="57">
        <v>2150</v>
      </c>
      <c r="L96" s="56">
        <v>1750</v>
      </c>
      <c r="M96" s="57">
        <v>4000</v>
      </c>
      <c r="N96" s="55">
        <f t="shared" si="9"/>
        <v>6660</v>
      </c>
      <c r="O96" s="4">
        <f t="shared" si="10"/>
        <v>7610</v>
      </c>
      <c r="P96" s="22"/>
      <c r="Q96" s="22"/>
      <c r="R96" s="22"/>
      <c r="S96" s="22"/>
      <c r="T96" s="22"/>
      <c r="U96" s="22"/>
      <c r="V96" s="22"/>
      <c r="W96" s="22"/>
      <c r="X96" s="22"/>
      <c r="Y96" s="22"/>
      <c r="Z96" s="22"/>
      <c r="AH96" s="22"/>
    </row>
    <row r="97" spans="1:34" ht="29" x14ac:dyDescent="0.35">
      <c r="A97" s="62">
        <f t="shared" si="8"/>
        <v>94</v>
      </c>
      <c r="B97" s="241" t="s">
        <v>270</v>
      </c>
      <c r="C97" s="42" t="s">
        <v>144</v>
      </c>
      <c r="D97" s="43" t="s">
        <v>29</v>
      </c>
      <c r="E97" s="43" t="s">
        <v>61</v>
      </c>
      <c r="F97" s="19">
        <v>102</v>
      </c>
      <c r="G97" s="19">
        <v>42.9</v>
      </c>
      <c r="H97" s="19">
        <v>3.2495833333333333</v>
      </c>
      <c r="I97" s="123">
        <f>5810*1.135</f>
        <v>6594.35</v>
      </c>
      <c r="J97" s="56">
        <v>1750</v>
      </c>
      <c r="K97" s="57">
        <v>2150</v>
      </c>
      <c r="L97" s="56">
        <v>1750</v>
      </c>
      <c r="M97" s="57">
        <v>4000</v>
      </c>
      <c r="N97" s="55">
        <f t="shared" si="9"/>
        <v>6994.35</v>
      </c>
      <c r="O97" s="4">
        <f t="shared" si="10"/>
        <v>7944.35</v>
      </c>
      <c r="P97" s="22"/>
      <c r="Q97" s="22"/>
      <c r="R97" s="22"/>
      <c r="S97" s="22"/>
      <c r="T97" s="22"/>
      <c r="U97" s="22"/>
      <c r="V97" s="22"/>
      <c r="W97" s="22"/>
      <c r="X97" s="22"/>
      <c r="Y97" s="22"/>
      <c r="Z97" s="22"/>
      <c r="AH97" s="22"/>
    </row>
    <row r="98" spans="1:34" ht="29" x14ac:dyDescent="0.35">
      <c r="A98" s="62">
        <f t="shared" si="8"/>
        <v>95</v>
      </c>
      <c r="B98" s="241" t="s">
        <v>270</v>
      </c>
      <c r="C98" s="42" t="s">
        <v>144</v>
      </c>
      <c r="D98" s="43" t="s">
        <v>29</v>
      </c>
      <c r="E98" s="43" t="s">
        <v>175</v>
      </c>
      <c r="F98" s="19">
        <v>102</v>
      </c>
      <c r="G98" s="19">
        <v>42.9</v>
      </c>
      <c r="H98" s="19">
        <v>3.2495833333333333</v>
      </c>
      <c r="I98" s="123">
        <f>I97+(250*1.135)</f>
        <v>6878.1</v>
      </c>
      <c r="J98" s="56">
        <v>1750</v>
      </c>
      <c r="K98" s="57">
        <v>2150</v>
      </c>
      <c r="L98" s="56">
        <v>1750</v>
      </c>
      <c r="M98" s="57">
        <v>4000</v>
      </c>
      <c r="N98" s="55">
        <f t="shared" si="9"/>
        <v>7278.1</v>
      </c>
      <c r="O98" s="4">
        <f t="shared" si="10"/>
        <v>8228.1</v>
      </c>
      <c r="P98" s="22"/>
      <c r="Q98" s="22"/>
      <c r="R98" s="22"/>
      <c r="S98" s="22"/>
      <c r="T98" s="22"/>
      <c r="U98" s="22"/>
      <c r="V98" s="22"/>
      <c r="W98" s="22"/>
      <c r="X98" s="22"/>
      <c r="Y98" s="22"/>
      <c r="Z98" s="22"/>
      <c r="AH98" s="22"/>
    </row>
    <row r="99" spans="1:34" ht="29" x14ac:dyDescent="0.35">
      <c r="A99" s="62">
        <f t="shared" si="8"/>
        <v>96</v>
      </c>
      <c r="B99" s="241" t="s">
        <v>270</v>
      </c>
      <c r="C99" s="42" t="s">
        <v>144</v>
      </c>
      <c r="D99" s="43" t="s">
        <v>19</v>
      </c>
      <c r="E99" s="43" t="s">
        <v>485</v>
      </c>
      <c r="F99" s="19">
        <v>110</v>
      </c>
      <c r="G99" s="19">
        <v>16.8</v>
      </c>
      <c r="H99" s="19">
        <v>2.2999999999999998</v>
      </c>
      <c r="I99" s="123">
        <f>6175*1.135</f>
        <v>7008.625</v>
      </c>
      <c r="J99" s="56">
        <v>1750</v>
      </c>
      <c r="K99" s="57">
        <v>2150</v>
      </c>
      <c r="L99" s="56">
        <v>1750</v>
      </c>
      <c r="M99" s="57">
        <v>4000</v>
      </c>
      <c r="N99" s="55">
        <f t="shared" si="9"/>
        <v>7408.625</v>
      </c>
      <c r="O99" s="4">
        <f t="shared" si="10"/>
        <v>8358.625</v>
      </c>
      <c r="P99" s="22"/>
      <c r="Q99" s="22"/>
      <c r="R99" s="22"/>
      <c r="S99" s="22"/>
      <c r="T99" s="22"/>
      <c r="U99" s="22"/>
      <c r="V99" s="22"/>
      <c r="W99" s="22"/>
      <c r="X99" s="22"/>
      <c r="Y99" s="22"/>
      <c r="Z99" s="22"/>
      <c r="AH99" s="22"/>
    </row>
    <row r="100" spans="1:34" ht="29" x14ac:dyDescent="0.35">
      <c r="A100" s="62">
        <f t="shared" si="8"/>
        <v>97</v>
      </c>
      <c r="B100" s="241" t="s">
        <v>270</v>
      </c>
      <c r="C100" s="42" t="s">
        <v>144</v>
      </c>
      <c r="D100" s="43" t="s">
        <v>19</v>
      </c>
      <c r="E100" s="43" t="s">
        <v>486</v>
      </c>
      <c r="F100" s="19">
        <v>110</v>
      </c>
      <c r="G100" s="19">
        <v>16.8</v>
      </c>
      <c r="H100" s="19">
        <v>2.2999999999999998</v>
      </c>
      <c r="I100" s="123">
        <f>I99+(1065*1.135)</f>
        <v>8217.4</v>
      </c>
      <c r="J100" s="56">
        <v>1750</v>
      </c>
      <c r="K100" s="57">
        <v>2150</v>
      </c>
      <c r="L100" s="56">
        <v>1750</v>
      </c>
      <c r="M100" s="57">
        <v>4000</v>
      </c>
      <c r="N100" s="55">
        <f t="shared" si="9"/>
        <v>8617.4</v>
      </c>
      <c r="O100" s="4">
        <f t="shared" si="10"/>
        <v>9567.4</v>
      </c>
      <c r="P100" s="22"/>
      <c r="Q100" s="22"/>
      <c r="R100" s="22"/>
      <c r="S100" s="22"/>
      <c r="T100" s="22"/>
      <c r="U100" s="22"/>
      <c r="V100" s="22"/>
      <c r="W100" s="22"/>
      <c r="X100" s="22"/>
      <c r="Y100" s="22"/>
      <c r="Z100" s="22"/>
      <c r="AH100" s="22"/>
    </row>
    <row r="101" spans="1:34" ht="29" x14ac:dyDescent="0.35">
      <c r="A101" s="62">
        <f t="shared" si="8"/>
        <v>98</v>
      </c>
      <c r="B101" s="241" t="s">
        <v>270</v>
      </c>
      <c r="C101" s="42" t="s">
        <v>28</v>
      </c>
      <c r="D101" s="43" t="s">
        <v>13</v>
      </c>
      <c r="E101" s="43" t="s">
        <v>487</v>
      </c>
      <c r="F101" s="19">
        <v>120</v>
      </c>
      <c r="G101" s="19">
        <v>28</v>
      </c>
      <c r="H101" s="19">
        <v>3.4</v>
      </c>
      <c r="I101" s="123">
        <f>11069*1.135</f>
        <v>12563.315000000001</v>
      </c>
      <c r="J101" s="56">
        <v>1750</v>
      </c>
      <c r="K101" s="57">
        <v>2150</v>
      </c>
      <c r="L101" s="56">
        <v>1750</v>
      </c>
      <c r="M101" s="57">
        <v>4000</v>
      </c>
      <c r="N101" s="55">
        <f>I101+400</f>
        <v>12963.315000000001</v>
      </c>
      <c r="O101" s="4">
        <f>N101+950</f>
        <v>13913.315000000001</v>
      </c>
      <c r="P101" s="22"/>
      <c r="Q101" s="22"/>
      <c r="R101" s="22"/>
      <c r="S101" s="22"/>
      <c r="T101" s="22"/>
      <c r="U101" s="22"/>
      <c r="V101" s="22"/>
      <c r="W101" s="22"/>
      <c r="X101" s="22"/>
      <c r="Y101" s="22"/>
      <c r="Z101" s="22"/>
      <c r="AH101" s="22"/>
    </row>
    <row r="102" spans="1:34" x14ac:dyDescent="0.35">
      <c r="A102" s="62">
        <f t="shared" si="8"/>
        <v>99</v>
      </c>
      <c r="B102" s="9" t="s">
        <v>271</v>
      </c>
      <c r="C102" s="42" t="s">
        <v>231</v>
      </c>
      <c r="D102" s="43" t="s">
        <v>19</v>
      </c>
      <c r="E102" s="43" t="s">
        <v>62</v>
      </c>
      <c r="F102" s="19" t="s">
        <v>8</v>
      </c>
      <c r="G102" s="19">
        <v>34.299999999999997</v>
      </c>
      <c r="H102" s="19">
        <v>2</v>
      </c>
      <c r="I102" s="124">
        <f>2741*1.135</f>
        <v>3111.0349999999999</v>
      </c>
      <c r="J102" s="56">
        <v>1750</v>
      </c>
      <c r="K102" s="57">
        <v>2150</v>
      </c>
      <c r="L102" s="56">
        <v>1750</v>
      </c>
      <c r="M102" s="57">
        <v>4000</v>
      </c>
      <c r="N102" s="55">
        <f t="shared" ref="N102:N117" si="11">I102+J102</f>
        <v>4861.0349999999999</v>
      </c>
      <c r="O102" s="4">
        <f t="shared" ref="O102:O117" si="12">I102+K102</f>
        <v>5261.0349999999999</v>
      </c>
    </row>
    <row r="103" spans="1:34" x14ac:dyDescent="0.35">
      <c r="A103" s="62">
        <f t="shared" si="8"/>
        <v>100</v>
      </c>
      <c r="B103" s="9" t="s">
        <v>271</v>
      </c>
      <c r="C103" s="42" t="s">
        <v>231</v>
      </c>
      <c r="D103" s="43" t="s">
        <v>10</v>
      </c>
      <c r="E103" s="43" t="s">
        <v>63</v>
      </c>
      <c r="F103" s="19" t="s">
        <v>8</v>
      </c>
      <c r="G103" s="19">
        <v>48</v>
      </c>
      <c r="H103" s="19">
        <v>5</v>
      </c>
      <c r="I103" s="123">
        <v>2350</v>
      </c>
      <c r="J103" s="56">
        <v>1750</v>
      </c>
      <c r="K103" s="57">
        <v>2150</v>
      </c>
      <c r="L103" s="56">
        <v>1750</v>
      </c>
      <c r="M103" s="57">
        <v>4000</v>
      </c>
      <c r="N103" s="55">
        <f t="shared" si="11"/>
        <v>4100</v>
      </c>
      <c r="O103" s="4">
        <f t="shared" si="12"/>
        <v>4500</v>
      </c>
    </row>
    <row r="104" spans="1:34" x14ac:dyDescent="0.35">
      <c r="A104" s="62">
        <f t="shared" si="8"/>
        <v>101</v>
      </c>
      <c r="B104" s="9" t="s">
        <v>271</v>
      </c>
      <c r="C104" s="42" t="s">
        <v>144</v>
      </c>
      <c r="D104" s="43" t="s">
        <v>13</v>
      </c>
      <c r="E104" s="43" t="s">
        <v>64</v>
      </c>
      <c r="F104" s="19" t="s">
        <v>8</v>
      </c>
      <c r="G104" s="19">
        <v>64</v>
      </c>
      <c r="H104" s="19">
        <v>5</v>
      </c>
      <c r="I104" s="123">
        <f>5482*1.135</f>
        <v>6222.07</v>
      </c>
      <c r="J104" s="56">
        <v>1750</v>
      </c>
      <c r="K104" s="57">
        <v>2150</v>
      </c>
      <c r="L104" s="56">
        <v>1750</v>
      </c>
      <c r="M104" s="57">
        <v>4000</v>
      </c>
      <c r="N104" s="55">
        <f>I104+J104</f>
        <v>7972.07</v>
      </c>
      <c r="O104" s="4">
        <f>I104+K104</f>
        <v>8372.07</v>
      </c>
    </row>
    <row r="105" spans="1:34" s="3" customFormat="1" ht="27" customHeight="1" x14ac:dyDescent="0.35">
      <c r="A105" s="62">
        <f t="shared" si="8"/>
        <v>102</v>
      </c>
      <c r="B105" s="11" t="s">
        <v>272</v>
      </c>
      <c r="C105" s="42" t="s">
        <v>8</v>
      </c>
      <c r="D105" s="43" t="s">
        <v>65</v>
      </c>
      <c r="E105" s="43" t="s">
        <v>66</v>
      </c>
      <c r="F105" s="19" t="s">
        <v>8</v>
      </c>
      <c r="G105" s="19" t="s">
        <v>8</v>
      </c>
      <c r="H105" s="19" t="s">
        <v>8</v>
      </c>
      <c r="I105" s="123">
        <v>90.3</v>
      </c>
      <c r="J105" s="56">
        <v>0</v>
      </c>
      <c r="K105" s="57">
        <v>0</v>
      </c>
      <c r="L105" s="55" t="s">
        <v>9</v>
      </c>
      <c r="M105" s="57" t="s">
        <v>9</v>
      </c>
      <c r="N105" s="55">
        <f>I105+J105</f>
        <v>90.3</v>
      </c>
      <c r="O105" s="4">
        <f t="shared" si="12"/>
        <v>90.3</v>
      </c>
      <c r="P105" s="468"/>
      <c r="Q105" s="468"/>
      <c r="R105" s="468"/>
      <c r="S105" s="468"/>
      <c r="T105" s="468"/>
      <c r="U105" s="468"/>
      <c r="V105" s="468"/>
      <c r="W105" s="468"/>
      <c r="X105" s="468"/>
      <c r="Y105" s="468"/>
      <c r="AH105"/>
    </row>
    <row r="106" spans="1:34" s="3" customFormat="1" ht="27" customHeight="1" x14ac:dyDescent="0.35">
      <c r="A106" s="62">
        <f t="shared" si="8"/>
        <v>103</v>
      </c>
      <c r="B106" s="11" t="s">
        <v>272</v>
      </c>
      <c r="C106" s="42" t="s">
        <v>8</v>
      </c>
      <c r="D106" s="43" t="s">
        <v>502</v>
      </c>
      <c r="E106" s="43" t="s">
        <v>503</v>
      </c>
      <c r="F106" s="19" t="s">
        <v>8</v>
      </c>
      <c r="G106" s="19" t="s">
        <v>8</v>
      </c>
      <c r="H106" s="19" t="s">
        <v>8</v>
      </c>
      <c r="I106" s="123">
        <v>22.5</v>
      </c>
      <c r="J106" s="56">
        <v>0</v>
      </c>
      <c r="K106" s="57">
        <v>0</v>
      </c>
      <c r="L106" s="55" t="s">
        <v>9</v>
      </c>
      <c r="M106" s="57" t="s">
        <v>9</v>
      </c>
      <c r="N106" s="55">
        <f t="shared" ref="N106:N108" si="13">I106+J106</f>
        <v>22.5</v>
      </c>
      <c r="O106" s="4">
        <f t="shared" si="12"/>
        <v>22.5</v>
      </c>
      <c r="P106" s="457"/>
      <c r="Q106" s="457"/>
      <c r="R106" s="457"/>
      <c r="S106" s="457"/>
      <c r="T106" s="457"/>
      <c r="U106" s="457"/>
      <c r="V106" s="457"/>
      <c r="W106" s="457"/>
      <c r="X106" s="457"/>
      <c r="Y106" s="457"/>
      <c r="AH106"/>
    </row>
    <row r="107" spans="1:34" s="3" customFormat="1" ht="27" customHeight="1" x14ac:dyDescent="0.35">
      <c r="A107" s="62">
        <f t="shared" si="8"/>
        <v>104</v>
      </c>
      <c r="B107" s="11" t="s">
        <v>272</v>
      </c>
      <c r="C107" s="42" t="s">
        <v>8</v>
      </c>
      <c r="D107" s="43" t="s">
        <v>502</v>
      </c>
      <c r="E107" s="43" t="s">
        <v>504</v>
      </c>
      <c r="F107" s="19" t="s">
        <v>8</v>
      </c>
      <c r="G107" s="19" t="s">
        <v>8</v>
      </c>
      <c r="H107" s="19" t="s">
        <v>8</v>
      </c>
      <c r="I107" s="123">
        <v>22</v>
      </c>
      <c r="J107" s="56">
        <v>0</v>
      </c>
      <c r="K107" s="57">
        <v>0</v>
      </c>
      <c r="L107" s="55" t="s">
        <v>9</v>
      </c>
      <c r="M107" s="57" t="s">
        <v>9</v>
      </c>
      <c r="N107" s="55">
        <f t="shared" si="13"/>
        <v>22</v>
      </c>
      <c r="O107" s="4">
        <f t="shared" si="12"/>
        <v>22</v>
      </c>
      <c r="P107" s="457"/>
      <c r="Q107" s="457"/>
      <c r="R107" s="457"/>
      <c r="S107" s="457"/>
      <c r="T107" s="457"/>
      <c r="U107" s="457"/>
      <c r="V107" s="457"/>
      <c r="W107" s="457"/>
      <c r="X107" s="457"/>
      <c r="Y107" s="457"/>
      <c r="AH107"/>
    </row>
    <row r="108" spans="1:34" s="3" customFormat="1" ht="27" customHeight="1" x14ac:dyDescent="0.35">
      <c r="A108" s="62">
        <f t="shared" si="8"/>
        <v>105</v>
      </c>
      <c r="B108" s="11" t="s">
        <v>272</v>
      </c>
      <c r="C108" s="42" t="s">
        <v>8</v>
      </c>
      <c r="D108" s="43" t="s">
        <v>10</v>
      </c>
      <c r="E108" s="43" t="s">
        <v>505</v>
      </c>
      <c r="F108" s="19" t="s">
        <v>8</v>
      </c>
      <c r="G108" s="19" t="s">
        <v>8</v>
      </c>
      <c r="H108" s="19" t="s">
        <v>8</v>
      </c>
      <c r="I108" s="123">
        <v>23</v>
      </c>
      <c r="J108" s="56">
        <v>0</v>
      </c>
      <c r="K108" s="57">
        <v>0</v>
      </c>
      <c r="L108" s="55" t="s">
        <v>9</v>
      </c>
      <c r="M108" s="57" t="s">
        <v>9</v>
      </c>
      <c r="N108" s="55">
        <f t="shared" si="13"/>
        <v>23</v>
      </c>
      <c r="O108" s="4">
        <f t="shared" si="12"/>
        <v>23</v>
      </c>
      <c r="P108" s="457"/>
      <c r="Q108" s="457"/>
      <c r="R108" s="457"/>
      <c r="S108" s="457"/>
      <c r="T108" s="457"/>
      <c r="U108" s="457"/>
      <c r="V108" s="457"/>
      <c r="W108" s="457"/>
      <c r="X108" s="457"/>
      <c r="Y108" s="457"/>
      <c r="AH108"/>
    </row>
    <row r="109" spans="1:34" s="3" customFormat="1" ht="27" customHeight="1" x14ac:dyDescent="0.35">
      <c r="A109" s="62">
        <f t="shared" si="8"/>
        <v>106</v>
      </c>
      <c r="B109" s="10" t="s">
        <v>273</v>
      </c>
      <c r="C109" s="42" t="s">
        <v>8</v>
      </c>
      <c r="D109" s="43" t="s">
        <v>67</v>
      </c>
      <c r="E109" s="43" t="s">
        <v>98</v>
      </c>
      <c r="F109" s="19" t="s">
        <v>8</v>
      </c>
      <c r="G109" s="19" t="s">
        <v>8</v>
      </c>
      <c r="H109" s="19" t="s">
        <v>8</v>
      </c>
      <c r="I109" s="123">
        <v>1595</v>
      </c>
      <c r="J109" s="56">
        <v>200</v>
      </c>
      <c r="K109" s="57">
        <v>400</v>
      </c>
      <c r="L109" s="55" t="s">
        <v>9</v>
      </c>
      <c r="M109" s="57" t="s">
        <v>9</v>
      </c>
      <c r="N109" s="55">
        <f t="shared" si="11"/>
        <v>1795</v>
      </c>
      <c r="O109" s="4">
        <f t="shared" si="12"/>
        <v>1995</v>
      </c>
      <c r="P109" s="457"/>
      <c r="Q109" s="457"/>
      <c r="R109" s="457"/>
      <c r="S109" s="457"/>
      <c r="T109" s="457"/>
      <c r="U109" s="457"/>
      <c r="V109" s="457"/>
      <c r="W109" s="457"/>
      <c r="X109" s="457"/>
      <c r="Y109" s="457"/>
    </row>
    <row r="110" spans="1:34" s="3" customFormat="1" ht="27" customHeight="1" x14ac:dyDescent="0.35">
      <c r="A110" s="62">
        <f t="shared" si="8"/>
        <v>107</v>
      </c>
      <c r="B110" s="10" t="s">
        <v>273</v>
      </c>
      <c r="C110" s="42" t="s">
        <v>8</v>
      </c>
      <c r="D110" s="43" t="s">
        <v>97</v>
      </c>
      <c r="E110" s="43" t="s">
        <v>99</v>
      </c>
      <c r="F110" s="19" t="s">
        <v>8</v>
      </c>
      <c r="G110" s="19" t="s">
        <v>8</v>
      </c>
      <c r="H110" s="19" t="s">
        <v>8</v>
      </c>
      <c r="I110" s="123">
        <v>2977</v>
      </c>
      <c r="J110" s="56">
        <v>200</v>
      </c>
      <c r="K110" s="57">
        <v>400</v>
      </c>
      <c r="L110" s="55" t="s">
        <v>9</v>
      </c>
      <c r="M110" s="57" t="s">
        <v>9</v>
      </c>
      <c r="N110" s="55">
        <f t="shared" si="11"/>
        <v>3177</v>
      </c>
      <c r="O110" s="4">
        <f t="shared" si="12"/>
        <v>3377</v>
      </c>
      <c r="P110" s="7"/>
      <c r="Q110" s="7"/>
      <c r="R110" s="7"/>
      <c r="S110" s="7"/>
      <c r="T110" s="7"/>
      <c r="U110" s="7"/>
      <c r="V110" s="7"/>
      <c r="W110" s="7"/>
      <c r="X110" s="7"/>
      <c r="Y110" s="7"/>
    </row>
    <row r="111" spans="1:34" s="3" customFormat="1" ht="27" customHeight="1" x14ac:dyDescent="0.35">
      <c r="A111" s="62">
        <f t="shared" si="8"/>
        <v>108</v>
      </c>
      <c r="B111" s="10" t="s">
        <v>273</v>
      </c>
      <c r="C111" s="42" t="s">
        <v>8</v>
      </c>
      <c r="D111" s="43" t="s">
        <v>67</v>
      </c>
      <c r="E111" s="43" t="s">
        <v>100</v>
      </c>
      <c r="F111" s="19" t="s">
        <v>8</v>
      </c>
      <c r="G111" s="19" t="s">
        <v>8</v>
      </c>
      <c r="H111" s="19" t="s">
        <v>8</v>
      </c>
      <c r="I111" s="123">
        <v>2375</v>
      </c>
      <c r="J111" s="56">
        <v>200</v>
      </c>
      <c r="K111" s="57">
        <v>400</v>
      </c>
      <c r="L111" s="55" t="s">
        <v>9</v>
      </c>
      <c r="M111" s="57" t="s">
        <v>9</v>
      </c>
      <c r="N111" s="55">
        <f t="shared" si="11"/>
        <v>2575</v>
      </c>
      <c r="O111" s="4">
        <f t="shared" si="12"/>
        <v>2775</v>
      </c>
      <c r="P111" s="7"/>
      <c r="Q111" s="7"/>
      <c r="R111" s="7"/>
      <c r="S111" s="7"/>
      <c r="T111" s="7"/>
      <c r="U111" s="7"/>
      <c r="V111" s="7"/>
      <c r="W111" s="7"/>
      <c r="X111" s="7"/>
      <c r="Y111" s="7"/>
    </row>
    <row r="112" spans="1:34" s="3" customFormat="1" ht="27" customHeight="1" x14ac:dyDescent="0.35">
      <c r="A112" s="62">
        <f t="shared" si="8"/>
        <v>109</v>
      </c>
      <c r="B112" s="10" t="s">
        <v>273</v>
      </c>
      <c r="C112" s="42" t="s">
        <v>8</v>
      </c>
      <c r="D112" s="43" t="s">
        <v>97</v>
      </c>
      <c r="E112" s="43" t="s">
        <v>101</v>
      </c>
      <c r="F112" s="19" t="s">
        <v>8</v>
      </c>
      <c r="G112" s="19" t="s">
        <v>8</v>
      </c>
      <c r="H112" s="19" t="s">
        <v>8</v>
      </c>
      <c r="I112" s="123">
        <v>3478</v>
      </c>
      <c r="J112" s="56">
        <v>200</v>
      </c>
      <c r="K112" s="57">
        <v>400</v>
      </c>
      <c r="L112" s="55" t="s">
        <v>9</v>
      </c>
      <c r="M112" s="57" t="s">
        <v>9</v>
      </c>
      <c r="N112" s="55">
        <f t="shared" si="11"/>
        <v>3678</v>
      </c>
      <c r="O112" s="4">
        <f t="shared" si="12"/>
        <v>3878</v>
      </c>
      <c r="P112" s="7"/>
      <c r="Q112" s="7"/>
      <c r="R112" s="7"/>
      <c r="S112" s="7"/>
      <c r="T112" s="7"/>
      <c r="U112" s="7"/>
      <c r="V112" s="7"/>
      <c r="W112" s="7"/>
      <c r="X112" s="7"/>
      <c r="Y112" s="7"/>
    </row>
    <row r="113" spans="1:25" s="3" customFormat="1" ht="29" x14ac:dyDescent="0.35">
      <c r="A113" s="62">
        <f t="shared" si="8"/>
        <v>110</v>
      </c>
      <c r="B113" s="10" t="s">
        <v>273</v>
      </c>
      <c r="C113" s="42" t="s">
        <v>8</v>
      </c>
      <c r="D113" s="43" t="s">
        <v>67</v>
      </c>
      <c r="E113" s="43" t="s">
        <v>102</v>
      </c>
      <c r="F113" s="19" t="s">
        <v>8</v>
      </c>
      <c r="G113" s="19" t="s">
        <v>8</v>
      </c>
      <c r="H113" s="19" t="s">
        <v>8</v>
      </c>
      <c r="I113" s="123">
        <v>2805</v>
      </c>
      <c r="J113" s="56">
        <v>200</v>
      </c>
      <c r="K113" s="57">
        <v>400</v>
      </c>
      <c r="L113" s="55" t="s">
        <v>9</v>
      </c>
      <c r="M113" s="57" t="s">
        <v>9</v>
      </c>
      <c r="N113" s="55">
        <f t="shared" si="11"/>
        <v>3005</v>
      </c>
      <c r="O113" s="4">
        <f t="shared" si="12"/>
        <v>3205</v>
      </c>
      <c r="P113" s="7"/>
      <c r="Q113" s="7"/>
      <c r="R113" s="7"/>
      <c r="S113" s="7"/>
      <c r="T113" s="7"/>
      <c r="U113" s="7"/>
      <c r="V113" s="7"/>
      <c r="W113" s="7"/>
      <c r="X113" s="7"/>
      <c r="Y113" s="7"/>
    </row>
    <row r="114" spans="1:25" s="3" customFormat="1" ht="27" customHeight="1" x14ac:dyDescent="0.35">
      <c r="A114" s="62">
        <f t="shared" si="8"/>
        <v>111</v>
      </c>
      <c r="B114" s="10" t="s">
        <v>273</v>
      </c>
      <c r="C114" s="42" t="s">
        <v>8</v>
      </c>
      <c r="D114" s="43" t="s">
        <v>97</v>
      </c>
      <c r="E114" s="43" t="s">
        <v>103</v>
      </c>
      <c r="F114" s="19" t="s">
        <v>8</v>
      </c>
      <c r="G114" s="19" t="s">
        <v>8</v>
      </c>
      <c r="H114" s="19" t="s">
        <v>8</v>
      </c>
      <c r="I114" s="123">
        <v>2899</v>
      </c>
      <c r="J114" s="56">
        <v>200</v>
      </c>
      <c r="K114" s="57">
        <v>400</v>
      </c>
      <c r="L114" s="55" t="s">
        <v>9</v>
      </c>
      <c r="M114" s="57" t="s">
        <v>9</v>
      </c>
      <c r="N114" s="55">
        <f t="shared" si="11"/>
        <v>3099</v>
      </c>
      <c r="O114" s="4">
        <f t="shared" si="12"/>
        <v>3299</v>
      </c>
      <c r="P114" s="7"/>
      <c r="Q114" s="7"/>
      <c r="R114" s="7"/>
      <c r="S114" s="7"/>
      <c r="T114" s="7"/>
      <c r="U114" s="7"/>
      <c r="V114" s="7"/>
      <c r="W114" s="7"/>
      <c r="X114" s="7"/>
      <c r="Y114" s="7"/>
    </row>
    <row r="115" spans="1:25" s="3" customFormat="1" ht="27" customHeight="1" x14ac:dyDescent="0.35">
      <c r="A115" s="62">
        <f t="shared" si="8"/>
        <v>112</v>
      </c>
      <c r="B115" s="10" t="s">
        <v>273</v>
      </c>
      <c r="C115" s="42" t="s">
        <v>8</v>
      </c>
      <c r="D115" s="43" t="s">
        <v>68</v>
      </c>
      <c r="E115" s="43" t="s">
        <v>522</v>
      </c>
      <c r="F115" s="19" t="s">
        <v>8</v>
      </c>
      <c r="G115" s="19" t="s">
        <v>8</v>
      </c>
      <c r="H115" s="19" t="s">
        <v>8</v>
      </c>
      <c r="I115" s="123">
        <v>489</v>
      </c>
      <c r="J115" s="56">
        <v>200</v>
      </c>
      <c r="K115" s="57">
        <v>400</v>
      </c>
      <c r="L115" s="55" t="s">
        <v>9</v>
      </c>
      <c r="M115" s="57" t="s">
        <v>9</v>
      </c>
      <c r="N115" s="55">
        <f t="shared" si="11"/>
        <v>689</v>
      </c>
      <c r="O115" s="4">
        <f t="shared" si="12"/>
        <v>889</v>
      </c>
      <c r="P115" s="7"/>
      <c r="Q115" s="7"/>
      <c r="R115" s="7"/>
      <c r="S115" s="7"/>
      <c r="T115" s="7"/>
      <c r="U115" s="7"/>
      <c r="V115" s="7"/>
      <c r="W115" s="7"/>
      <c r="X115" s="7"/>
      <c r="Y115" s="7"/>
    </row>
    <row r="116" spans="1:25" s="3" customFormat="1" ht="27" customHeight="1" x14ac:dyDescent="0.35">
      <c r="A116" s="62">
        <f t="shared" si="8"/>
        <v>113</v>
      </c>
      <c r="B116" s="10" t="s">
        <v>273</v>
      </c>
      <c r="C116" s="42" t="s">
        <v>8</v>
      </c>
      <c r="D116" s="43" t="s">
        <v>514</v>
      </c>
      <c r="E116" s="43" t="s">
        <v>515</v>
      </c>
      <c r="F116" s="19" t="s">
        <v>8</v>
      </c>
      <c r="G116" s="19" t="s">
        <v>8</v>
      </c>
      <c r="H116" s="19" t="s">
        <v>8</v>
      </c>
      <c r="I116" s="123">
        <v>427</v>
      </c>
      <c r="J116" s="56">
        <v>200</v>
      </c>
      <c r="K116" s="57">
        <v>400</v>
      </c>
      <c r="L116" s="55" t="s">
        <v>9</v>
      </c>
      <c r="M116" s="57" t="s">
        <v>9</v>
      </c>
      <c r="N116" s="55">
        <f t="shared" si="11"/>
        <v>627</v>
      </c>
      <c r="O116" s="4">
        <f t="shared" si="12"/>
        <v>827</v>
      </c>
      <c r="P116" s="457"/>
      <c r="Q116" s="457"/>
      <c r="R116" s="457"/>
      <c r="S116" s="457"/>
      <c r="T116" s="457"/>
      <c r="U116" s="457"/>
      <c r="V116" s="457"/>
      <c r="W116" s="457"/>
      <c r="X116" s="457"/>
      <c r="Y116" s="457"/>
    </row>
    <row r="117" spans="1:25" s="3" customFormat="1" ht="27" customHeight="1" x14ac:dyDescent="0.35">
      <c r="A117" s="62">
        <f t="shared" si="8"/>
        <v>114</v>
      </c>
      <c r="B117" s="10" t="s">
        <v>273</v>
      </c>
      <c r="C117" s="42" t="s">
        <v>8</v>
      </c>
      <c r="D117" s="43" t="s">
        <v>10</v>
      </c>
      <c r="E117" s="43" t="s">
        <v>104</v>
      </c>
      <c r="F117" s="19" t="s">
        <v>8</v>
      </c>
      <c r="G117" s="19" t="s">
        <v>8</v>
      </c>
      <c r="H117" s="19" t="s">
        <v>8</v>
      </c>
      <c r="I117" s="123">
        <v>460</v>
      </c>
      <c r="J117" s="56">
        <v>200</v>
      </c>
      <c r="K117" s="57">
        <v>400</v>
      </c>
      <c r="L117" s="55" t="s">
        <v>9</v>
      </c>
      <c r="M117" s="57" t="s">
        <v>9</v>
      </c>
      <c r="N117" s="55">
        <f t="shared" si="11"/>
        <v>660</v>
      </c>
      <c r="O117" s="4">
        <f t="shared" si="12"/>
        <v>860</v>
      </c>
      <c r="P117" s="7"/>
      <c r="Q117" s="7"/>
      <c r="R117" s="7"/>
      <c r="S117" s="7"/>
      <c r="T117" s="7"/>
      <c r="U117" s="7"/>
      <c r="V117" s="7"/>
      <c r="W117" s="7"/>
      <c r="X117" s="7"/>
      <c r="Y117" s="7"/>
    </row>
    <row r="118" spans="1:25" s="3" customFormat="1" ht="27" customHeight="1" x14ac:dyDescent="0.35">
      <c r="A118" s="62">
        <f t="shared" si="8"/>
        <v>115</v>
      </c>
      <c r="B118" s="10" t="s">
        <v>273</v>
      </c>
      <c r="C118" s="42" t="s">
        <v>8</v>
      </c>
      <c r="D118" s="43" t="s">
        <v>65</v>
      </c>
      <c r="E118" s="43" t="s">
        <v>524</v>
      </c>
      <c r="F118" s="19" t="s">
        <v>8</v>
      </c>
      <c r="G118" s="19" t="s">
        <v>8</v>
      </c>
      <c r="H118" s="19" t="s">
        <v>8</v>
      </c>
      <c r="I118" s="123">
        <v>525</v>
      </c>
      <c r="J118" s="56">
        <v>200</v>
      </c>
      <c r="K118" s="57">
        <v>400</v>
      </c>
      <c r="L118" s="55" t="s">
        <v>9</v>
      </c>
      <c r="M118" s="57" t="s">
        <v>9</v>
      </c>
      <c r="N118" s="55">
        <f t="shared" ref="N118" si="14">I118+J118</f>
        <v>725</v>
      </c>
      <c r="O118" s="4">
        <f t="shared" ref="O118" si="15">I118+K118</f>
        <v>925</v>
      </c>
      <c r="P118" s="7"/>
      <c r="Q118" s="7"/>
      <c r="R118" s="7"/>
      <c r="S118" s="7"/>
      <c r="T118" s="7"/>
      <c r="U118" s="7"/>
      <c r="V118" s="7"/>
      <c r="W118" s="7"/>
      <c r="X118" s="7"/>
      <c r="Y118" s="7"/>
    </row>
    <row r="119" spans="1:25" s="3" customFormat="1" ht="27" customHeight="1" x14ac:dyDescent="0.35">
      <c r="A119" s="62">
        <f t="shared" si="8"/>
        <v>116</v>
      </c>
      <c r="B119" s="10" t="s">
        <v>273</v>
      </c>
      <c r="C119" s="42" t="s">
        <v>8</v>
      </c>
      <c r="D119" s="43" t="s">
        <v>67</v>
      </c>
      <c r="E119" s="43" t="s">
        <v>105</v>
      </c>
      <c r="F119" s="19" t="s">
        <v>8</v>
      </c>
      <c r="G119" s="19" t="s">
        <v>8</v>
      </c>
      <c r="H119" s="19" t="s">
        <v>8</v>
      </c>
      <c r="I119" s="123">
        <v>1210</v>
      </c>
      <c r="J119" s="56">
        <v>200</v>
      </c>
      <c r="K119" s="57">
        <v>400</v>
      </c>
      <c r="L119" s="55" t="s">
        <v>9</v>
      </c>
      <c r="M119" s="57" t="s">
        <v>9</v>
      </c>
      <c r="N119" s="55">
        <f>I119+J119</f>
        <v>1410</v>
      </c>
      <c r="O119" s="4">
        <f>I119+K119</f>
        <v>1610</v>
      </c>
      <c r="P119" s="457"/>
      <c r="Q119" s="457"/>
      <c r="R119" s="457"/>
      <c r="S119" s="457"/>
      <c r="T119" s="457"/>
      <c r="U119" s="457"/>
      <c r="V119" s="457"/>
      <c r="W119" s="457"/>
      <c r="X119" s="457"/>
      <c r="Y119" s="457"/>
    </row>
    <row r="120" spans="1:25" s="3" customFormat="1" ht="27" customHeight="1" x14ac:dyDescent="0.35">
      <c r="A120" s="62">
        <f t="shared" si="8"/>
        <v>117</v>
      </c>
      <c r="B120" s="10" t="s">
        <v>436</v>
      </c>
      <c r="C120" s="42" t="s">
        <v>437</v>
      </c>
      <c r="D120" s="43" t="s">
        <v>16</v>
      </c>
      <c r="E120" s="43" t="s">
        <v>434</v>
      </c>
      <c r="F120" s="19">
        <v>5.4</v>
      </c>
      <c r="G120" s="19"/>
      <c r="H120" s="19" t="s">
        <v>8</v>
      </c>
      <c r="I120" s="123">
        <v>2393</v>
      </c>
      <c r="J120" s="56">
        <v>0</v>
      </c>
      <c r="K120" s="57">
        <v>0</v>
      </c>
      <c r="L120" s="55" t="s">
        <v>9</v>
      </c>
      <c r="M120" s="57" t="s">
        <v>9</v>
      </c>
      <c r="N120" s="55">
        <f t="shared" ref="N120:N147" si="16">I120+J120</f>
        <v>2393</v>
      </c>
      <c r="O120" s="4">
        <f t="shared" ref="O120:O147" si="17">I120+K120</f>
        <v>2393</v>
      </c>
      <c r="P120" s="7"/>
      <c r="Q120" s="7"/>
      <c r="R120" s="7"/>
      <c r="S120" s="7"/>
      <c r="T120" s="7"/>
      <c r="U120" s="7"/>
      <c r="V120" s="7"/>
      <c r="W120" s="7"/>
      <c r="X120" s="7"/>
      <c r="Y120" s="7"/>
    </row>
    <row r="121" spans="1:25" s="3" customFormat="1" ht="27" customHeight="1" x14ac:dyDescent="0.35">
      <c r="A121" s="62">
        <f t="shared" si="8"/>
        <v>118</v>
      </c>
      <c r="B121" s="12" t="s">
        <v>438</v>
      </c>
      <c r="C121" s="42" t="s">
        <v>69</v>
      </c>
      <c r="D121" s="43" t="s">
        <v>70</v>
      </c>
      <c r="E121" s="43" t="s">
        <v>71</v>
      </c>
      <c r="F121" s="19">
        <v>1.5</v>
      </c>
      <c r="G121" s="19" t="s">
        <v>8</v>
      </c>
      <c r="H121" s="19">
        <v>1.4166666666666667</v>
      </c>
      <c r="I121" s="123">
        <v>32</v>
      </c>
      <c r="J121" s="56">
        <v>0</v>
      </c>
      <c r="K121" s="57">
        <v>0</v>
      </c>
      <c r="L121" s="55" t="s">
        <v>9</v>
      </c>
      <c r="M121" s="57" t="s">
        <v>9</v>
      </c>
      <c r="N121" s="332">
        <f t="shared" si="16"/>
        <v>32</v>
      </c>
      <c r="O121" s="333">
        <f t="shared" si="17"/>
        <v>32</v>
      </c>
      <c r="P121" s="457"/>
      <c r="Q121" s="457"/>
      <c r="R121" s="457"/>
      <c r="S121" s="457"/>
      <c r="T121" s="457"/>
      <c r="U121" s="457"/>
      <c r="V121" s="457"/>
      <c r="W121" s="457"/>
      <c r="X121" s="457"/>
      <c r="Y121" s="457"/>
    </row>
    <row r="122" spans="1:25" s="3" customFormat="1" ht="27" customHeight="1" x14ac:dyDescent="0.35">
      <c r="A122" s="62">
        <f t="shared" si="8"/>
        <v>119</v>
      </c>
      <c r="B122" s="12" t="s">
        <v>438</v>
      </c>
      <c r="C122" s="42" t="s">
        <v>69</v>
      </c>
      <c r="D122" s="43" t="s">
        <v>70</v>
      </c>
      <c r="E122" s="43" t="s">
        <v>506</v>
      </c>
      <c r="F122" s="19">
        <v>1.18</v>
      </c>
      <c r="G122" s="19" t="s">
        <v>8</v>
      </c>
      <c r="H122" s="19">
        <v>1.1599999999999999</v>
      </c>
      <c r="I122" s="123">
        <v>27</v>
      </c>
      <c r="J122" s="56">
        <v>0</v>
      </c>
      <c r="K122" s="57">
        <v>0</v>
      </c>
      <c r="L122" s="55" t="s">
        <v>9</v>
      </c>
      <c r="M122" s="57" t="s">
        <v>9</v>
      </c>
      <c r="N122" s="332">
        <f t="shared" si="16"/>
        <v>27</v>
      </c>
      <c r="O122" s="333">
        <f t="shared" si="17"/>
        <v>27</v>
      </c>
      <c r="P122" s="24"/>
      <c r="Q122" s="24"/>
      <c r="R122" s="24"/>
      <c r="S122" s="24"/>
      <c r="T122" s="24"/>
      <c r="U122" s="24"/>
      <c r="V122" s="24"/>
      <c r="W122" s="24"/>
      <c r="X122" s="24"/>
      <c r="Y122" s="24"/>
    </row>
    <row r="123" spans="1:25" s="3" customFormat="1" ht="27" customHeight="1" x14ac:dyDescent="0.35">
      <c r="A123" s="62">
        <f t="shared" si="8"/>
        <v>120</v>
      </c>
      <c r="B123" s="12" t="s">
        <v>438</v>
      </c>
      <c r="C123" s="42" t="s">
        <v>69</v>
      </c>
      <c r="D123" s="43" t="s">
        <v>78</v>
      </c>
      <c r="E123" s="43" t="s">
        <v>72</v>
      </c>
      <c r="F123" s="19">
        <v>1.6</v>
      </c>
      <c r="G123" s="19" t="s">
        <v>8</v>
      </c>
      <c r="H123" s="19">
        <v>1.25</v>
      </c>
      <c r="I123" s="123">
        <v>37</v>
      </c>
      <c r="J123" s="56">
        <v>0</v>
      </c>
      <c r="K123" s="57">
        <v>0</v>
      </c>
      <c r="L123" s="55" t="s">
        <v>9</v>
      </c>
      <c r="M123" s="57" t="s">
        <v>9</v>
      </c>
      <c r="N123" s="332">
        <f t="shared" si="16"/>
        <v>37</v>
      </c>
      <c r="O123" s="333">
        <f t="shared" si="17"/>
        <v>37</v>
      </c>
      <c r="P123" s="24"/>
      <c r="Q123" s="24"/>
      <c r="R123" s="24"/>
      <c r="S123" s="24"/>
      <c r="T123" s="24"/>
      <c r="U123" s="24"/>
      <c r="V123" s="24"/>
      <c r="W123" s="24"/>
      <c r="X123" s="24"/>
      <c r="Y123" s="24"/>
    </row>
    <row r="124" spans="1:25" s="3" customFormat="1" ht="27" customHeight="1" x14ac:dyDescent="0.35">
      <c r="A124" s="62">
        <f t="shared" si="8"/>
        <v>121</v>
      </c>
      <c r="B124" s="12" t="s">
        <v>438</v>
      </c>
      <c r="C124" s="42" t="s">
        <v>69</v>
      </c>
      <c r="D124" s="43" t="s">
        <v>78</v>
      </c>
      <c r="E124" s="43" t="s">
        <v>507</v>
      </c>
      <c r="F124" s="19">
        <v>2.4</v>
      </c>
      <c r="G124" s="19" t="s">
        <v>8</v>
      </c>
      <c r="H124" s="19">
        <v>1.6</v>
      </c>
      <c r="I124" s="334">
        <v>47</v>
      </c>
      <c r="J124" s="56">
        <v>0</v>
      </c>
      <c r="K124" s="57">
        <v>0</v>
      </c>
      <c r="L124" s="55" t="s">
        <v>9</v>
      </c>
      <c r="M124" s="57" t="s">
        <v>9</v>
      </c>
      <c r="N124" s="332">
        <f t="shared" si="16"/>
        <v>47</v>
      </c>
      <c r="O124" s="333">
        <f t="shared" si="17"/>
        <v>47</v>
      </c>
      <c r="P124" s="24"/>
      <c r="Q124" s="24"/>
      <c r="R124" s="24"/>
      <c r="S124" s="24"/>
      <c r="T124" s="24"/>
      <c r="U124" s="24"/>
      <c r="V124" s="24"/>
      <c r="W124" s="24"/>
      <c r="X124" s="24"/>
      <c r="Y124" s="24"/>
    </row>
    <row r="125" spans="1:25" s="3" customFormat="1" ht="27" customHeight="1" x14ac:dyDescent="0.35">
      <c r="A125" s="62">
        <f t="shared" si="8"/>
        <v>122</v>
      </c>
      <c r="B125" s="12" t="s">
        <v>438</v>
      </c>
      <c r="C125" s="42" t="s">
        <v>69</v>
      </c>
      <c r="D125" s="43" t="s">
        <v>73</v>
      </c>
      <c r="E125" s="43" t="s">
        <v>74</v>
      </c>
      <c r="F125" s="19">
        <v>1.7</v>
      </c>
      <c r="G125" s="19" t="s">
        <v>8</v>
      </c>
      <c r="H125" s="19">
        <f>33.7/24</f>
        <v>1.4041666666666668</v>
      </c>
      <c r="I125" s="123">
        <v>34</v>
      </c>
      <c r="J125" s="56">
        <v>0</v>
      </c>
      <c r="K125" s="57">
        <v>0</v>
      </c>
      <c r="L125" s="55" t="s">
        <v>9</v>
      </c>
      <c r="M125" s="57" t="s">
        <v>9</v>
      </c>
      <c r="N125" s="332">
        <f t="shared" si="16"/>
        <v>34</v>
      </c>
      <c r="O125" s="333">
        <f t="shared" si="17"/>
        <v>34</v>
      </c>
      <c r="P125" s="24"/>
      <c r="Q125" s="24"/>
      <c r="R125" s="24"/>
      <c r="S125" s="24"/>
      <c r="T125" s="24"/>
      <c r="U125" s="24"/>
      <c r="V125" s="24"/>
      <c r="W125" s="24"/>
      <c r="X125" s="24"/>
      <c r="Y125" s="24"/>
    </row>
    <row r="126" spans="1:25" s="3" customFormat="1" ht="27" customHeight="1" x14ac:dyDescent="0.35">
      <c r="A126" s="62">
        <f t="shared" si="8"/>
        <v>123</v>
      </c>
      <c r="B126" s="12" t="s">
        <v>438</v>
      </c>
      <c r="C126" s="42" t="s">
        <v>69</v>
      </c>
      <c r="D126" s="43" t="s">
        <v>416</v>
      </c>
      <c r="E126" s="43" t="s">
        <v>417</v>
      </c>
      <c r="F126" s="19">
        <v>1.5</v>
      </c>
      <c r="G126" s="19" t="s">
        <v>8</v>
      </c>
      <c r="H126" s="19">
        <v>1.4</v>
      </c>
      <c r="I126" s="123">
        <v>27.96</v>
      </c>
      <c r="J126" s="56">
        <v>0</v>
      </c>
      <c r="K126" s="57">
        <v>0</v>
      </c>
      <c r="L126" s="55" t="s">
        <v>9</v>
      </c>
      <c r="M126" s="57" t="s">
        <v>9</v>
      </c>
      <c r="N126" s="332">
        <f t="shared" si="16"/>
        <v>27.96</v>
      </c>
      <c r="O126" s="333">
        <f t="shared" si="17"/>
        <v>27.96</v>
      </c>
      <c r="P126" s="24"/>
      <c r="Q126" s="24"/>
      <c r="R126" s="24"/>
      <c r="S126" s="24"/>
      <c r="T126" s="24"/>
      <c r="U126" s="24"/>
      <c r="V126" s="24"/>
      <c r="W126" s="24"/>
      <c r="X126" s="24"/>
      <c r="Y126" s="24"/>
    </row>
    <row r="127" spans="1:25" s="3" customFormat="1" ht="27" customHeight="1" x14ac:dyDescent="0.35">
      <c r="A127" s="62">
        <f t="shared" si="8"/>
        <v>124</v>
      </c>
      <c r="B127" s="12" t="s">
        <v>438</v>
      </c>
      <c r="C127" s="42" t="s">
        <v>69</v>
      </c>
      <c r="D127" s="43" t="s">
        <v>13</v>
      </c>
      <c r="E127" s="43" t="s">
        <v>418</v>
      </c>
      <c r="F127" s="19">
        <v>1</v>
      </c>
      <c r="G127" s="19" t="s">
        <v>8</v>
      </c>
      <c r="H127" s="19">
        <v>1.3</v>
      </c>
      <c r="I127" s="123">
        <f>236*1.135</f>
        <v>267.86</v>
      </c>
      <c r="J127" s="56">
        <v>0</v>
      </c>
      <c r="K127" s="57">
        <v>0</v>
      </c>
      <c r="L127" s="55" t="s">
        <v>9</v>
      </c>
      <c r="M127" s="57" t="s">
        <v>9</v>
      </c>
      <c r="N127" s="332">
        <f t="shared" si="16"/>
        <v>267.86</v>
      </c>
      <c r="O127" s="333">
        <f t="shared" si="17"/>
        <v>267.86</v>
      </c>
      <c r="P127" s="24"/>
      <c r="Q127" s="24"/>
      <c r="R127" s="24"/>
      <c r="S127" s="24"/>
      <c r="T127" s="24"/>
      <c r="U127" s="24"/>
      <c r="V127" s="24"/>
      <c r="W127" s="24"/>
      <c r="X127" s="24"/>
      <c r="Y127" s="24"/>
    </row>
    <row r="128" spans="1:25" s="3" customFormat="1" ht="27" customHeight="1" x14ac:dyDescent="0.35">
      <c r="A128" s="62">
        <f t="shared" si="8"/>
        <v>125</v>
      </c>
      <c r="B128" s="72" t="s">
        <v>439</v>
      </c>
      <c r="C128" s="42" t="s">
        <v>80</v>
      </c>
      <c r="D128" s="43" t="s">
        <v>73</v>
      </c>
      <c r="E128" s="43" t="s">
        <v>75</v>
      </c>
      <c r="F128" s="19">
        <v>15.4</v>
      </c>
      <c r="G128" s="19" t="s">
        <v>8</v>
      </c>
      <c r="H128" s="19">
        <f>(106+(9/60))/24</f>
        <v>4.4229166666666666</v>
      </c>
      <c r="I128" s="124">
        <v>239</v>
      </c>
      <c r="J128" s="56">
        <v>0</v>
      </c>
      <c r="K128" s="57">
        <v>0</v>
      </c>
      <c r="L128" s="55" t="s">
        <v>9</v>
      </c>
      <c r="M128" s="57" t="s">
        <v>9</v>
      </c>
      <c r="N128" s="332">
        <f t="shared" si="16"/>
        <v>239</v>
      </c>
      <c r="O128" s="333">
        <f t="shared" si="17"/>
        <v>239</v>
      </c>
      <c r="P128" s="24"/>
      <c r="Q128" s="24"/>
      <c r="R128" s="24"/>
      <c r="S128" s="24"/>
      <c r="T128" s="24"/>
      <c r="U128" s="24"/>
      <c r="V128" s="24"/>
      <c r="W128" s="24"/>
      <c r="X128" s="24"/>
      <c r="Y128" s="24"/>
    </row>
    <row r="129" spans="1:29" s="3" customFormat="1" ht="27" customHeight="1" x14ac:dyDescent="0.35">
      <c r="A129" s="62">
        <f t="shared" si="8"/>
        <v>126</v>
      </c>
      <c r="B129" s="72" t="s">
        <v>439</v>
      </c>
      <c r="C129" s="42" t="s">
        <v>508</v>
      </c>
      <c r="D129" s="43" t="s">
        <v>73</v>
      </c>
      <c r="E129" s="43" t="s">
        <v>509</v>
      </c>
      <c r="F129" s="19">
        <v>20</v>
      </c>
      <c r="G129" s="19" t="s">
        <v>8</v>
      </c>
      <c r="H129" s="19">
        <v>3</v>
      </c>
      <c r="I129" s="124">
        <v>234</v>
      </c>
      <c r="J129" s="56">
        <v>0</v>
      </c>
      <c r="K129" s="57">
        <v>0</v>
      </c>
      <c r="L129" s="55" t="s">
        <v>9</v>
      </c>
      <c r="M129" s="57" t="s">
        <v>9</v>
      </c>
      <c r="N129" s="332">
        <f t="shared" si="16"/>
        <v>234</v>
      </c>
      <c r="O129" s="333">
        <f t="shared" si="17"/>
        <v>234</v>
      </c>
      <c r="P129" s="24"/>
      <c r="Q129" s="24"/>
      <c r="R129" s="24"/>
      <c r="S129" s="24"/>
      <c r="T129" s="24"/>
      <c r="U129" s="24"/>
      <c r="V129" s="24"/>
      <c r="W129" s="24"/>
      <c r="X129" s="24"/>
      <c r="Y129" s="24"/>
    </row>
    <row r="130" spans="1:29" s="3" customFormat="1" ht="27" customHeight="1" x14ac:dyDescent="0.35">
      <c r="A130" s="62">
        <f t="shared" si="8"/>
        <v>127</v>
      </c>
      <c r="B130" s="13" t="s">
        <v>440</v>
      </c>
      <c r="C130" s="42" t="s">
        <v>8</v>
      </c>
      <c r="D130" s="42" t="s">
        <v>76</v>
      </c>
      <c r="E130" s="43" t="s">
        <v>228</v>
      </c>
      <c r="F130" s="19" t="s">
        <v>8</v>
      </c>
      <c r="G130" s="19" t="s">
        <v>8</v>
      </c>
      <c r="H130" s="19" t="s">
        <v>8</v>
      </c>
      <c r="I130" s="125">
        <v>110</v>
      </c>
      <c r="J130" s="56">
        <v>0</v>
      </c>
      <c r="K130" s="57">
        <v>0</v>
      </c>
      <c r="L130" s="55" t="s">
        <v>9</v>
      </c>
      <c r="M130" s="57" t="s">
        <v>9</v>
      </c>
      <c r="N130" s="332">
        <f t="shared" si="16"/>
        <v>110</v>
      </c>
      <c r="O130" s="333">
        <f t="shared" si="17"/>
        <v>110</v>
      </c>
      <c r="P130" s="24"/>
      <c r="Q130" s="24"/>
      <c r="R130" s="24"/>
      <c r="S130" s="24"/>
      <c r="T130" s="24"/>
      <c r="U130" s="24"/>
      <c r="V130" s="24"/>
      <c r="W130" s="24"/>
      <c r="X130" s="24"/>
      <c r="Y130" s="24"/>
    </row>
    <row r="131" spans="1:29" s="3" customFormat="1" ht="27" customHeight="1" x14ac:dyDescent="0.35">
      <c r="A131" s="62">
        <f t="shared" si="8"/>
        <v>128</v>
      </c>
      <c r="B131" s="13" t="s">
        <v>440</v>
      </c>
      <c r="C131" s="42" t="s">
        <v>8</v>
      </c>
      <c r="D131" s="42" t="s">
        <v>10</v>
      </c>
      <c r="E131" s="43" t="s">
        <v>532</v>
      </c>
      <c r="F131" s="19" t="s">
        <v>8</v>
      </c>
      <c r="G131" s="19" t="s">
        <v>8</v>
      </c>
      <c r="H131" s="19" t="s">
        <v>8</v>
      </c>
      <c r="I131" s="125">
        <v>112</v>
      </c>
      <c r="J131" s="56">
        <v>0</v>
      </c>
      <c r="K131" s="57">
        <v>0</v>
      </c>
      <c r="L131" s="55" t="s">
        <v>9</v>
      </c>
      <c r="M131" s="57" t="s">
        <v>9</v>
      </c>
      <c r="N131" s="332">
        <f t="shared" si="16"/>
        <v>112</v>
      </c>
      <c r="O131" s="333">
        <f t="shared" si="17"/>
        <v>112</v>
      </c>
      <c r="P131" s="24"/>
      <c r="Q131" s="24"/>
      <c r="R131" s="24"/>
      <c r="S131" s="24"/>
      <c r="T131" s="24"/>
      <c r="U131" s="24"/>
      <c r="V131" s="24"/>
      <c r="W131" s="24"/>
      <c r="X131" s="24"/>
      <c r="Y131" s="24"/>
      <c r="AA131"/>
      <c r="AB131"/>
      <c r="AC131"/>
    </row>
    <row r="132" spans="1:29" s="3" customFormat="1" ht="27" customHeight="1" x14ac:dyDescent="0.35">
      <c r="A132" s="62">
        <f t="shared" si="8"/>
        <v>129</v>
      </c>
      <c r="B132" s="70" t="s">
        <v>441</v>
      </c>
      <c r="C132" s="42" t="s">
        <v>81</v>
      </c>
      <c r="D132" s="43" t="s">
        <v>70</v>
      </c>
      <c r="E132" s="43" t="s">
        <v>84</v>
      </c>
      <c r="F132" s="19" t="s">
        <v>8</v>
      </c>
      <c r="G132" s="42" t="s">
        <v>81</v>
      </c>
      <c r="H132" s="19" t="s">
        <v>8</v>
      </c>
      <c r="I132" s="125">
        <v>0.36</v>
      </c>
      <c r="J132" s="56">
        <v>0</v>
      </c>
      <c r="K132" s="57">
        <v>0</v>
      </c>
      <c r="L132" s="55" t="s">
        <v>9</v>
      </c>
      <c r="M132" s="57" t="s">
        <v>9</v>
      </c>
      <c r="N132" s="332">
        <f t="shared" si="16"/>
        <v>0.36</v>
      </c>
      <c r="O132" s="333">
        <f t="shared" si="17"/>
        <v>0.36</v>
      </c>
      <c r="P132" s="24"/>
      <c r="Q132" s="24"/>
      <c r="R132" s="24"/>
      <c r="S132" s="24"/>
      <c r="T132" s="24"/>
      <c r="U132" s="24"/>
      <c r="V132" s="24"/>
      <c r="W132" s="24"/>
      <c r="X132" s="24"/>
      <c r="Y132" s="24"/>
      <c r="AA132"/>
      <c r="AB132"/>
      <c r="AC132"/>
    </row>
    <row r="133" spans="1:29" s="3" customFormat="1" ht="27" customHeight="1" x14ac:dyDescent="0.35">
      <c r="A133" s="62">
        <f t="shared" si="8"/>
        <v>130</v>
      </c>
      <c r="B133" s="70" t="s">
        <v>441</v>
      </c>
      <c r="C133" s="42" t="s">
        <v>81</v>
      </c>
      <c r="D133" s="43" t="s">
        <v>77</v>
      </c>
      <c r="E133" s="43" t="s">
        <v>85</v>
      </c>
      <c r="F133" s="19" t="s">
        <v>8</v>
      </c>
      <c r="G133" s="42" t="s">
        <v>81</v>
      </c>
      <c r="H133" s="19" t="s">
        <v>8</v>
      </c>
      <c r="I133" s="125">
        <v>0.3</v>
      </c>
      <c r="J133" s="56">
        <v>0</v>
      </c>
      <c r="K133" s="57">
        <v>0</v>
      </c>
      <c r="L133" s="55" t="s">
        <v>9</v>
      </c>
      <c r="M133" s="57" t="s">
        <v>9</v>
      </c>
      <c r="N133" s="332">
        <f t="shared" si="16"/>
        <v>0.3</v>
      </c>
      <c r="O133" s="333">
        <f t="shared" si="17"/>
        <v>0.3</v>
      </c>
      <c r="P133" s="24"/>
      <c r="Q133" s="24"/>
      <c r="R133" s="24"/>
      <c r="S133" s="24"/>
      <c r="T133" s="24"/>
      <c r="U133" s="24"/>
      <c r="V133" s="24"/>
      <c r="W133" s="24"/>
      <c r="X133" s="24"/>
      <c r="Y133" s="24"/>
      <c r="AA133"/>
      <c r="AB133"/>
      <c r="AC133"/>
    </row>
    <row r="134" spans="1:29" s="3" customFormat="1" ht="27" customHeight="1" x14ac:dyDescent="0.35">
      <c r="A134" s="62">
        <f t="shared" si="8"/>
        <v>131</v>
      </c>
      <c r="B134" s="70" t="s">
        <v>441</v>
      </c>
      <c r="C134" s="42" t="s">
        <v>81</v>
      </c>
      <c r="D134" s="43" t="s">
        <v>78</v>
      </c>
      <c r="E134" s="43" t="s">
        <v>86</v>
      </c>
      <c r="F134" s="19" t="s">
        <v>8</v>
      </c>
      <c r="G134" s="42" t="s">
        <v>81</v>
      </c>
      <c r="H134" s="19" t="s">
        <v>8</v>
      </c>
      <c r="I134" s="125">
        <v>1</v>
      </c>
      <c r="J134" s="56">
        <v>0</v>
      </c>
      <c r="K134" s="57">
        <v>0</v>
      </c>
      <c r="L134" s="55" t="s">
        <v>9</v>
      </c>
      <c r="M134" s="57" t="s">
        <v>9</v>
      </c>
      <c r="N134" s="332">
        <f t="shared" si="16"/>
        <v>1</v>
      </c>
      <c r="O134" s="333">
        <f t="shared" si="17"/>
        <v>1</v>
      </c>
      <c r="P134" s="24"/>
      <c r="Q134" s="24"/>
      <c r="R134" s="24"/>
      <c r="S134" s="24"/>
      <c r="T134" s="24"/>
      <c r="U134" s="24"/>
      <c r="V134" s="24"/>
      <c r="W134" s="24"/>
      <c r="X134" s="24"/>
      <c r="Y134" s="24"/>
      <c r="AA134"/>
      <c r="AB134"/>
      <c r="AC134"/>
    </row>
    <row r="135" spans="1:29" s="3" customFormat="1" ht="27" customHeight="1" x14ac:dyDescent="0.35">
      <c r="A135" s="62">
        <f t="shared" ref="A135:A198" si="18">A134+1</f>
        <v>132</v>
      </c>
      <c r="B135" s="70" t="s">
        <v>441</v>
      </c>
      <c r="C135" s="42" t="s">
        <v>81</v>
      </c>
      <c r="D135" s="43" t="s">
        <v>79</v>
      </c>
      <c r="E135" s="43" t="s">
        <v>87</v>
      </c>
      <c r="F135" s="19" t="s">
        <v>8</v>
      </c>
      <c r="G135" s="42" t="s">
        <v>81</v>
      </c>
      <c r="H135" s="19" t="s">
        <v>8</v>
      </c>
      <c r="I135" s="125">
        <v>0.27</v>
      </c>
      <c r="J135" s="56">
        <v>0</v>
      </c>
      <c r="K135" s="57">
        <v>0</v>
      </c>
      <c r="L135" s="55" t="s">
        <v>9</v>
      </c>
      <c r="M135" s="57" t="s">
        <v>9</v>
      </c>
      <c r="N135" s="332">
        <f t="shared" si="16"/>
        <v>0.27</v>
      </c>
      <c r="O135" s="333">
        <f t="shared" si="17"/>
        <v>0.27</v>
      </c>
      <c r="P135" s="24"/>
      <c r="Q135" s="24"/>
      <c r="R135" s="24"/>
      <c r="S135" s="24"/>
      <c r="T135" s="24"/>
      <c r="U135" s="24"/>
      <c r="V135" s="24"/>
      <c r="W135" s="24"/>
      <c r="X135" s="24"/>
      <c r="Y135" s="24"/>
      <c r="AA135"/>
      <c r="AB135"/>
      <c r="AC135"/>
    </row>
    <row r="136" spans="1:29" s="3" customFormat="1" ht="27" customHeight="1" x14ac:dyDescent="0.35">
      <c r="A136" s="62">
        <f t="shared" si="18"/>
        <v>133</v>
      </c>
      <c r="B136" s="70" t="s">
        <v>441</v>
      </c>
      <c r="C136" s="42" t="s">
        <v>81</v>
      </c>
      <c r="D136" s="43" t="s">
        <v>73</v>
      </c>
      <c r="E136" s="43" t="s">
        <v>510</v>
      </c>
      <c r="F136" s="19" t="s">
        <v>8</v>
      </c>
      <c r="G136" s="42" t="s">
        <v>81</v>
      </c>
      <c r="H136" s="19" t="s">
        <v>8</v>
      </c>
      <c r="I136" s="125">
        <v>0.27</v>
      </c>
      <c r="J136" s="56">
        <v>0</v>
      </c>
      <c r="K136" s="57">
        <v>0</v>
      </c>
      <c r="L136" s="55" t="s">
        <v>9</v>
      </c>
      <c r="M136" s="57" t="s">
        <v>9</v>
      </c>
      <c r="N136" s="332">
        <f t="shared" si="16"/>
        <v>0.27</v>
      </c>
      <c r="O136" s="333">
        <f t="shared" si="17"/>
        <v>0.27</v>
      </c>
      <c r="P136" s="24"/>
      <c r="Q136" s="24"/>
      <c r="R136" s="24"/>
      <c r="S136" s="24"/>
      <c r="T136" s="24"/>
      <c r="U136" s="24"/>
      <c r="V136" s="24"/>
      <c r="W136" s="24"/>
      <c r="X136" s="24"/>
      <c r="Y136" s="24"/>
      <c r="AA136"/>
      <c r="AB136"/>
      <c r="AC136"/>
    </row>
    <row r="137" spans="1:29" s="3" customFormat="1" ht="27" customHeight="1" x14ac:dyDescent="0.35">
      <c r="A137" s="62">
        <f t="shared" si="18"/>
        <v>134</v>
      </c>
      <c r="B137" s="70" t="s">
        <v>441</v>
      </c>
      <c r="C137" s="42" t="s">
        <v>82</v>
      </c>
      <c r="D137" s="43" t="s">
        <v>70</v>
      </c>
      <c r="E137" s="43" t="s">
        <v>88</v>
      </c>
      <c r="F137" s="19" t="s">
        <v>8</v>
      </c>
      <c r="G137" s="42" t="s">
        <v>82</v>
      </c>
      <c r="H137" s="19" t="s">
        <v>8</v>
      </c>
      <c r="I137" s="125">
        <v>0.36</v>
      </c>
      <c r="J137" s="56">
        <v>0</v>
      </c>
      <c r="K137" s="57">
        <v>0</v>
      </c>
      <c r="L137" s="55" t="s">
        <v>9</v>
      </c>
      <c r="M137" s="57" t="s">
        <v>9</v>
      </c>
      <c r="N137" s="332">
        <f t="shared" si="16"/>
        <v>0.36</v>
      </c>
      <c r="O137" s="333">
        <f t="shared" si="17"/>
        <v>0.36</v>
      </c>
      <c r="P137" s="24"/>
      <c r="Q137" s="24"/>
      <c r="R137" s="24"/>
      <c r="S137" s="24"/>
      <c r="T137" s="24"/>
      <c r="U137" s="24"/>
      <c r="V137" s="24"/>
      <c r="W137" s="24"/>
      <c r="X137" s="24"/>
      <c r="Y137" s="24"/>
      <c r="AA137"/>
      <c r="AB137"/>
      <c r="AC137"/>
    </row>
    <row r="138" spans="1:29" s="3" customFormat="1" ht="27" customHeight="1" x14ac:dyDescent="0.35">
      <c r="A138" s="62">
        <f t="shared" si="18"/>
        <v>135</v>
      </c>
      <c r="B138" s="70" t="s">
        <v>441</v>
      </c>
      <c r="C138" s="42" t="s">
        <v>82</v>
      </c>
      <c r="D138" s="43" t="s">
        <v>77</v>
      </c>
      <c r="E138" s="43" t="s">
        <v>89</v>
      </c>
      <c r="F138" s="19" t="s">
        <v>8</v>
      </c>
      <c r="G138" s="42" t="s">
        <v>82</v>
      </c>
      <c r="H138" s="19" t="s">
        <v>8</v>
      </c>
      <c r="I138" s="125">
        <v>0.31</v>
      </c>
      <c r="J138" s="56">
        <v>0</v>
      </c>
      <c r="K138" s="57">
        <v>0</v>
      </c>
      <c r="L138" s="55" t="s">
        <v>9</v>
      </c>
      <c r="M138" s="57" t="s">
        <v>9</v>
      </c>
      <c r="N138" s="332">
        <f t="shared" si="16"/>
        <v>0.31</v>
      </c>
      <c r="O138" s="333">
        <f t="shared" si="17"/>
        <v>0.31</v>
      </c>
      <c r="P138" s="24"/>
      <c r="Q138" s="24"/>
      <c r="R138" s="24"/>
      <c r="S138" s="24"/>
      <c r="T138" s="24"/>
      <c r="U138" s="24"/>
      <c r="V138" s="24"/>
      <c r="W138" s="24"/>
      <c r="X138" s="24"/>
      <c r="Y138" s="24"/>
      <c r="AA138"/>
      <c r="AB138"/>
      <c r="AC138"/>
    </row>
    <row r="139" spans="1:29" s="3" customFormat="1" ht="27" customHeight="1" x14ac:dyDescent="0.35">
      <c r="A139" s="62">
        <f t="shared" si="18"/>
        <v>136</v>
      </c>
      <c r="B139" s="70" t="s">
        <v>441</v>
      </c>
      <c r="C139" s="42" t="s">
        <v>82</v>
      </c>
      <c r="D139" s="43" t="s">
        <v>78</v>
      </c>
      <c r="E139" s="43" t="s">
        <v>90</v>
      </c>
      <c r="F139" s="19" t="s">
        <v>8</v>
      </c>
      <c r="G139" s="42" t="s">
        <v>82</v>
      </c>
      <c r="H139" s="19" t="s">
        <v>8</v>
      </c>
      <c r="I139" s="125">
        <v>1</v>
      </c>
      <c r="J139" s="56">
        <v>0</v>
      </c>
      <c r="K139" s="57">
        <v>0</v>
      </c>
      <c r="L139" s="55" t="s">
        <v>9</v>
      </c>
      <c r="M139" s="57" t="s">
        <v>9</v>
      </c>
      <c r="N139" s="332">
        <f t="shared" si="16"/>
        <v>1</v>
      </c>
      <c r="O139" s="333">
        <f t="shared" si="17"/>
        <v>1</v>
      </c>
      <c r="P139" s="24"/>
      <c r="Q139" s="24"/>
      <c r="R139" s="24"/>
      <c r="S139" s="24"/>
      <c r="T139" s="24"/>
      <c r="U139" s="24"/>
      <c r="V139" s="24"/>
      <c r="W139" s="24"/>
      <c r="X139" s="24"/>
      <c r="Y139" s="24"/>
      <c r="AA139"/>
      <c r="AB139"/>
      <c r="AC139"/>
    </row>
    <row r="140" spans="1:29" s="3" customFormat="1" ht="27" customHeight="1" x14ac:dyDescent="0.35">
      <c r="A140" s="62">
        <f t="shared" si="18"/>
        <v>137</v>
      </c>
      <c r="B140" s="70" t="s">
        <v>441</v>
      </c>
      <c r="C140" s="42" t="s">
        <v>82</v>
      </c>
      <c r="D140" s="43" t="s">
        <v>79</v>
      </c>
      <c r="E140" s="43" t="s">
        <v>91</v>
      </c>
      <c r="F140" s="19" t="s">
        <v>8</v>
      </c>
      <c r="G140" s="42" t="s">
        <v>82</v>
      </c>
      <c r="H140" s="19" t="s">
        <v>8</v>
      </c>
      <c r="I140" s="125">
        <v>0.28000000000000003</v>
      </c>
      <c r="J140" s="56">
        <v>0</v>
      </c>
      <c r="K140" s="57">
        <v>0</v>
      </c>
      <c r="L140" s="55" t="s">
        <v>9</v>
      </c>
      <c r="M140" s="57" t="s">
        <v>9</v>
      </c>
      <c r="N140" s="332">
        <f t="shared" si="16"/>
        <v>0.28000000000000003</v>
      </c>
      <c r="O140" s="333">
        <f t="shared" si="17"/>
        <v>0.28000000000000003</v>
      </c>
      <c r="P140" s="24"/>
      <c r="Q140" s="24"/>
      <c r="R140" s="24"/>
      <c r="S140" s="24"/>
      <c r="T140" s="24"/>
      <c r="U140" s="24"/>
      <c r="V140" s="24"/>
      <c r="W140" s="24"/>
      <c r="X140" s="24"/>
      <c r="Y140" s="24"/>
      <c r="AA140"/>
      <c r="AB140"/>
      <c r="AC140"/>
    </row>
    <row r="141" spans="1:29" s="3" customFormat="1" ht="27" customHeight="1" x14ac:dyDescent="0.35">
      <c r="A141" s="62">
        <f t="shared" si="18"/>
        <v>138</v>
      </c>
      <c r="B141" s="70" t="s">
        <v>441</v>
      </c>
      <c r="C141" s="42" t="s">
        <v>82</v>
      </c>
      <c r="D141" s="43" t="s">
        <v>73</v>
      </c>
      <c r="E141" s="43" t="s">
        <v>511</v>
      </c>
      <c r="F141" s="19" t="s">
        <v>8</v>
      </c>
      <c r="G141" s="42" t="s">
        <v>82</v>
      </c>
      <c r="H141" s="19" t="s">
        <v>8</v>
      </c>
      <c r="I141" s="125">
        <v>0.27</v>
      </c>
      <c r="J141" s="56">
        <v>0</v>
      </c>
      <c r="K141" s="57">
        <v>0</v>
      </c>
      <c r="L141" s="55" t="s">
        <v>9</v>
      </c>
      <c r="M141" s="57" t="s">
        <v>9</v>
      </c>
      <c r="N141" s="332">
        <f t="shared" si="16"/>
        <v>0.27</v>
      </c>
      <c r="O141" s="333">
        <f t="shared" si="17"/>
        <v>0.27</v>
      </c>
      <c r="P141" s="24"/>
      <c r="Q141" s="24"/>
      <c r="R141" s="24"/>
      <c r="S141" s="24"/>
      <c r="T141" s="24"/>
      <c r="U141" s="24"/>
      <c r="V141" s="24"/>
      <c r="W141" s="24"/>
      <c r="X141" s="24"/>
      <c r="Y141" s="24"/>
      <c r="AA141"/>
      <c r="AB141"/>
      <c r="AC141"/>
    </row>
    <row r="142" spans="1:29" s="3" customFormat="1" ht="27" customHeight="1" x14ac:dyDescent="0.35">
      <c r="A142" s="62">
        <f t="shared" si="18"/>
        <v>139</v>
      </c>
      <c r="B142" s="70" t="s">
        <v>441</v>
      </c>
      <c r="C142" s="42" t="s">
        <v>83</v>
      </c>
      <c r="D142" s="43" t="s">
        <v>70</v>
      </c>
      <c r="E142" s="43" t="s">
        <v>92</v>
      </c>
      <c r="F142" s="19" t="s">
        <v>8</v>
      </c>
      <c r="G142" s="42" t="s">
        <v>83</v>
      </c>
      <c r="H142" s="19" t="s">
        <v>8</v>
      </c>
      <c r="I142" s="125">
        <v>0.5</v>
      </c>
      <c r="J142" s="56">
        <v>0</v>
      </c>
      <c r="K142" s="57">
        <v>0</v>
      </c>
      <c r="L142" s="55" t="s">
        <v>9</v>
      </c>
      <c r="M142" s="57" t="s">
        <v>9</v>
      </c>
      <c r="N142" s="332">
        <f t="shared" si="16"/>
        <v>0.5</v>
      </c>
      <c r="O142" s="333">
        <f t="shared" si="17"/>
        <v>0.5</v>
      </c>
      <c r="P142" s="24"/>
      <c r="Q142" s="24"/>
      <c r="R142" s="24"/>
      <c r="S142" s="24"/>
      <c r="T142" s="24"/>
      <c r="U142" s="24"/>
      <c r="V142" s="24"/>
      <c r="W142" s="24"/>
      <c r="X142" s="24"/>
      <c r="Y142" s="24"/>
      <c r="AA142"/>
      <c r="AB142"/>
      <c r="AC142"/>
    </row>
    <row r="143" spans="1:29" s="3" customFormat="1" ht="26.25" customHeight="1" x14ac:dyDescent="0.35">
      <c r="A143" s="62">
        <f t="shared" si="18"/>
        <v>140</v>
      </c>
      <c r="B143" s="70" t="s">
        <v>441</v>
      </c>
      <c r="C143" s="42" t="s">
        <v>83</v>
      </c>
      <c r="D143" s="43" t="s">
        <v>77</v>
      </c>
      <c r="E143" s="43" t="s">
        <v>93</v>
      </c>
      <c r="F143" s="19" t="s">
        <v>8</v>
      </c>
      <c r="G143" s="42" t="s">
        <v>83</v>
      </c>
      <c r="H143" s="19" t="s">
        <v>8</v>
      </c>
      <c r="I143" s="125">
        <v>0.42</v>
      </c>
      <c r="J143" s="56">
        <v>0</v>
      </c>
      <c r="K143" s="57">
        <v>0</v>
      </c>
      <c r="L143" s="55" t="s">
        <v>9</v>
      </c>
      <c r="M143" s="57" t="s">
        <v>9</v>
      </c>
      <c r="N143" s="332">
        <f t="shared" si="16"/>
        <v>0.42</v>
      </c>
      <c r="O143" s="333">
        <f t="shared" si="17"/>
        <v>0.42</v>
      </c>
      <c r="P143" s="24"/>
      <c r="Q143" s="24"/>
      <c r="R143" s="24"/>
      <c r="S143" s="24"/>
      <c r="T143" s="24"/>
      <c r="U143" s="24"/>
      <c r="V143" s="24"/>
      <c r="W143" s="24"/>
      <c r="X143" s="24"/>
      <c r="Y143" s="24"/>
      <c r="AA143"/>
      <c r="AB143"/>
      <c r="AC143"/>
    </row>
    <row r="144" spans="1:29" s="3" customFormat="1" ht="26.25" customHeight="1" x14ac:dyDescent="0.35">
      <c r="A144" s="62">
        <f t="shared" si="18"/>
        <v>141</v>
      </c>
      <c r="B144" s="70" t="s">
        <v>441</v>
      </c>
      <c r="C144" s="42" t="s">
        <v>83</v>
      </c>
      <c r="D144" s="43" t="s">
        <v>78</v>
      </c>
      <c r="E144" s="43" t="s">
        <v>94</v>
      </c>
      <c r="F144" s="19" t="s">
        <v>8</v>
      </c>
      <c r="G144" s="42" t="s">
        <v>83</v>
      </c>
      <c r="H144" s="19" t="s">
        <v>8</v>
      </c>
      <c r="I144" s="125">
        <v>1.5</v>
      </c>
      <c r="J144" s="56">
        <v>0</v>
      </c>
      <c r="K144" s="57">
        <v>0</v>
      </c>
      <c r="L144" s="55" t="s">
        <v>9</v>
      </c>
      <c r="M144" s="57" t="s">
        <v>9</v>
      </c>
      <c r="N144" s="332">
        <f t="shared" si="16"/>
        <v>1.5</v>
      </c>
      <c r="O144" s="333">
        <f t="shared" si="17"/>
        <v>1.5</v>
      </c>
      <c r="P144" s="24"/>
      <c r="Q144" s="24"/>
      <c r="R144" s="24"/>
      <c r="S144" s="24"/>
      <c r="T144" s="24"/>
      <c r="U144" s="24"/>
      <c r="V144" s="24"/>
      <c r="W144" s="24"/>
      <c r="X144" s="24"/>
      <c r="Y144" s="24"/>
      <c r="AA144"/>
      <c r="AB144"/>
      <c r="AC144"/>
    </row>
    <row r="145" spans="1:34" s="3" customFormat="1" ht="26.25" customHeight="1" x14ac:dyDescent="0.35">
      <c r="A145" s="62">
        <f t="shared" si="18"/>
        <v>142</v>
      </c>
      <c r="B145" s="70" t="s">
        <v>441</v>
      </c>
      <c r="C145" s="42" t="s">
        <v>83</v>
      </c>
      <c r="D145" s="43" t="s">
        <v>79</v>
      </c>
      <c r="E145" s="43" t="s">
        <v>95</v>
      </c>
      <c r="F145" s="19" t="s">
        <v>8</v>
      </c>
      <c r="G145" s="42" t="s">
        <v>83</v>
      </c>
      <c r="H145" s="19" t="s">
        <v>8</v>
      </c>
      <c r="I145" s="125">
        <v>0.42</v>
      </c>
      <c r="J145" s="56">
        <v>0</v>
      </c>
      <c r="K145" s="57">
        <v>0</v>
      </c>
      <c r="L145" s="55" t="s">
        <v>9</v>
      </c>
      <c r="M145" s="57" t="s">
        <v>9</v>
      </c>
      <c r="N145" s="332">
        <f t="shared" si="16"/>
        <v>0.42</v>
      </c>
      <c r="O145" s="333">
        <f t="shared" si="17"/>
        <v>0.42</v>
      </c>
      <c r="P145" s="24"/>
      <c r="Q145" s="24"/>
      <c r="R145" s="24"/>
      <c r="S145" s="24"/>
      <c r="T145" s="24"/>
      <c r="U145" s="24"/>
      <c r="V145" s="24"/>
      <c r="W145" s="24"/>
      <c r="X145" s="24"/>
      <c r="Y145" s="24"/>
      <c r="AA145"/>
      <c r="AB145"/>
      <c r="AC145"/>
    </row>
    <row r="146" spans="1:34" s="3" customFormat="1" ht="26.25" customHeight="1" x14ac:dyDescent="0.35">
      <c r="A146" s="62">
        <f t="shared" si="18"/>
        <v>143</v>
      </c>
      <c r="B146" s="70" t="s">
        <v>441</v>
      </c>
      <c r="C146" s="42" t="s">
        <v>83</v>
      </c>
      <c r="D146" s="43" t="s">
        <v>13</v>
      </c>
      <c r="E146" s="43" t="s">
        <v>96</v>
      </c>
      <c r="F146" s="19" t="s">
        <v>8</v>
      </c>
      <c r="G146" s="42" t="s">
        <v>83</v>
      </c>
      <c r="H146" s="19" t="s">
        <v>8</v>
      </c>
      <c r="I146" s="125">
        <f>99*1.135</f>
        <v>112.36499999999999</v>
      </c>
      <c r="J146" s="56">
        <v>0</v>
      </c>
      <c r="K146" s="57">
        <v>0</v>
      </c>
      <c r="L146" s="55" t="s">
        <v>9</v>
      </c>
      <c r="M146" s="57" t="s">
        <v>9</v>
      </c>
      <c r="N146" s="332">
        <f t="shared" si="16"/>
        <v>112.36499999999999</v>
      </c>
      <c r="O146" s="333">
        <f t="shared" si="17"/>
        <v>112.36499999999999</v>
      </c>
      <c r="P146" s="24"/>
      <c r="Q146" s="24"/>
      <c r="R146" s="24"/>
      <c r="S146" s="24"/>
      <c r="T146" s="24"/>
      <c r="U146" s="24"/>
      <c r="V146" s="24"/>
      <c r="W146" s="24"/>
      <c r="X146" s="24"/>
      <c r="Y146" s="24"/>
      <c r="AA146"/>
      <c r="AB146"/>
      <c r="AC146"/>
    </row>
    <row r="147" spans="1:34" s="3" customFormat="1" ht="26.25" customHeight="1" x14ac:dyDescent="0.35">
      <c r="A147" s="62">
        <f t="shared" si="18"/>
        <v>144</v>
      </c>
      <c r="B147" s="70" t="s">
        <v>441</v>
      </c>
      <c r="C147" s="42" t="s">
        <v>83</v>
      </c>
      <c r="D147" s="43" t="s">
        <v>73</v>
      </c>
      <c r="E147" s="43" t="s">
        <v>512</v>
      </c>
      <c r="F147" s="19" t="s">
        <v>8</v>
      </c>
      <c r="G147" s="42" t="s">
        <v>83</v>
      </c>
      <c r="H147" s="19" t="s">
        <v>8</v>
      </c>
      <c r="I147" s="125">
        <v>0.35</v>
      </c>
      <c r="J147" s="56">
        <v>0</v>
      </c>
      <c r="K147" s="57">
        <v>0</v>
      </c>
      <c r="L147" s="55" t="s">
        <v>9</v>
      </c>
      <c r="M147" s="57" t="s">
        <v>9</v>
      </c>
      <c r="N147" s="332">
        <f t="shared" si="16"/>
        <v>0.35</v>
      </c>
      <c r="O147" s="333">
        <f t="shared" si="17"/>
        <v>0.35</v>
      </c>
      <c r="P147" s="24"/>
      <c r="Q147" s="24"/>
      <c r="R147" s="24"/>
      <c r="S147" s="24"/>
      <c r="T147" s="24"/>
      <c r="U147" s="24"/>
      <c r="V147" s="24"/>
      <c r="W147" s="24"/>
      <c r="X147" s="24"/>
      <c r="Y147" s="24"/>
      <c r="AA147"/>
      <c r="AB147"/>
      <c r="AC147"/>
    </row>
    <row r="148" spans="1:34" s="3" customFormat="1" ht="46.5" customHeight="1" x14ac:dyDescent="0.35">
      <c r="A148" s="62">
        <f t="shared" si="18"/>
        <v>145</v>
      </c>
      <c r="B148" s="49" t="s">
        <v>442</v>
      </c>
      <c r="C148" s="42" t="s">
        <v>8</v>
      </c>
      <c r="D148" s="43" t="str">
        <f>D4</f>
        <v>B Medical</v>
      </c>
      <c r="E148" s="43" t="str">
        <f>E4&amp;"-spare parts"</f>
        <v>TCW 40R AC-spare parts</v>
      </c>
      <c r="F148" s="19" t="s">
        <v>8</v>
      </c>
      <c r="G148" s="19" t="s">
        <v>8</v>
      </c>
      <c r="H148" s="19" t="s">
        <v>8</v>
      </c>
      <c r="I148" s="125">
        <f>398*1.135</f>
        <v>451.73</v>
      </c>
      <c r="J148" s="56">
        <v>0</v>
      </c>
      <c r="K148" s="57">
        <v>0</v>
      </c>
      <c r="L148" s="55" t="s">
        <v>9</v>
      </c>
      <c r="M148" s="57" t="s">
        <v>9</v>
      </c>
      <c r="N148" s="58" t="s">
        <v>8</v>
      </c>
      <c r="O148" s="19" t="s">
        <v>8</v>
      </c>
      <c r="P148" s="24"/>
      <c r="Q148" s="24"/>
      <c r="R148" s="24"/>
      <c r="S148" s="24"/>
      <c r="T148" s="24"/>
      <c r="U148" s="24"/>
      <c r="V148" s="24"/>
      <c r="W148" s="24"/>
      <c r="X148" s="24"/>
      <c r="Y148" s="24"/>
      <c r="AA148"/>
      <c r="AB148"/>
      <c r="AC148"/>
    </row>
    <row r="149" spans="1:34" ht="29" x14ac:dyDescent="0.35">
      <c r="A149" s="62">
        <f t="shared" si="18"/>
        <v>146</v>
      </c>
      <c r="B149" s="49" t="s">
        <v>442</v>
      </c>
      <c r="C149" s="42" t="s">
        <v>8</v>
      </c>
      <c r="D149" s="43" t="str">
        <f>D9</f>
        <v>Aucma</v>
      </c>
      <c r="E149" s="43" t="str">
        <f>E9&amp;"-spare parts"</f>
        <v>CFD-50-spare parts</v>
      </c>
      <c r="F149" s="19" t="s">
        <v>8</v>
      </c>
      <c r="G149" s="19" t="s">
        <v>8</v>
      </c>
      <c r="H149" s="19" t="s">
        <v>8</v>
      </c>
      <c r="I149" s="125">
        <v>538.5</v>
      </c>
      <c r="J149" s="56">
        <v>0</v>
      </c>
      <c r="K149" s="57">
        <v>0</v>
      </c>
      <c r="L149" s="55" t="s">
        <v>9</v>
      </c>
      <c r="M149" s="57" t="s">
        <v>9</v>
      </c>
      <c r="N149" s="58" t="s">
        <v>8</v>
      </c>
      <c r="O149" s="19" t="s">
        <v>8</v>
      </c>
      <c r="AH149" s="3"/>
    </row>
    <row r="150" spans="1:34" ht="29" x14ac:dyDescent="0.35">
      <c r="A150" s="62">
        <f t="shared" si="18"/>
        <v>147</v>
      </c>
      <c r="B150" s="49" t="s">
        <v>442</v>
      </c>
      <c r="C150" s="42" t="s">
        <v>8</v>
      </c>
      <c r="D150" s="43" t="str">
        <f>D5</f>
        <v xml:space="preserve">Godrej &amp; Boyce </v>
      </c>
      <c r="E150" s="43" t="str">
        <f>E5&amp;"-spare parts"</f>
        <v>GVR 51 Lite AC-spare parts</v>
      </c>
      <c r="F150" s="19" t="s">
        <v>8</v>
      </c>
      <c r="G150" s="19" t="s">
        <v>8</v>
      </c>
      <c r="H150" s="19" t="s">
        <v>8</v>
      </c>
      <c r="I150" s="125">
        <v>205</v>
      </c>
      <c r="J150" s="56">
        <v>0</v>
      </c>
      <c r="K150" s="57">
        <v>0</v>
      </c>
      <c r="L150" s="55" t="s">
        <v>9</v>
      </c>
      <c r="M150" s="57" t="s">
        <v>9</v>
      </c>
      <c r="N150" s="58" t="s">
        <v>8</v>
      </c>
      <c r="O150" s="19" t="s">
        <v>8</v>
      </c>
    </row>
    <row r="151" spans="1:34" ht="29" x14ac:dyDescent="0.35">
      <c r="A151" s="62">
        <f t="shared" si="18"/>
        <v>148</v>
      </c>
      <c r="B151" s="49" t="s">
        <v>442</v>
      </c>
      <c r="C151" s="42" t="s">
        <v>8</v>
      </c>
      <c r="D151" s="43" t="str">
        <f>D7</f>
        <v>Vestfrost</v>
      </c>
      <c r="E151" s="43" t="str">
        <f>E7&amp;"-spare parts"</f>
        <v>VLS 174A AC-spare parts</v>
      </c>
      <c r="F151" s="19" t="s">
        <v>8</v>
      </c>
      <c r="G151" s="19" t="s">
        <v>8</v>
      </c>
      <c r="H151" s="19" t="s">
        <v>8</v>
      </c>
      <c r="I151" s="125">
        <f>177*1.135</f>
        <v>200.89500000000001</v>
      </c>
      <c r="J151" s="56">
        <v>0</v>
      </c>
      <c r="K151" s="57">
        <v>0</v>
      </c>
      <c r="L151" s="55" t="s">
        <v>9</v>
      </c>
      <c r="M151" s="57" t="s">
        <v>9</v>
      </c>
      <c r="N151" s="58" t="s">
        <v>8</v>
      </c>
      <c r="O151" s="19" t="s">
        <v>8</v>
      </c>
    </row>
    <row r="152" spans="1:34" ht="29" x14ac:dyDescent="0.35">
      <c r="A152" s="62">
        <f t="shared" si="18"/>
        <v>149</v>
      </c>
      <c r="B152" s="49" t="s">
        <v>442</v>
      </c>
      <c r="C152" s="42" t="s">
        <v>8</v>
      </c>
      <c r="D152" s="43" t="str">
        <f>D11</f>
        <v>Haier</v>
      </c>
      <c r="E152" s="43" t="str">
        <f>E11&amp;"-spare parts"</f>
        <v>HBC 80-spare parts</v>
      </c>
      <c r="F152" s="19" t="s">
        <v>8</v>
      </c>
      <c r="G152" s="19" t="s">
        <v>8</v>
      </c>
      <c r="H152" s="19" t="s">
        <v>8</v>
      </c>
      <c r="I152" s="125">
        <v>180</v>
      </c>
      <c r="J152" s="56">
        <v>0</v>
      </c>
      <c r="K152" s="57">
        <v>0</v>
      </c>
      <c r="L152" s="55" t="s">
        <v>9</v>
      </c>
      <c r="M152" s="57" t="s">
        <v>9</v>
      </c>
      <c r="N152" s="58" t="s">
        <v>8</v>
      </c>
      <c r="O152" s="19" t="s">
        <v>8</v>
      </c>
    </row>
    <row r="153" spans="1:34" ht="29" x14ac:dyDescent="0.35">
      <c r="A153" s="62">
        <f t="shared" si="18"/>
        <v>150</v>
      </c>
      <c r="B153" s="49" t="s">
        <v>442</v>
      </c>
      <c r="C153" s="42" t="s">
        <v>8</v>
      </c>
      <c r="D153" s="43" t="str">
        <f>D13</f>
        <v xml:space="preserve">Godrej &amp; Boyce </v>
      </c>
      <c r="E153" s="43" t="str">
        <f>E13&amp;"-spare parts"</f>
        <v>GVR 75 Lite AC-spare parts</v>
      </c>
      <c r="F153" s="19" t="s">
        <v>8</v>
      </c>
      <c r="G153" s="19" t="s">
        <v>8</v>
      </c>
      <c r="H153" s="19" t="s">
        <v>8</v>
      </c>
      <c r="I153" s="125">
        <v>205</v>
      </c>
      <c r="J153" s="56">
        <v>0</v>
      </c>
      <c r="K153" s="57">
        <v>0</v>
      </c>
      <c r="L153" s="55" t="s">
        <v>9</v>
      </c>
      <c r="M153" s="57" t="s">
        <v>9</v>
      </c>
      <c r="N153" s="58" t="s">
        <v>8</v>
      </c>
      <c r="O153" s="19" t="s">
        <v>8</v>
      </c>
    </row>
    <row r="154" spans="1:34" ht="29" x14ac:dyDescent="0.35">
      <c r="A154" s="62">
        <f t="shared" si="18"/>
        <v>151</v>
      </c>
      <c r="B154" s="49" t="s">
        <v>442</v>
      </c>
      <c r="C154" s="42" t="s">
        <v>8</v>
      </c>
      <c r="D154" s="43" t="str">
        <f>D15</f>
        <v>B Medical</v>
      </c>
      <c r="E154" s="43" t="str">
        <f>E15&amp;"-spare parts"</f>
        <v>TCW 80 AC-spare parts</v>
      </c>
      <c r="F154" s="19" t="s">
        <v>8</v>
      </c>
      <c r="G154" s="19" t="s">
        <v>8</v>
      </c>
      <c r="H154" s="19" t="s">
        <v>8</v>
      </c>
      <c r="I154" s="125">
        <f>380*1.135</f>
        <v>431.3</v>
      </c>
      <c r="J154" s="56">
        <v>0</v>
      </c>
      <c r="K154" s="57">
        <v>0</v>
      </c>
      <c r="L154" s="55" t="s">
        <v>9</v>
      </c>
      <c r="M154" s="57" t="s">
        <v>9</v>
      </c>
      <c r="N154" s="58" t="s">
        <v>8</v>
      </c>
      <c r="O154" s="19" t="s">
        <v>8</v>
      </c>
    </row>
    <row r="155" spans="1:34" ht="29" x14ac:dyDescent="0.35">
      <c r="A155" s="62">
        <f t="shared" si="18"/>
        <v>152</v>
      </c>
      <c r="B155" s="49" t="s">
        <v>442</v>
      </c>
      <c r="C155" s="42" t="s">
        <v>8</v>
      </c>
      <c r="D155" s="43" t="str">
        <f>D16</f>
        <v>Vestfrost</v>
      </c>
      <c r="E155" s="43" t="str">
        <f>E16&amp;"-spare parts"</f>
        <v>VLS 304A AC-spare parts</v>
      </c>
      <c r="F155" s="19" t="s">
        <v>8</v>
      </c>
      <c r="G155" s="19" t="s">
        <v>8</v>
      </c>
      <c r="H155" s="19" t="s">
        <v>8</v>
      </c>
      <c r="I155" s="125">
        <f>177*1.135</f>
        <v>200.89500000000001</v>
      </c>
      <c r="J155" s="56">
        <v>0</v>
      </c>
      <c r="K155" s="57">
        <v>0</v>
      </c>
      <c r="L155" s="55" t="s">
        <v>9</v>
      </c>
      <c r="M155" s="57" t="s">
        <v>9</v>
      </c>
      <c r="N155" s="58" t="s">
        <v>8</v>
      </c>
      <c r="O155" s="19" t="s">
        <v>8</v>
      </c>
    </row>
    <row r="156" spans="1:34" ht="29" x14ac:dyDescent="0.35">
      <c r="A156" s="62">
        <f t="shared" si="18"/>
        <v>153</v>
      </c>
      <c r="B156" s="49" t="s">
        <v>442</v>
      </c>
      <c r="C156" s="42" t="s">
        <v>8</v>
      </c>
      <c r="D156" s="43" t="str">
        <f>D18</f>
        <v>Vestfrost</v>
      </c>
      <c r="E156" s="43" t="str">
        <f>E18&amp;"-spare parts"</f>
        <v>VLS 204A AC-spare parts</v>
      </c>
      <c r="F156" s="19" t="s">
        <v>8</v>
      </c>
      <c r="G156" s="19" t="s">
        <v>8</v>
      </c>
      <c r="H156" s="19" t="s">
        <v>8</v>
      </c>
      <c r="I156" s="125">
        <f>177*1.135</f>
        <v>200.89500000000001</v>
      </c>
      <c r="J156" s="56">
        <v>0</v>
      </c>
      <c r="K156" s="57">
        <v>0</v>
      </c>
      <c r="L156" s="55" t="s">
        <v>9</v>
      </c>
      <c r="M156" s="57" t="s">
        <v>9</v>
      </c>
      <c r="N156" s="58" t="s">
        <v>8</v>
      </c>
      <c r="O156" s="19" t="s">
        <v>8</v>
      </c>
    </row>
    <row r="157" spans="1:34" ht="29" x14ac:dyDescent="0.35">
      <c r="A157" s="62">
        <f t="shared" si="18"/>
        <v>154</v>
      </c>
      <c r="B157" s="49" t="s">
        <v>442</v>
      </c>
      <c r="C157" s="42" t="s">
        <v>8</v>
      </c>
      <c r="D157" s="43" t="str">
        <f>D20</f>
        <v xml:space="preserve">Godrej &amp; Boyce </v>
      </c>
      <c r="E157" s="43" t="str">
        <f>E20&amp;"-spare parts"</f>
        <v>GVR 99 Lite AC-spare parts</v>
      </c>
      <c r="F157" s="19" t="s">
        <v>8</v>
      </c>
      <c r="G157" s="19" t="s">
        <v>8</v>
      </c>
      <c r="H157" s="19" t="s">
        <v>8</v>
      </c>
      <c r="I157" s="125">
        <v>205</v>
      </c>
      <c r="J157" s="56">
        <v>0</v>
      </c>
      <c r="K157" s="57">
        <v>0</v>
      </c>
      <c r="L157" s="55" t="s">
        <v>9</v>
      </c>
      <c r="M157" s="57" t="s">
        <v>9</v>
      </c>
      <c r="N157" s="58" t="s">
        <v>8</v>
      </c>
      <c r="O157" s="19" t="s">
        <v>8</v>
      </c>
    </row>
    <row r="158" spans="1:34" ht="29" x14ac:dyDescent="0.35">
      <c r="A158" s="62">
        <f t="shared" si="18"/>
        <v>155</v>
      </c>
      <c r="B158" s="49" t="s">
        <v>442</v>
      </c>
      <c r="C158" s="42" t="s">
        <v>8</v>
      </c>
      <c r="D158" s="43" t="str">
        <f>D22</f>
        <v>Haier</v>
      </c>
      <c r="E158" s="43" t="str">
        <f>E22&amp;"-spare parts"</f>
        <v>HBC-120-spare parts</v>
      </c>
      <c r="F158" s="19" t="s">
        <v>8</v>
      </c>
      <c r="G158" s="19" t="s">
        <v>8</v>
      </c>
      <c r="H158" s="19" t="s">
        <v>8</v>
      </c>
      <c r="I158" s="125">
        <v>275</v>
      </c>
      <c r="J158" s="56">
        <v>0</v>
      </c>
      <c r="K158" s="57">
        <v>0</v>
      </c>
      <c r="L158" s="55" t="s">
        <v>9</v>
      </c>
      <c r="M158" s="57" t="s">
        <v>9</v>
      </c>
      <c r="N158" s="58" t="s">
        <v>8</v>
      </c>
      <c r="O158" s="19" t="s">
        <v>8</v>
      </c>
    </row>
    <row r="159" spans="1:34" ht="29" x14ac:dyDescent="0.35">
      <c r="A159" s="62">
        <f t="shared" si="18"/>
        <v>156</v>
      </c>
      <c r="B159" s="49" t="s">
        <v>442</v>
      </c>
      <c r="C159" s="42" t="s">
        <v>8</v>
      </c>
      <c r="D159" s="43" t="str">
        <f>D24</f>
        <v>Vestfrost</v>
      </c>
      <c r="E159" s="43" t="str">
        <f>E24&amp;"-spare parts"</f>
        <v>VLS 504A AC-spare parts</v>
      </c>
      <c r="F159" s="19" t="s">
        <v>8</v>
      </c>
      <c r="G159" s="19" t="s">
        <v>8</v>
      </c>
      <c r="H159" s="19" t="s">
        <v>8</v>
      </c>
      <c r="I159" s="125">
        <f>207*1.135</f>
        <v>234.94499999999999</v>
      </c>
      <c r="J159" s="56">
        <v>0</v>
      </c>
      <c r="K159" s="57">
        <v>0</v>
      </c>
      <c r="L159" s="55" t="s">
        <v>9</v>
      </c>
      <c r="M159" s="57" t="s">
        <v>9</v>
      </c>
      <c r="N159" s="58" t="s">
        <v>8</v>
      </c>
      <c r="O159" s="19" t="s">
        <v>8</v>
      </c>
    </row>
    <row r="160" spans="1:34" ht="29" x14ac:dyDescent="0.35">
      <c r="A160" s="62">
        <f t="shared" si="18"/>
        <v>157</v>
      </c>
      <c r="B160" s="49" t="s">
        <v>442</v>
      </c>
      <c r="C160" s="42" t="s">
        <v>8</v>
      </c>
      <c r="D160" s="43" t="str">
        <f>D26</f>
        <v>Dulas Solar</v>
      </c>
      <c r="E160" s="43" t="str">
        <f>E26&amp;"-spare parts"</f>
        <v>VC 225 ILR-spare parts</v>
      </c>
      <c r="F160" s="19" t="s">
        <v>8</v>
      </c>
      <c r="G160" s="19" t="s">
        <v>8</v>
      </c>
      <c r="H160" s="19" t="s">
        <v>8</v>
      </c>
      <c r="I160" s="125">
        <f>485*1.135</f>
        <v>550.47500000000002</v>
      </c>
      <c r="J160" s="56">
        <v>0</v>
      </c>
      <c r="K160" s="57">
        <v>0</v>
      </c>
      <c r="L160" s="55" t="s">
        <v>9</v>
      </c>
      <c r="M160" s="57" t="s">
        <v>9</v>
      </c>
      <c r="N160" s="58" t="s">
        <v>8</v>
      </c>
      <c r="O160" s="19" t="s">
        <v>8</v>
      </c>
    </row>
    <row r="161" spans="1:15" ht="29" x14ac:dyDescent="0.35">
      <c r="A161" s="62">
        <f t="shared" si="18"/>
        <v>158</v>
      </c>
      <c r="B161" s="49" t="s">
        <v>442</v>
      </c>
      <c r="C161" s="42" t="s">
        <v>8</v>
      </c>
      <c r="D161" s="43" t="str">
        <f>D28</f>
        <v>Haier</v>
      </c>
      <c r="E161" s="43" t="str">
        <f>E28&amp;"-spare parts"</f>
        <v>HBC 260-spare parts</v>
      </c>
      <c r="F161" s="19" t="s">
        <v>8</v>
      </c>
      <c r="G161" s="19" t="s">
        <v>8</v>
      </c>
      <c r="H161" s="19" t="s">
        <v>8</v>
      </c>
      <c r="I161" s="125">
        <v>180</v>
      </c>
      <c r="J161" s="56">
        <v>0</v>
      </c>
      <c r="K161" s="57">
        <v>0</v>
      </c>
      <c r="L161" s="55" t="s">
        <v>9</v>
      </c>
      <c r="M161" s="57" t="s">
        <v>9</v>
      </c>
      <c r="N161" s="58" t="s">
        <v>8</v>
      </c>
      <c r="O161" s="19" t="s">
        <v>8</v>
      </c>
    </row>
    <row r="162" spans="1:15" ht="29" x14ac:dyDescent="0.35">
      <c r="A162" s="62">
        <f t="shared" si="18"/>
        <v>159</v>
      </c>
      <c r="B162" s="49" t="s">
        <v>442</v>
      </c>
      <c r="C162" s="42" t="s">
        <v>8</v>
      </c>
      <c r="D162" s="43" t="str">
        <f>D30</f>
        <v xml:space="preserve">Godrej &amp; Boyce </v>
      </c>
      <c r="E162" s="43" t="str">
        <f>E30&amp;"-spare parts"</f>
        <v>GVR 225 AC-spare parts</v>
      </c>
      <c r="F162" s="19" t="s">
        <v>8</v>
      </c>
      <c r="G162" s="19" t="s">
        <v>8</v>
      </c>
      <c r="H162" s="19" t="s">
        <v>8</v>
      </c>
      <c r="I162" s="125">
        <v>250</v>
      </c>
      <c r="J162" s="56">
        <v>0</v>
      </c>
      <c r="K162" s="57">
        <v>0</v>
      </c>
      <c r="L162" s="55" t="s">
        <v>9</v>
      </c>
      <c r="M162" s="57" t="s">
        <v>9</v>
      </c>
      <c r="N162" s="58" t="s">
        <v>8</v>
      </c>
      <c r="O162" s="19" t="s">
        <v>8</v>
      </c>
    </row>
    <row r="163" spans="1:15" ht="29" x14ac:dyDescent="0.35">
      <c r="A163" s="62">
        <f t="shared" si="18"/>
        <v>160</v>
      </c>
      <c r="B163" s="49" t="s">
        <v>442</v>
      </c>
      <c r="C163" s="42" t="s">
        <v>8</v>
      </c>
      <c r="D163" s="43" t="str">
        <f>D32</f>
        <v>B Medical</v>
      </c>
      <c r="E163" s="43" t="str">
        <f>E32&amp;"-spare parts"</f>
        <v>TCW 4000 AC-spare parts</v>
      </c>
      <c r="F163" s="19" t="s">
        <v>8</v>
      </c>
      <c r="G163" s="19" t="s">
        <v>8</v>
      </c>
      <c r="H163" s="19" t="s">
        <v>8</v>
      </c>
      <c r="I163" s="125">
        <f>330*1.135</f>
        <v>374.55</v>
      </c>
      <c r="J163" s="56">
        <v>0</v>
      </c>
      <c r="K163" s="57">
        <v>0</v>
      </c>
      <c r="L163" s="55" t="s">
        <v>9</v>
      </c>
      <c r="M163" s="57" t="s">
        <v>9</v>
      </c>
      <c r="N163" s="58" t="s">
        <v>8</v>
      </c>
      <c r="O163" s="19" t="s">
        <v>8</v>
      </c>
    </row>
    <row r="164" spans="1:15" ht="29" x14ac:dyDescent="0.35">
      <c r="A164" s="62">
        <f t="shared" si="18"/>
        <v>161</v>
      </c>
      <c r="B164" s="49" t="s">
        <v>442</v>
      </c>
      <c r="C164" s="42" t="s">
        <v>8</v>
      </c>
      <c r="D164" s="43" t="str">
        <f>D33</f>
        <v xml:space="preserve">Coolfinity  </v>
      </c>
      <c r="E164" s="43" t="str">
        <f>E33&amp;"-spare parts"</f>
        <v>Coolfinity IceVolt 300P-spare parts</v>
      </c>
      <c r="F164" s="19" t="s">
        <v>8</v>
      </c>
      <c r="G164" s="19" t="s">
        <v>8</v>
      </c>
      <c r="H164" s="19" t="s">
        <v>8</v>
      </c>
      <c r="I164" s="125">
        <f>480*1.135</f>
        <v>544.79999999999995</v>
      </c>
      <c r="J164" s="56">
        <v>0</v>
      </c>
      <c r="K164" s="57">
        <v>0</v>
      </c>
      <c r="L164" s="55" t="s">
        <v>9</v>
      </c>
      <c r="M164" s="57" t="s">
        <v>9</v>
      </c>
      <c r="N164" s="58" t="s">
        <v>8</v>
      </c>
      <c r="O164" s="19" t="s">
        <v>8</v>
      </c>
    </row>
    <row r="165" spans="1:15" ht="29" x14ac:dyDescent="0.35">
      <c r="A165" s="62">
        <f t="shared" si="18"/>
        <v>162</v>
      </c>
      <c r="B165" s="26" t="s">
        <v>443</v>
      </c>
      <c r="C165" s="42" t="s">
        <v>8</v>
      </c>
      <c r="D165" s="43" t="s">
        <v>10</v>
      </c>
      <c r="E165" s="43" t="str">
        <f>E35&amp;"-spare parts"</f>
        <v>HBCD - 90-spare parts</v>
      </c>
      <c r="F165" s="19" t="s">
        <v>8</v>
      </c>
      <c r="G165" s="19" t="s">
        <v>8</v>
      </c>
      <c r="H165" s="19" t="s">
        <v>8</v>
      </c>
      <c r="I165" s="125">
        <v>180</v>
      </c>
      <c r="J165" s="56">
        <v>0</v>
      </c>
      <c r="K165" s="57">
        <v>0</v>
      </c>
      <c r="L165" s="55" t="s">
        <v>9</v>
      </c>
      <c r="M165" s="57" t="s">
        <v>9</v>
      </c>
      <c r="N165" s="58" t="s">
        <v>8</v>
      </c>
      <c r="O165" s="19" t="s">
        <v>8</v>
      </c>
    </row>
    <row r="166" spans="1:15" ht="29" x14ac:dyDescent="0.35">
      <c r="A166" s="62">
        <f t="shared" si="18"/>
        <v>163</v>
      </c>
      <c r="B166" s="26" t="s">
        <v>443</v>
      </c>
      <c r="C166" s="42" t="s">
        <v>8</v>
      </c>
      <c r="D166" s="43" t="s">
        <v>11</v>
      </c>
      <c r="E166" s="43" t="str">
        <f>E37&amp;"-spare parts"</f>
        <v>GVR 55 FF AC-spare parts</v>
      </c>
      <c r="F166" s="19" t="s">
        <v>8</v>
      </c>
      <c r="G166" s="19" t="s">
        <v>8</v>
      </c>
      <c r="H166" s="19" t="s">
        <v>8</v>
      </c>
      <c r="I166" s="125">
        <v>250</v>
      </c>
      <c r="J166" s="56">
        <v>0</v>
      </c>
      <c r="K166" s="57">
        <v>0</v>
      </c>
      <c r="L166" s="55" t="s">
        <v>9</v>
      </c>
      <c r="M166" s="57" t="s">
        <v>9</v>
      </c>
      <c r="N166" s="58" t="s">
        <v>8</v>
      </c>
      <c r="O166" s="19" t="s">
        <v>8</v>
      </c>
    </row>
    <row r="167" spans="1:15" ht="29" x14ac:dyDescent="0.35">
      <c r="A167" s="62">
        <f t="shared" si="18"/>
        <v>164</v>
      </c>
      <c r="B167" s="26" t="s">
        <v>443</v>
      </c>
      <c r="C167" s="42"/>
      <c r="D167" s="43" t="s">
        <v>19</v>
      </c>
      <c r="E167" s="43" t="str">
        <f>E39&amp;"-spare parts"</f>
        <v>VLS 064 RF AC-spare parts</v>
      </c>
      <c r="F167" s="19" t="s">
        <v>8</v>
      </c>
      <c r="G167" s="19" t="s">
        <v>8</v>
      </c>
      <c r="H167" s="19" t="s">
        <v>8</v>
      </c>
      <c r="I167" s="125">
        <f>358*1.135</f>
        <v>406.33</v>
      </c>
      <c r="J167" s="56">
        <v>0</v>
      </c>
      <c r="K167" s="57">
        <v>0</v>
      </c>
      <c r="L167" s="55" t="s">
        <v>9</v>
      </c>
      <c r="M167" s="57" t="s">
        <v>9</v>
      </c>
      <c r="N167" s="58" t="s">
        <v>8</v>
      </c>
      <c r="O167" s="19" t="s">
        <v>8</v>
      </c>
    </row>
    <row r="168" spans="1:15" ht="29" x14ac:dyDescent="0.35">
      <c r="A168" s="62">
        <f t="shared" si="18"/>
        <v>165</v>
      </c>
      <c r="B168" s="26" t="s">
        <v>443</v>
      </c>
      <c r="C168" s="42" t="s">
        <v>8</v>
      </c>
      <c r="D168" s="43" t="s">
        <v>13</v>
      </c>
      <c r="E168" s="43" t="str">
        <f>E41&amp;"-spare parts"</f>
        <v>TCW120AC-spare parts</v>
      </c>
      <c r="F168" s="19" t="s">
        <v>8</v>
      </c>
      <c r="G168" s="19" t="s">
        <v>8</v>
      </c>
      <c r="H168" s="19" t="s">
        <v>8</v>
      </c>
      <c r="I168" s="125">
        <f>486.63*1.135</f>
        <v>552.32505000000003</v>
      </c>
      <c r="J168" s="56">
        <v>0</v>
      </c>
      <c r="K168" s="57">
        <v>0</v>
      </c>
      <c r="L168" s="55" t="s">
        <v>9</v>
      </c>
      <c r="M168" s="57" t="s">
        <v>9</v>
      </c>
      <c r="N168" s="58" t="s">
        <v>8</v>
      </c>
      <c r="O168" s="19" t="s">
        <v>8</v>
      </c>
    </row>
    <row r="169" spans="1:15" ht="29" x14ac:dyDescent="0.35">
      <c r="A169" s="62">
        <f t="shared" si="18"/>
        <v>166</v>
      </c>
      <c r="B169" s="50" t="s">
        <v>444</v>
      </c>
      <c r="C169" s="42" t="s">
        <v>8</v>
      </c>
      <c r="D169" s="43" t="s">
        <v>16</v>
      </c>
      <c r="E169" s="43" t="str">
        <f>E42&amp;"-spare parts"</f>
        <v>DW-25W147-spare parts</v>
      </c>
      <c r="F169" s="19" t="s">
        <v>8</v>
      </c>
      <c r="G169" s="19" t="s">
        <v>8</v>
      </c>
      <c r="H169" s="19" t="s">
        <v>8</v>
      </c>
      <c r="I169" s="125">
        <v>215</v>
      </c>
      <c r="J169" s="56">
        <v>0</v>
      </c>
      <c r="K169" s="57">
        <v>0</v>
      </c>
      <c r="L169" s="55" t="s">
        <v>9</v>
      </c>
      <c r="M169" s="57" t="s">
        <v>9</v>
      </c>
      <c r="N169" s="58" t="s">
        <v>8</v>
      </c>
      <c r="O169" s="19" t="s">
        <v>8</v>
      </c>
    </row>
    <row r="170" spans="1:15" ht="29" x14ac:dyDescent="0.35">
      <c r="A170" s="62">
        <f t="shared" si="18"/>
        <v>167</v>
      </c>
      <c r="B170" s="50" t="s">
        <v>444</v>
      </c>
      <c r="C170" s="42" t="s">
        <v>8</v>
      </c>
      <c r="D170" s="43" t="s">
        <v>19</v>
      </c>
      <c r="E170" s="43" t="str">
        <f>E54&amp;"-spare parts"</f>
        <v>MF 114-spare parts</v>
      </c>
      <c r="F170" s="19" t="s">
        <v>8</v>
      </c>
      <c r="G170" s="19" t="s">
        <v>8</v>
      </c>
      <c r="H170" s="19" t="s">
        <v>8</v>
      </c>
      <c r="I170" s="125">
        <f>163*1.135</f>
        <v>185.005</v>
      </c>
      <c r="J170" s="56">
        <v>0</v>
      </c>
      <c r="K170" s="57">
        <v>0</v>
      </c>
      <c r="L170" s="55" t="s">
        <v>9</v>
      </c>
      <c r="M170" s="57" t="s">
        <v>9</v>
      </c>
      <c r="N170" s="58" t="s">
        <v>8</v>
      </c>
      <c r="O170" s="19" t="s">
        <v>8</v>
      </c>
    </row>
    <row r="171" spans="1:15" ht="29" x14ac:dyDescent="0.35">
      <c r="A171" s="62">
        <f t="shared" si="18"/>
        <v>168</v>
      </c>
      <c r="B171" s="50" t="s">
        <v>444</v>
      </c>
      <c r="C171" s="42" t="s">
        <v>8</v>
      </c>
      <c r="D171" s="43" t="s">
        <v>10</v>
      </c>
      <c r="E171" s="43" t="str">
        <f>E44&amp;"-spare parts"</f>
        <v>HBD-86-spare parts</v>
      </c>
      <c r="F171" s="19" t="s">
        <v>8</v>
      </c>
      <c r="G171" s="19" t="s">
        <v>8</v>
      </c>
      <c r="H171" s="19" t="s">
        <v>8</v>
      </c>
      <c r="I171" s="125">
        <v>180</v>
      </c>
      <c r="J171" s="56">
        <v>0</v>
      </c>
      <c r="K171" s="57">
        <v>0</v>
      </c>
      <c r="L171" s="55" t="s">
        <v>9</v>
      </c>
      <c r="M171" s="57" t="s">
        <v>9</v>
      </c>
      <c r="N171" s="58" t="s">
        <v>8</v>
      </c>
      <c r="O171" s="19" t="s">
        <v>8</v>
      </c>
    </row>
    <row r="172" spans="1:15" ht="29" x14ac:dyDescent="0.35">
      <c r="A172" s="62">
        <f t="shared" si="18"/>
        <v>169</v>
      </c>
      <c r="B172" s="50" t="s">
        <v>444</v>
      </c>
      <c r="C172" s="42" t="s">
        <v>8</v>
      </c>
      <c r="D172" s="43" t="s">
        <v>16</v>
      </c>
      <c r="E172" s="43" t="str">
        <f>E46&amp;"-spare parts"</f>
        <v>DW-25W300-spare parts</v>
      </c>
      <c r="F172" s="19" t="s">
        <v>8</v>
      </c>
      <c r="G172" s="19" t="s">
        <v>8</v>
      </c>
      <c r="H172" s="19" t="s">
        <v>8</v>
      </c>
      <c r="I172" s="125">
        <v>215</v>
      </c>
      <c r="J172" s="56">
        <v>0</v>
      </c>
      <c r="K172" s="57">
        <v>0</v>
      </c>
      <c r="L172" s="55" t="s">
        <v>9</v>
      </c>
      <c r="M172" s="57" t="s">
        <v>9</v>
      </c>
      <c r="N172" s="58" t="s">
        <v>8</v>
      </c>
      <c r="O172" s="19" t="s">
        <v>8</v>
      </c>
    </row>
    <row r="173" spans="1:15" ht="29" x14ac:dyDescent="0.35">
      <c r="A173" s="62">
        <f t="shared" si="18"/>
        <v>170</v>
      </c>
      <c r="B173" s="50" t="s">
        <v>444</v>
      </c>
      <c r="C173" s="42" t="s">
        <v>8</v>
      </c>
      <c r="D173" s="43" t="s">
        <v>19</v>
      </c>
      <c r="E173" s="43" t="str">
        <f>E48&amp;"-spare parts"</f>
        <v>MF 314-spare parts</v>
      </c>
      <c r="F173" s="19" t="s">
        <v>8</v>
      </c>
      <c r="G173" s="19" t="s">
        <v>8</v>
      </c>
      <c r="H173" s="19" t="s">
        <v>8</v>
      </c>
      <c r="I173" s="125">
        <f>163*1.135</f>
        <v>185.005</v>
      </c>
      <c r="J173" s="56">
        <v>0</v>
      </c>
      <c r="K173" s="57">
        <v>0</v>
      </c>
      <c r="L173" s="55" t="s">
        <v>9</v>
      </c>
      <c r="M173" s="57" t="s">
        <v>9</v>
      </c>
      <c r="N173" s="58" t="s">
        <v>8</v>
      </c>
      <c r="O173" s="19" t="s">
        <v>8</v>
      </c>
    </row>
    <row r="174" spans="1:15" ht="29" x14ac:dyDescent="0.35">
      <c r="A174" s="62">
        <f t="shared" si="18"/>
        <v>171</v>
      </c>
      <c r="B174" s="50" t="s">
        <v>444</v>
      </c>
      <c r="C174" s="42" t="s">
        <v>8</v>
      </c>
      <c r="D174" s="43" t="s">
        <v>10</v>
      </c>
      <c r="E174" s="43" t="str">
        <f>E50&amp;"-spare parts"</f>
        <v>HBD-265-spare parts</v>
      </c>
      <c r="F174" s="19" t="s">
        <v>8</v>
      </c>
      <c r="G174" s="19" t="s">
        <v>8</v>
      </c>
      <c r="H174" s="19" t="s">
        <v>8</v>
      </c>
      <c r="I174" s="125">
        <v>180</v>
      </c>
      <c r="J174" s="56">
        <v>0</v>
      </c>
      <c r="K174" s="57">
        <v>0</v>
      </c>
      <c r="L174" s="55" t="s">
        <v>9</v>
      </c>
      <c r="M174" s="57" t="s">
        <v>9</v>
      </c>
      <c r="N174" s="58" t="s">
        <v>8</v>
      </c>
      <c r="O174" s="19" t="s">
        <v>8</v>
      </c>
    </row>
    <row r="175" spans="1:15" ht="29" x14ac:dyDescent="0.35">
      <c r="A175" s="62">
        <f t="shared" si="18"/>
        <v>172</v>
      </c>
      <c r="B175" s="50" t="s">
        <v>444</v>
      </c>
      <c r="C175" s="42" t="s">
        <v>8</v>
      </c>
      <c r="D175" s="43" t="s">
        <v>13</v>
      </c>
      <c r="E175" s="43" t="str">
        <f>E101&amp;"-spare parts"</f>
        <v>TCW120SDD-spare parts</v>
      </c>
      <c r="F175" s="19" t="s">
        <v>8</v>
      </c>
      <c r="G175" s="19" t="s">
        <v>8</v>
      </c>
      <c r="H175" s="19" t="s">
        <v>8</v>
      </c>
      <c r="I175" s="125">
        <f>486.63*1.135</f>
        <v>552.32505000000003</v>
      </c>
      <c r="J175" s="56">
        <v>0</v>
      </c>
      <c r="K175" s="57">
        <v>0</v>
      </c>
      <c r="L175" s="55" t="s">
        <v>9</v>
      </c>
      <c r="M175" s="57" t="s">
        <v>9</v>
      </c>
      <c r="N175" s="58" t="s">
        <v>8</v>
      </c>
      <c r="O175" s="19" t="s">
        <v>8</v>
      </c>
    </row>
    <row r="176" spans="1:15" ht="29" x14ac:dyDescent="0.35">
      <c r="A176" s="62">
        <f t="shared" si="18"/>
        <v>173</v>
      </c>
      <c r="B176" s="50" t="s">
        <v>444</v>
      </c>
      <c r="C176" s="42" t="s">
        <v>8</v>
      </c>
      <c r="D176" s="43" t="s">
        <v>11</v>
      </c>
      <c r="E176" s="43" t="str">
        <f>E52&amp;"-spare parts"</f>
        <v>GMF 200 ECO-spare parts</v>
      </c>
      <c r="F176" s="19" t="s">
        <v>8</v>
      </c>
      <c r="G176" s="19" t="s">
        <v>8</v>
      </c>
      <c r="H176" s="19" t="s">
        <v>8</v>
      </c>
      <c r="I176" s="125">
        <v>189</v>
      </c>
      <c r="J176" s="56">
        <v>0</v>
      </c>
      <c r="K176" s="57">
        <v>0</v>
      </c>
      <c r="L176" s="55" t="s">
        <v>9</v>
      </c>
      <c r="M176" s="57" t="s">
        <v>9</v>
      </c>
      <c r="N176" s="58"/>
      <c r="O176" s="19"/>
    </row>
    <row r="177" spans="1:15" ht="43.5" x14ac:dyDescent="0.35">
      <c r="A177" s="62">
        <f t="shared" si="18"/>
        <v>174</v>
      </c>
      <c r="B177" s="51" t="s">
        <v>445</v>
      </c>
      <c r="C177" s="42" t="s">
        <v>8</v>
      </c>
      <c r="D177" s="43" t="s">
        <v>13</v>
      </c>
      <c r="E177" s="43" t="str">
        <f>E56&amp;" -spare parts"</f>
        <v>TCW 40R SDD -spare parts</v>
      </c>
      <c r="F177" s="19" t="s">
        <v>8</v>
      </c>
      <c r="G177" s="19" t="s">
        <v>8</v>
      </c>
      <c r="H177" s="19" t="s">
        <v>8</v>
      </c>
      <c r="I177" s="125">
        <f>365*1.135</f>
        <v>414.27499999999998</v>
      </c>
      <c r="J177" s="56">
        <v>0</v>
      </c>
      <c r="K177" s="57">
        <v>0</v>
      </c>
      <c r="L177" s="55" t="s">
        <v>9</v>
      </c>
      <c r="M177" s="57" t="s">
        <v>9</v>
      </c>
      <c r="N177" s="58" t="s">
        <v>8</v>
      </c>
      <c r="O177" s="19" t="s">
        <v>8</v>
      </c>
    </row>
    <row r="178" spans="1:15" ht="43.5" x14ac:dyDescent="0.35">
      <c r="A178" s="62">
        <f t="shared" si="18"/>
        <v>175</v>
      </c>
      <c r="B178" s="51" t="s">
        <v>445</v>
      </c>
      <c r="C178" s="42" t="s">
        <v>8</v>
      </c>
      <c r="D178" s="43" t="str">
        <f>D37</f>
        <v xml:space="preserve">Godrej &amp; Boyce </v>
      </c>
      <c r="E178" s="43" t="str">
        <f>E57&amp;" -spare parts"</f>
        <v>GVR 50 DC -spare parts</v>
      </c>
      <c r="F178" s="19" t="s">
        <v>8</v>
      </c>
      <c r="G178" s="19" t="s">
        <v>8</v>
      </c>
      <c r="H178" s="19" t="s">
        <v>8</v>
      </c>
      <c r="I178" s="125">
        <v>550</v>
      </c>
      <c r="J178" s="56">
        <v>0</v>
      </c>
      <c r="K178" s="57">
        <v>0</v>
      </c>
      <c r="L178" s="55" t="s">
        <v>9</v>
      </c>
      <c r="M178" s="57" t="s">
        <v>9</v>
      </c>
      <c r="N178" s="58" t="s">
        <v>8</v>
      </c>
      <c r="O178" s="19" t="s">
        <v>8</v>
      </c>
    </row>
    <row r="179" spans="1:15" ht="43.5" x14ac:dyDescent="0.35">
      <c r="A179" s="62">
        <f t="shared" si="18"/>
        <v>176</v>
      </c>
      <c r="B179" s="51" t="s">
        <v>445</v>
      </c>
      <c r="C179" s="42" t="s">
        <v>8</v>
      </c>
      <c r="D179" s="43" t="s">
        <v>16</v>
      </c>
      <c r="E179" s="43" t="str">
        <f>E59&amp;" -spare parts"</f>
        <v>CFD-50 SDD -spare parts</v>
      </c>
      <c r="F179" s="19" t="s">
        <v>8</v>
      </c>
      <c r="G179" s="19" t="s">
        <v>8</v>
      </c>
      <c r="H179" s="19" t="s">
        <v>8</v>
      </c>
      <c r="I179" s="125">
        <v>538.5</v>
      </c>
      <c r="J179" s="56">
        <v>0</v>
      </c>
      <c r="K179" s="57">
        <v>0</v>
      </c>
      <c r="L179" s="55" t="s">
        <v>9</v>
      </c>
      <c r="M179" s="57" t="s">
        <v>9</v>
      </c>
      <c r="N179" s="58" t="s">
        <v>8</v>
      </c>
      <c r="O179" s="19" t="s">
        <v>8</v>
      </c>
    </row>
    <row r="180" spans="1:15" ht="43.5" x14ac:dyDescent="0.35">
      <c r="A180" s="62">
        <f t="shared" si="18"/>
        <v>177</v>
      </c>
      <c r="B180" s="51" t="s">
        <v>445</v>
      </c>
      <c r="C180" s="42" t="s">
        <v>8</v>
      </c>
      <c r="D180" s="43"/>
      <c r="E180" s="43" t="str">
        <f>E61&amp;" -spare parts"</f>
        <v xml:space="preserve"> -spare parts</v>
      </c>
      <c r="F180" s="19" t="s">
        <v>8</v>
      </c>
      <c r="G180" s="19" t="s">
        <v>8</v>
      </c>
      <c r="H180" s="19" t="s">
        <v>8</v>
      </c>
      <c r="I180" s="125"/>
      <c r="J180" s="56">
        <v>0</v>
      </c>
      <c r="K180" s="57">
        <v>0</v>
      </c>
      <c r="L180" s="55" t="s">
        <v>9</v>
      </c>
      <c r="M180" s="57" t="s">
        <v>9</v>
      </c>
      <c r="N180" s="58" t="s">
        <v>8</v>
      </c>
      <c r="O180" s="19" t="s">
        <v>8</v>
      </c>
    </row>
    <row r="181" spans="1:15" ht="43.5" x14ac:dyDescent="0.35">
      <c r="A181" s="62">
        <f t="shared" si="18"/>
        <v>178</v>
      </c>
      <c r="B181" s="51" t="s">
        <v>445</v>
      </c>
      <c r="C181" s="42" t="s">
        <v>8</v>
      </c>
      <c r="D181" s="43" t="s">
        <v>19</v>
      </c>
      <c r="E181" s="43" t="str">
        <f>E63&amp;" -spare parts"</f>
        <v>VLS 054A SDD -spare parts</v>
      </c>
      <c r="F181" s="19" t="s">
        <v>8</v>
      </c>
      <c r="G181" s="19" t="s">
        <v>8</v>
      </c>
      <c r="H181" s="19" t="s">
        <v>8</v>
      </c>
      <c r="I181" s="125">
        <f>398*1.135</f>
        <v>451.73</v>
      </c>
      <c r="J181" s="56">
        <v>0</v>
      </c>
      <c r="K181" s="57">
        <v>0</v>
      </c>
      <c r="L181" s="55" t="s">
        <v>9</v>
      </c>
      <c r="M181" s="57" t="s">
        <v>9</v>
      </c>
      <c r="N181" s="58" t="s">
        <v>8</v>
      </c>
      <c r="O181" s="19" t="s">
        <v>8</v>
      </c>
    </row>
    <row r="182" spans="1:15" ht="43.5" x14ac:dyDescent="0.35">
      <c r="A182" s="62">
        <f t="shared" si="18"/>
        <v>179</v>
      </c>
      <c r="B182" s="51" t="s">
        <v>445</v>
      </c>
      <c r="C182" s="42" t="s">
        <v>8</v>
      </c>
      <c r="D182" s="43" t="s">
        <v>10</v>
      </c>
      <c r="E182" s="43" t="str">
        <f>E65&amp;" -spare parts"</f>
        <v>HTC 110 SDD -spare parts</v>
      </c>
      <c r="F182" s="19" t="s">
        <v>8</v>
      </c>
      <c r="G182" s="19" t="s">
        <v>8</v>
      </c>
      <c r="H182" s="19" t="s">
        <v>8</v>
      </c>
      <c r="I182" s="125">
        <v>395</v>
      </c>
      <c r="J182" s="56">
        <v>0</v>
      </c>
      <c r="K182" s="57">
        <v>0</v>
      </c>
      <c r="L182" s="55" t="s">
        <v>9</v>
      </c>
      <c r="M182" s="57" t="s">
        <v>9</v>
      </c>
      <c r="N182" s="58" t="s">
        <v>8</v>
      </c>
      <c r="O182" s="19" t="s">
        <v>8</v>
      </c>
    </row>
    <row r="183" spans="1:15" ht="43.5" x14ac:dyDescent="0.35">
      <c r="A183" s="62">
        <f t="shared" si="18"/>
        <v>180</v>
      </c>
      <c r="B183" s="51" t="s">
        <v>445</v>
      </c>
      <c r="C183" s="42" t="s">
        <v>8</v>
      </c>
      <c r="D183" s="43" t="s">
        <v>29</v>
      </c>
      <c r="E183" s="43" t="str">
        <f>E67&amp;" -spare parts"</f>
        <v>VC 88 SDD -spare parts</v>
      </c>
      <c r="F183" s="19" t="s">
        <v>8</v>
      </c>
      <c r="G183" s="19" t="s">
        <v>8</v>
      </c>
      <c r="H183" s="19" t="s">
        <v>8</v>
      </c>
      <c r="I183" s="125">
        <f>485*1.135</f>
        <v>550.47500000000002</v>
      </c>
      <c r="J183" s="56">
        <v>0</v>
      </c>
      <c r="K183" s="57">
        <v>0</v>
      </c>
      <c r="L183" s="55" t="s">
        <v>9</v>
      </c>
      <c r="M183" s="57" t="s">
        <v>9</v>
      </c>
      <c r="N183" s="58" t="s">
        <v>8</v>
      </c>
      <c r="O183" s="19" t="s">
        <v>8</v>
      </c>
    </row>
    <row r="184" spans="1:15" ht="43.5" x14ac:dyDescent="0.35">
      <c r="A184" s="62">
        <f t="shared" si="18"/>
        <v>181</v>
      </c>
      <c r="B184" s="51" t="s">
        <v>445</v>
      </c>
      <c r="C184" s="42" t="s">
        <v>8</v>
      </c>
      <c r="D184" s="43" t="s">
        <v>19</v>
      </c>
      <c r="E184" s="43" t="str">
        <f>E69&amp;" -spare parts"</f>
        <v>VLS 094A SDD -spare parts</v>
      </c>
      <c r="F184" s="19" t="s">
        <v>8</v>
      </c>
      <c r="G184" s="19" t="s">
        <v>8</v>
      </c>
      <c r="H184" s="19" t="s">
        <v>8</v>
      </c>
      <c r="I184" s="125">
        <f>398*1.135</f>
        <v>451.73</v>
      </c>
      <c r="J184" s="56">
        <v>0</v>
      </c>
      <c r="K184" s="57">
        <v>0</v>
      </c>
      <c r="L184" s="55" t="s">
        <v>9</v>
      </c>
      <c r="M184" s="57" t="s">
        <v>9</v>
      </c>
      <c r="N184" s="58" t="s">
        <v>8</v>
      </c>
      <c r="O184" s="19" t="s">
        <v>8</v>
      </c>
    </row>
    <row r="185" spans="1:15" ht="43.5" x14ac:dyDescent="0.35">
      <c r="A185" s="62">
        <f t="shared" si="18"/>
        <v>182</v>
      </c>
      <c r="B185" s="51" t="s">
        <v>445</v>
      </c>
      <c r="C185" s="42" t="s">
        <v>8</v>
      </c>
      <c r="D185" s="43" t="s">
        <v>11</v>
      </c>
      <c r="E185" s="43" t="str">
        <f>E71&amp;" -spare parts"</f>
        <v>GVR 100 DC -spare parts</v>
      </c>
      <c r="F185" s="19" t="s">
        <v>8</v>
      </c>
      <c r="G185" s="19" t="s">
        <v>8</v>
      </c>
      <c r="H185" s="19" t="s">
        <v>8</v>
      </c>
      <c r="I185" s="125">
        <v>550</v>
      </c>
      <c r="J185" s="56">
        <v>0</v>
      </c>
      <c r="K185" s="57">
        <v>0</v>
      </c>
      <c r="L185" s="55" t="s">
        <v>9</v>
      </c>
      <c r="M185" s="57" t="s">
        <v>9</v>
      </c>
      <c r="N185" s="58" t="s">
        <v>8</v>
      </c>
      <c r="O185" s="19" t="s">
        <v>8</v>
      </c>
    </row>
    <row r="186" spans="1:15" ht="43.5" x14ac:dyDescent="0.35">
      <c r="A186" s="62">
        <f t="shared" si="18"/>
        <v>183</v>
      </c>
      <c r="B186" s="51" t="s">
        <v>445</v>
      </c>
      <c r="C186" s="42" t="s">
        <v>8</v>
      </c>
      <c r="D186" s="43" t="s">
        <v>10</v>
      </c>
      <c r="E186" s="43" t="str">
        <f>E73&amp;" -spare parts"</f>
        <v>HTC-120 -spare parts</v>
      </c>
      <c r="F186" s="19" t="s">
        <v>8</v>
      </c>
      <c r="G186" s="19" t="s">
        <v>8</v>
      </c>
      <c r="H186" s="19" t="s">
        <v>8</v>
      </c>
      <c r="I186" s="125">
        <v>410</v>
      </c>
      <c r="J186" s="56">
        <v>0</v>
      </c>
      <c r="K186" s="57">
        <v>0</v>
      </c>
      <c r="L186" s="55" t="s">
        <v>9</v>
      </c>
      <c r="M186" s="57" t="s">
        <v>9</v>
      </c>
      <c r="N186" s="58" t="s">
        <v>8</v>
      </c>
      <c r="O186" s="19" t="s">
        <v>8</v>
      </c>
    </row>
    <row r="187" spans="1:15" ht="43.5" x14ac:dyDescent="0.35">
      <c r="A187" s="62">
        <f t="shared" si="18"/>
        <v>184</v>
      </c>
      <c r="B187" s="51" t="s">
        <v>445</v>
      </c>
      <c r="C187" s="42" t="s">
        <v>8</v>
      </c>
      <c r="D187" s="43" t="s">
        <v>13</v>
      </c>
      <c r="E187" s="43" t="str">
        <f>E75&amp;" -spare parts"</f>
        <v>TCW 80 SDD -spare parts</v>
      </c>
      <c r="F187" s="19" t="s">
        <v>8</v>
      </c>
      <c r="G187" s="19" t="s">
        <v>8</v>
      </c>
      <c r="H187" s="19" t="s">
        <v>8</v>
      </c>
      <c r="I187" s="125">
        <f>358*1.135</f>
        <v>406.33</v>
      </c>
      <c r="J187" s="56">
        <v>0</v>
      </c>
      <c r="K187" s="57">
        <v>0</v>
      </c>
      <c r="L187" s="55" t="s">
        <v>9</v>
      </c>
      <c r="M187" s="57" t="s">
        <v>9</v>
      </c>
      <c r="N187" s="58" t="s">
        <v>8</v>
      </c>
      <c r="O187" s="19" t="s">
        <v>8</v>
      </c>
    </row>
    <row r="188" spans="1:15" ht="43.5" x14ac:dyDescent="0.35">
      <c r="A188" s="62">
        <f t="shared" si="18"/>
        <v>185</v>
      </c>
      <c r="B188" s="51" t="s">
        <v>445</v>
      </c>
      <c r="C188" s="42" t="s">
        <v>8</v>
      </c>
      <c r="D188" s="43" t="s">
        <v>29</v>
      </c>
      <c r="E188" s="43" t="str">
        <f>E76&amp;" -spare parts"</f>
        <v>VC 200 SDD -spare parts</v>
      </c>
      <c r="F188" s="19" t="s">
        <v>8</v>
      </c>
      <c r="G188" s="19" t="s">
        <v>8</v>
      </c>
      <c r="H188" s="19" t="s">
        <v>8</v>
      </c>
      <c r="I188" s="125">
        <f>485*1.135</f>
        <v>550.47500000000002</v>
      </c>
      <c r="J188" s="56">
        <v>0</v>
      </c>
      <c r="K188" s="57">
        <v>0</v>
      </c>
      <c r="L188" s="55" t="s">
        <v>9</v>
      </c>
      <c r="M188" s="57" t="s">
        <v>9</v>
      </c>
      <c r="N188" s="58" t="s">
        <v>8</v>
      </c>
      <c r="O188" s="19" t="s">
        <v>8</v>
      </c>
    </row>
    <row r="189" spans="1:15" ht="43.5" x14ac:dyDescent="0.35">
      <c r="A189" s="62">
        <f t="shared" si="18"/>
        <v>186</v>
      </c>
      <c r="B189" s="51" t="s">
        <v>445</v>
      </c>
      <c r="C189" s="42" t="s">
        <v>8</v>
      </c>
      <c r="D189" s="43" t="s">
        <v>19</v>
      </c>
      <c r="E189" s="43" t="str">
        <f>E78&amp;" -spare parts"</f>
        <v>VLS 154A SDD -spare parts</v>
      </c>
      <c r="F189" s="19" t="s">
        <v>8</v>
      </c>
      <c r="G189" s="19" t="s">
        <v>8</v>
      </c>
      <c r="H189" s="19" t="s">
        <v>8</v>
      </c>
      <c r="I189" s="125">
        <f>398*1.135</f>
        <v>451.73</v>
      </c>
      <c r="J189" s="56">
        <v>0</v>
      </c>
      <c r="K189" s="57">
        <v>0</v>
      </c>
      <c r="L189" s="55" t="s">
        <v>9</v>
      </c>
      <c r="M189" s="57" t="s">
        <v>9</v>
      </c>
      <c r="N189" s="58" t="s">
        <v>8</v>
      </c>
      <c r="O189" s="19" t="s">
        <v>8</v>
      </c>
    </row>
    <row r="190" spans="1:15" ht="43.5" x14ac:dyDescent="0.35">
      <c r="A190" s="62">
        <f t="shared" si="18"/>
        <v>187</v>
      </c>
      <c r="B190" s="51" t="s">
        <v>445</v>
      </c>
      <c r="C190" s="42" t="s">
        <v>8</v>
      </c>
      <c r="D190" s="43" t="s">
        <v>10</v>
      </c>
      <c r="E190" s="43" t="str">
        <f>E80&amp;" -spare parts"</f>
        <v>HTC-240 -spare parts</v>
      </c>
      <c r="F190" s="19" t="s">
        <v>8</v>
      </c>
      <c r="G190" s="19" t="s">
        <v>8</v>
      </c>
      <c r="H190" s="19" t="s">
        <v>8</v>
      </c>
      <c r="I190" s="125">
        <v>410</v>
      </c>
      <c r="J190" s="56">
        <v>0</v>
      </c>
      <c r="K190" s="57">
        <v>0</v>
      </c>
      <c r="L190" s="55" t="s">
        <v>9</v>
      </c>
      <c r="M190" s="57" t="s">
        <v>9</v>
      </c>
      <c r="N190" s="58" t="s">
        <v>8</v>
      </c>
      <c r="O190" s="19" t="s">
        <v>8</v>
      </c>
    </row>
    <row r="191" spans="1:15" ht="43.5" x14ac:dyDescent="0.35">
      <c r="A191" s="62">
        <f t="shared" si="18"/>
        <v>188</v>
      </c>
      <c r="B191" s="51" t="s">
        <v>445</v>
      </c>
      <c r="C191" s="42" t="s">
        <v>8</v>
      </c>
      <c r="D191" s="43" t="s">
        <v>13</v>
      </c>
      <c r="E191" s="43" t="str">
        <f>E82&amp;" -spare parts"</f>
        <v>TCW 4000 SDD -spare parts</v>
      </c>
      <c r="F191" s="19" t="s">
        <v>8</v>
      </c>
      <c r="G191" s="19" t="s">
        <v>8</v>
      </c>
      <c r="H191" s="19" t="s">
        <v>8</v>
      </c>
      <c r="I191" s="125">
        <f>402*1.135</f>
        <v>456.27</v>
      </c>
      <c r="J191" s="56">
        <v>0</v>
      </c>
      <c r="K191" s="57">
        <v>0</v>
      </c>
      <c r="L191" s="55" t="s">
        <v>9</v>
      </c>
      <c r="M191" s="57" t="s">
        <v>9</v>
      </c>
      <c r="N191" s="58" t="s">
        <v>8</v>
      </c>
      <c r="O191" s="19" t="s">
        <v>8</v>
      </c>
    </row>
    <row r="192" spans="1:15" ht="29" x14ac:dyDescent="0.35">
      <c r="A192" s="62">
        <f t="shared" si="18"/>
        <v>189</v>
      </c>
      <c r="B192" s="52" t="s">
        <v>446</v>
      </c>
      <c r="C192" s="42" t="s">
        <v>8</v>
      </c>
      <c r="D192" s="43" t="s">
        <v>13</v>
      </c>
      <c r="E192" s="43" t="str">
        <f>E83&amp;" -spare parts"</f>
        <v>TCW 40 SDD -spare parts</v>
      </c>
      <c r="F192" s="19" t="s">
        <v>8</v>
      </c>
      <c r="G192" s="19" t="s">
        <v>8</v>
      </c>
      <c r="H192" s="19" t="s">
        <v>8</v>
      </c>
      <c r="I192" s="125">
        <f>365*1.135</f>
        <v>414.27499999999998</v>
      </c>
      <c r="J192" s="56">
        <v>0</v>
      </c>
      <c r="K192" s="57">
        <v>0</v>
      </c>
      <c r="L192" s="55" t="s">
        <v>9</v>
      </c>
      <c r="M192" s="57" t="s">
        <v>9</v>
      </c>
      <c r="N192" s="58" t="s">
        <v>8</v>
      </c>
      <c r="O192" s="19" t="s">
        <v>8</v>
      </c>
    </row>
    <row r="193" spans="1:15" ht="29" x14ac:dyDescent="0.35">
      <c r="A193" s="62">
        <f t="shared" si="18"/>
        <v>190</v>
      </c>
      <c r="B193" s="52" t="s">
        <v>446</v>
      </c>
      <c r="C193" s="42" t="s">
        <v>8</v>
      </c>
      <c r="D193" s="43" t="s">
        <v>10</v>
      </c>
      <c r="E193" s="43" t="str">
        <f>E84&amp;" -spare parts"</f>
        <v>HTCD 90 SDD -spare parts</v>
      </c>
      <c r="F193" s="19" t="s">
        <v>8</v>
      </c>
      <c r="G193" s="19" t="s">
        <v>8</v>
      </c>
      <c r="H193" s="19" t="s">
        <v>8</v>
      </c>
      <c r="I193" s="125">
        <v>395</v>
      </c>
      <c r="J193" s="56">
        <v>0</v>
      </c>
      <c r="K193" s="57">
        <v>0</v>
      </c>
      <c r="L193" s="55" t="s">
        <v>9</v>
      </c>
      <c r="M193" s="57" t="s">
        <v>9</v>
      </c>
      <c r="N193" s="58" t="s">
        <v>8</v>
      </c>
      <c r="O193" s="19" t="s">
        <v>8</v>
      </c>
    </row>
    <row r="194" spans="1:15" ht="29" x14ac:dyDescent="0.35">
      <c r="A194" s="62">
        <f t="shared" si="18"/>
        <v>191</v>
      </c>
      <c r="B194" s="52" t="s">
        <v>446</v>
      </c>
      <c r="C194" s="42" t="s">
        <v>8</v>
      </c>
      <c r="D194" s="43" t="str">
        <f>D86</f>
        <v>Vestfrost</v>
      </c>
      <c r="E194" s="43" t="str">
        <f>E86&amp;" -spare parts"</f>
        <v>VLS 056 RF SDD -spare parts</v>
      </c>
      <c r="F194" s="19" t="s">
        <v>8</v>
      </c>
      <c r="G194" s="19" t="s">
        <v>8</v>
      </c>
      <c r="H194" s="19" t="s">
        <v>8</v>
      </c>
      <c r="I194" s="125">
        <f>451*1.135</f>
        <v>511.88499999999999</v>
      </c>
      <c r="J194" s="56">
        <v>0</v>
      </c>
      <c r="K194" s="57">
        <v>0</v>
      </c>
      <c r="L194" s="55" t="s">
        <v>9</v>
      </c>
      <c r="M194" s="57" t="s">
        <v>9</v>
      </c>
      <c r="N194" s="58" t="s">
        <v>8</v>
      </c>
      <c r="O194" s="19" t="s">
        <v>8</v>
      </c>
    </row>
    <row r="195" spans="1:15" ht="29" x14ac:dyDescent="0.35">
      <c r="A195" s="62">
        <f t="shared" si="18"/>
        <v>192</v>
      </c>
      <c r="B195" s="52" t="s">
        <v>446</v>
      </c>
      <c r="C195" s="42" t="s">
        <v>8</v>
      </c>
      <c r="D195" s="43" t="str">
        <f>D88</f>
        <v>Dulas Solar</v>
      </c>
      <c r="E195" s="43" t="str">
        <f>E88&amp;" -spare parts"</f>
        <v>VC 60 SDD -spare parts</v>
      </c>
      <c r="F195" s="19" t="s">
        <v>8</v>
      </c>
      <c r="G195" s="19" t="s">
        <v>8</v>
      </c>
      <c r="H195" s="19" t="s">
        <v>8</v>
      </c>
      <c r="I195" s="125">
        <f>625*1.135</f>
        <v>709.375</v>
      </c>
      <c r="J195" s="56">
        <v>0</v>
      </c>
      <c r="K195" s="57">
        <v>0</v>
      </c>
      <c r="L195" s="55" t="s">
        <v>9</v>
      </c>
      <c r="M195" s="57" t="s">
        <v>9</v>
      </c>
      <c r="N195" s="58" t="s">
        <v>8</v>
      </c>
      <c r="O195" s="19" t="s">
        <v>8</v>
      </c>
    </row>
    <row r="196" spans="1:15" ht="29" x14ac:dyDescent="0.35">
      <c r="A196" s="62">
        <f t="shared" si="18"/>
        <v>193</v>
      </c>
      <c r="B196" s="52" t="s">
        <v>446</v>
      </c>
      <c r="C196" s="42" t="s">
        <v>8</v>
      </c>
      <c r="D196" s="43" t="str">
        <f>D90</f>
        <v xml:space="preserve">Godrej &amp; Boyce </v>
      </c>
      <c r="E196" s="43" t="str">
        <f>E90&amp;" -spare parts"</f>
        <v>GVR 55 FF DC -spare parts</v>
      </c>
      <c r="F196" s="19" t="s">
        <v>8</v>
      </c>
      <c r="G196" s="19" t="s">
        <v>8</v>
      </c>
      <c r="H196" s="19" t="s">
        <v>8</v>
      </c>
      <c r="I196" s="125">
        <v>650</v>
      </c>
      <c r="J196" s="56">
        <v>0</v>
      </c>
      <c r="K196" s="57">
        <v>0</v>
      </c>
      <c r="L196" s="55" t="s">
        <v>9</v>
      </c>
      <c r="M196" s="57" t="s">
        <v>9</v>
      </c>
      <c r="N196" s="58" t="s">
        <v>8</v>
      </c>
      <c r="O196" s="19" t="s">
        <v>8</v>
      </c>
    </row>
    <row r="197" spans="1:15" ht="29" x14ac:dyDescent="0.35">
      <c r="A197" s="62">
        <f t="shared" si="18"/>
        <v>194</v>
      </c>
      <c r="B197" s="52" t="s">
        <v>446</v>
      </c>
      <c r="C197" s="42" t="s">
        <v>8</v>
      </c>
      <c r="D197" s="43" t="str">
        <f>D94</f>
        <v>B Medical</v>
      </c>
      <c r="E197" s="43" t="str">
        <f>E94&amp;" -spare parts"</f>
        <v>TCW 2043 SDD -spare parts</v>
      </c>
      <c r="F197" s="19" t="s">
        <v>8</v>
      </c>
      <c r="G197" s="19" t="s">
        <v>8</v>
      </c>
      <c r="H197" s="19" t="s">
        <v>8</v>
      </c>
      <c r="I197" s="125">
        <f>378*1.135</f>
        <v>429.03000000000003</v>
      </c>
      <c r="J197" s="56">
        <v>0</v>
      </c>
      <c r="K197" s="57">
        <v>0</v>
      </c>
      <c r="L197" s="55" t="s">
        <v>9</v>
      </c>
      <c r="M197" s="57" t="s">
        <v>9</v>
      </c>
      <c r="N197" s="58" t="s">
        <v>8</v>
      </c>
      <c r="O197" s="19" t="s">
        <v>8</v>
      </c>
    </row>
    <row r="198" spans="1:15" ht="29" x14ac:dyDescent="0.35">
      <c r="A198" s="62">
        <f t="shared" si="18"/>
        <v>195</v>
      </c>
      <c r="B198" s="52" t="s">
        <v>446</v>
      </c>
      <c r="C198" s="42" t="s">
        <v>8</v>
      </c>
      <c r="D198" s="43" t="str">
        <f>D95</f>
        <v>Haier</v>
      </c>
      <c r="E198" s="43" t="str">
        <f>E95&amp;" -spare parts"</f>
        <v>HTCD 160B SDD -spare parts</v>
      </c>
      <c r="F198" s="19" t="s">
        <v>8</v>
      </c>
      <c r="G198" s="19" t="s">
        <v>8</v>
      </c>
      <c r="H198" s="19" t="s">
        <v>8</v>
      </c>
      <c r="I198" s="125">
        <v>410</v>
      </c>
      <c r="J198" s="56">
        <v>0</v>
      </c>
      <c r="K198" s="57">
        <v>0</v>
      </c>
      <c r="L198" s="55" t="s">
        <v>9</v>
      </c>
      <c r="M198" s="57" t="s">
        <v>9</v>
      </c>
      <c r="N198" s="58" t="s">
        <v>8</v>
      </c>
      <c r="O198" s="19" t="s">
        <v>8</v>
      </c>
    </row>
    <row r="199" spans="1:15" ht="29" x14ac:dyDescent="0.35">
      <c r="A199" s="62">
        <f t="shared" ref="A199:A225" si="19">A198+1</f>
        <v>196</v>
      </c>
      <c r="B199" s="52" t="s">
        <v>446</v>
      </c>
      <c r="C199" s="42" t="s">
        <v>8</v>
      </c>
      <c r="D199" s="43" t="str">
        <f>D97</f>
        <v>Dulas Solar</v>
      </c>
      <c r="E199" s="43" t="str">
        <f>E97&amp;" -spare parts"</f>
        <v>VC 150 SDD -spare parts</v>
      </c>
      <c r="F199" s="19" t="s">
        <v>8</v>
      </c>
      <c r="G199" s="19" t="s">
        <v>8</v>
      </c>
      <c r="H199" s="19" t="s">
        <v>8</v>
      </c>
      <c r="I199" s="125">
        <f>625*1.135</f>
        <v>709.375</v>
      </c>
      <c r="J199" s="56">
        <v>0</v>
      </c>
      <c r="K199" s="57">
        <v>0</v>
      </c>
      <c r="L199" s="55" t="s">
        <v>9</v>
      </c>
      <c r="M199" s="57" t="s">
        <v>9</v>
      </c>
      <c r="N199" s="58" t="s">
        <v>8</v>
      </c>
      <c r="O199" s="19" t="s">
        <v>8</v>
      </c>
    </row>
    <row r="200" spans="1:15" ht="29" x14ac:dyDescent="0.35">
      <c r="A200" s="62">
        <f t="shared" si="19"/>
        <v>197</v>
      </c>
      <c r="B200" s="52" t="s">
        <v>446</v>
      </c>
      <c r="C200" s="42" t="s">
        <v>8</v>
      </c>
      <c r="D200" s="43" t="str">
        <f>D99</f>
        <v>Vestfrost</v>
      </c>
      <c r="E200" s="43" t="str">
        <f>E99&amp;" -spare parts"</f>
        <v>VLS 096A RF SDD -spare parts</v>
      </c>
      <c r="F200" s="19" t="s">
        <v>8</v>
      </c>
      <c r="G200" s="19" t="s">
        <v>8</v>
      </c>
      <c r="H200" s="19" t="s">
        <v>8</v>
      </c>
      <c r="I200" s="125">
        <f>392*1.135</f>
        <v>444.92</v>
      </c>
      <c r="J200" s="56">
        <v>0</v>
      </c>
      <c r="K200" s="57">
        <v>0</v>
      </c>
      <c r="L200" s="55" t="s">
        <v>9</v>
      </c>
      <c r="M200" s="57" t="s">
        <v>9</v>
      </c>
      <c r="N200" s="58" t="s">
        <v>8</v>
      </c>
      <c r="O200" s="19" t="s">
        <v>8</v>
      </c>
    </row>
    <row r="201" spans="1:15" ht="29" x14ac:dyDescent="0.35">
      <c r="A201" s="62">
        <f t="shared" si="19"/>
        <v>198</v>
      </c>
      <c r="B201" s="52" t="s">
        <v>446</v>
      </c>
      <c r="C201" s="42" t="s">
        <v>8</v>
      </c>
      <c r="D201" s="43" t="str">
        <f>D92</f>
        <v>Aucma</v>
      </c>
      <c r="E201" s="43" t="str">
        <f>E92&amp;" -spare parts"</f>
        <v>TCD-100 -spare parts</v>
      </c>
      <c r="F201" s="19" t="s">
        <v>8</v>
      </c>
      <c r="G201" s="19" t="s">
        <v>8</v>
      </c>
      <c r="H201" s="19" t="s">
        <v>8</v>
      </c>
      <c r="I201" s="125">
        <v>422</v>
      </c>
      <c r="J201" s="56">
        <v>0</v>
      </c>
      <c r="K201" s="57">
        <v>0</v>
      </c>
      <c r="L201" s="55" t="s">
        <v>9</v>
      </c>
      <c r="M201" s="57" t="s">
        <v>9</v>
      </c>
      <c r="N201" s="58" t="s">
        <v>8</v>
      </c>
      <c r="O201" s="19" t="s">
        <v>8</v>
      </c>
    </row>
    <row r="202" spans="1:15" ht="29" x14ac:dyDescent="0.35">
      <c r="A202" s="62">
        <f t="shared" si="19"/>
        <v>199</v>
      </c>
      <c r="B202" s="52" t="s">
        <v>446</v>
      </c>
      <c r="C202" s="42" t="s">
        <v>8</v>
      </c>
      <c r="D202" s="43" t="str">
        <f>D101</f>
        <v>B Medical</v>
      </c>
      <c r="E202" s="43" t="str">
        <f>E101&amp;" -spare parts"</f>
        <v>TCW120SDD -spare parts</v>
      </c>
      <c r="F202" s="19" t="s">
        <v>8</v>
      </c>
      <c r="G202" s="19" t="s">
        <v>8</v>
      </c>
      <c r="H202" s="19" t="s">
        <v>8</v>
      </c>
      <c r="I202" s="125">
        <f>486.63*1.135</f>
        <v>552.32505000000003</v>
      </c>
      <c r="J202" s="56">
        <v>0</v>
      </c>
      <c r="K202" s="57">
        <v>0</v>
      </c>
      <c r="L202" s="55" t="s">
        <v>9</v>
      </c>
      <c r="M202" s="57" t="s">
        <v>9</v>
      </c>
      <c r="N202" s="58" t="s">
        <v>8</v>
      </c>
      <c r="O202" s="19" t="s">
        <v>8</v>
      </c>
    </row>
    <row r="203" spans="1:15" ht="29" x14ac:dyDescent="0.35">
      <c r="A203" s="62">
        <f t="shared" si="19"/>
        <v>200</v>
      </c>
      <c r="B203" s="246" t="s">
        <v>447</v>
      </c>
      <c r="C203" s="42" t="s">
        <v>8</v>
      </c>
      <c r="D203" s="43" t="str">
        <f>D102</f>
        <v>Vestfrost</v>
      </c>
      <c r="E203" s="43" t="str">
        <f>E102&amp;" -spare parts"</f>
        <v>VFS 048 SDD -spare parts</v>
      </c>
      <c r="F203" s="19" t="s">
        <v>8</v>
      </c>
      <c r="G203" s="19" t="s">
        <v>8</v>
      </c>
      <c r="H203" s="19" t="s">
        <v>8</v>
      </c>
      <c r="I203" s="125">
        <f>398*1.135</f>
        <v>451.73</v>
      </c>
      <c r="J203" s="56">
        <v>0</v>
      </c>
      <c r="K203" s="57">
        <v>0</v>
      </c>
      <c r="L203" s="55" t="s">
        <v>9</v>
      </c>
      <c r="M203" s="57" t="s">
        <v>9</v>
      </c>
      <c r="N203" s="58" t="s">
        <v>8</v>
      </c>
      <c r="O203" s="19" t="s">
        <v>8</v>
      </c>
    </row>
    <row r="204" spans="1:15" ht="29" x14ac:dyDescent="0.35">
      <c r="A204" s="62">
        <f t="shared" si="19"/>
        <v>201</v>
      </c>
      <c r="B204" s="246" t="s">
        <v>447</v>
      </c>
      <c r="C204" s="42" t="s">
        <v>8</v>
      </c>
      <c r="D204" s="43" t="str">
        <f>D104</f>
        <v>B Medical</v>
      </c>
      <c r="E204" s="43" t="str">
        <f>E104&amp;" -spare parts"</f>
        <v>TFW 40 SDD -spare parts</v>
      </c>
      <c r="F204" s="19" t="s">
        <v>8</v>
      </c>
      <c r="G204" s="19" t="s">
        <v>8</v>
      </c>
      <c r="H204" s="19" t="s">
        <v>8</v>
      </c>
      <c r="I204" s="125">
        <f>367*1.135</f>
        <v>416.54500000000002</v>
      </c>
      <c r="J204" s="56">
        <v>0</v>
      </c>
      <c r="K204" s="57">
        <v>0</v>
      </c>
      <c r="L204" s="55" t="s">
        <v>9</v>
      </c>
      <c r="M204" s="57" t="s">
        <v>9</v>
      </c>
      <c r="N204" s="58" t="s">
        <v>8</v>
      </c>
      <c r="O204" s="19" t="s">
        <v>8</v>
      </c>
    </row>
    <row r="205" spans="1:15" ht="29" x14ac:dyDescent="0.35">
      <c r="A205" s="62">
        <f t="shared" si="19"/>
        <v>202</v>
      </c>
      <c r="B205" s="246" t="s">
        <v>447</v>
      </c>
      <c r="C205" s="42" t="s">
        <v>8</v>
      </c>
      <c r="D205" s="43" t="s">
        <v>10</v>
      </c>
      <c r="E205" s="43" t="str">
        <f>E103&amp;" -spare parts"</f>
        <v>HTD 40 SDD -spare parts</v>
      </c>
      <c r="F205" s="19" t="s">
        <v>8</v>
      </c>
      <c r="G205" s="19" t="s">
        <v>8</v>
      </c>
      <c r="H205" s="19" t="s">
        <v>8</v>
      </c>
      <c r="I205" s="126">
        <v>410</v>
      </c>
      <c r="J205" s="56">
        <v>0</v>
      </c>
      <c r="K205" s="57">
        <v>0</v>
      </c>
      <c r="L205" s="55" t="s">
        <v>9</v>
      </c>
      <c r="M205" s="57" t="s">
        <v>9</v>
      </c>
      <c r="N205" s="58" t="s">
        <v>8</v>
      </c>
      <c r="O205" s="19" t="s">
        <v>8</v>
      </c>
    </row>
    <row r="206" spans="1:15" ht="43.5" x14ac:dyDescent="0.35">
      <c r="A206" s="62">
        <f t="shared" si="19"/>
        <v>203</v>
      </c>
      <c r="B206" s="104" t="s">
        <v>448</v>
      </c>
      <c r="C206" s="42" t="s">
        <v>8</v>
      </c>
      <c r="D206" s="43" t="s">
        <v>65</v>
      </c>
      <c r="E206" s="102" t="s">
        <v>235</v>
      </c>
      <c r="F206" s="19" t="s">
        <v>8</v>
      </c>
      <c r="G206" s="19" t="s">
        <v>8</v>
      </c>
      <c r="H206" s="19" t="s">
        <v>8</v>
      </c>
      <c r="I206" s="126">
        <v>400</v>
      </c>
      <c r="J206" s="56">
        <v>0</v>
      </c>
      <c r="K206" s="57">
        <v>0</v>
      </c>
      <c r="L206" s="55" t="s">
        <v>9</v>
      </c>
      <c r="M206" s="57" t="s">
        <v>9</v>
      </c>
      <c r="N206" s="58" t="s">
        <v>8</v>
      </c>
      <c r="O206" s="19" t="s">
        <v>8</v>
      </c>
    </row>
    <row r="207" spans="1:15" ht="43.5" x14ac:dyDescent="0.35">
      <c r="A207" s="62">
        <f t="shared" si="19"/>
        <v>204</v>
      </c>
      <c r="B207" s="104" t="s">
        <v>448</v>
      </c>
      <c r="C207" s="42" t="s">
        <v>8</v>
      </c>
      <c r="D207" s="43" t="s">
        <v>65</v>
      </c>
      <c r="E207" s="102" t="s">
        <v>525</v>
      </c>
      <c r="F207" s="19" t="s">
        <v>8</v>
      </c>
      <c r="G207" s="19" t="s">
        <v>8</v>
      </c>
      <c r="H207" s="19" t="s">
        <v>8</v>
      </c>
      <c r="I207" s="126">
        <v>69.599999999999994</v>
      </c>
      <c r="J207" s="56">
        <v>0</v>
      </c>
      <c r="K207" s="57">
        <v>0</v>
      </c>
      <c r="L207" s="55" t="s">
        <v>9</v>
      </c>
      <c r="M207" s="57" t="s">
        <v>9</v>
      </c>
      <c r="N207" s="58" t="s">
        <v>8</v>
      </c>
      <c r="O207" s="19" t="s">
        <v>8</v>
      </c>
    </row>
    <row r="208" spans="1:15" ht="43.5" x14ac:dyDescent="0.35">
      <c r="A208" s="62">
        <f t="shared" si="19"/>
        <v>205</v>
      </c>
      <c r="B208" s="104" t="s">
        <v>448</v>
      </c>
      <c r="C208" s="42" t="s">
        <v>8</v>
      </c>
      <c r="D208" s="43" t="s">
        <v>67</v>
      </c>
      <c r="E208" s="102" t="s">
        <v>234</v>
      </c>
      <c r="F208" s="19" t="s">
        <v>8</v>
      </c>
      <c r="G208" s="19" t="s">
        <v>8</v>
      </c>
      <c r="H208" s="19" t="s">
        <v>8</v>
      </c>
      <c r="I208" s="126">
        <v>342.5</v>
      </c>
      <c r="J208" s="56">
        <v>0</v>
      </c>
      <c r="K208" s="57">
        <v>0</v>
      </c>
      <c r="L208" s="55" t="s">
        <v>9</v>
      </c>
      <c r="M208" s="57" t="s">
        <v>9</v>
      </c>
      <c r="N208" s="58" t="s">
        <v>8</v>
      </c>
      <c r="O208" s="19" t="s">
        <v>8</v>
      </c>
    </row>
    <row r="209" spans="1:15" ht="43.5" x14ac:dyDescent="0.35">
      <c r="A209" s="62">
        <f t="shared" si="19"/>
        <v>206</v>
      </c>
      <c r="B209" s="104" t="s">
        <v>448</v>
      </c>
      <c r="C209" s="42" t="s">
        <v>8</v>
      </c>
      <c r="D209" s="43" t="s">
        <v>10</v>
      </c>
      <c r="E209" s="102" t="s">
        <v>237</v>
      </c>
      <c r="F209" s="19" t="s">
        <v>8</v>
      </c>
      <c r="G209" s="19" t="s">
        <v>8</v>
      </c>
      <c r="H209" s="19" t="s">
        <v>8</v>
      </c>
      <c r="I209" s="126">
        <v>240</v>
      </c>
      <c r="J209" s="56">
        <v>0</v>
      </c>
      <c r="K209" s="57">
        <v>0</v>
      </c>
      <c r="L209" s="55" t="s">
        <v>9</v>
      </c>
      <c r="M209" s="57" t="s">
        <v>9</v>
      </c>
      <c r="N209" s="58" t="s">
        <v>8</v>
      </c>
      <c r="O209" s="19" t="s">
        <v>8</v>
      </c>
    </row>
    <row r="210" spans="1:15" ht="43.5" x14ac:dyDescent="0.35">
      <c r="A210" s="62">
        <f t="shared" si="19"/>
        <v>207</v>
      </c>
      <c r="B210" s="104" t="s">
        <v>448</v>
      </c>
      <c r="C210" s="42" t="s">
        <v>8</v>
      </c>
      <c r="D210" s="43" t="s">
        <v>19</v>
      </c>
      <c r="E210" s="102" t="s">
        <v>244</v>
      </c>
      <c r="F210" s="19" t="s">
        <v>8</v>
      </c>
      <c r="G210" s="19" t="s">
        <v>8</v>
      </c>
      <c r="H210" s="19" t="s">
        <v>8</v>
      </c>
      <c r="I210" s="126">
        <v>365</v>
      </c>
      <c r="J210" s="56">
        <v>0</v>
      </c>
      <c r="K210" s="57">
        <v>0</v>
      </c>
      <c r="L210" s="55" t="s">
        <v>9</v>
      </c>
      <c r="M210" s="57" t="s">
        <v>9</v>
      </c>
      <c r="N210" s="58" t="s">
        <v>8</v>
      </c>
      <c r="O210" s="19" t="s">
        <v>8</v>
      </c>
    </row>
    <row r="211" spans="1:15" ht="43.5" x14ac:dyDescent="0.35">
      <c r="A211" s="62">
        <f t="shared" si="19"/>
        <v>208</v>
      </c>
      <c r="B211" s="104" t="s">
        <v>448</v>
      </c>
      <c r="C211" s="42" t="s">
        <v>8</v>
      </c>
      <c r="D211" s="43" t="s">
        <v>97</v>
      </c>
      <c r="E211" s="102" t="s">
        <v>236</v>
      </c>
      <c r="F211" s="19" t="s">
        <v>8</v>
      </c>
      <c r="G211" s="19" t="s">
        <v>8</v>
      </c>
      <c r="H211" s="19" t="s">
        <v>8</v>
      </c>
      <c r="I211" s="126">
        <v>875.66666666666663</v>
      </c>
      <c r="J211" s="56">
        <v>0</v>
      </c>
      <c r="K211" s="57">
        <v>0</v>
      </c>
      <c r="L211" s="55" t="s">
        <v>9</v>
      </c>
      <c r="M211" s="57" t="s">
        <v>9</v>
      </c>
      <c r="N211" s="58" t="s">
        <v>8</v>
      </c>
      <c r="O211" s="19" t="s">
        <v>8</v>
      </c>
    </row>
    <row r="212" spans="1:15" ht="43.5" x14ac:dyDescent="0.35">
      <c r="A212" s="62">
        <f t="shared" si="19"/>
        <v>209</v>
      </c>
      <c r="B212" s="104" t="s">
        <v>448</v>
      </c>
      <c r="C212" s="42" t="s">
        <v>8</v>
      </c>
      <c r="D212" s="43" t="s">
        <v>68</v>
      </c>
      <c r="E212" s="102" t="s">
        <v>523</v>
      </c>
      <c r="F212" s="19" t="s">
        <v>8</v>
      </c>
      <c r="G212" s="19" t="s">
        <v>8</v>
      </c>
      <c r="H212" s="19" t="s">
        <v>8</v>
      </c>
      <c r="I212" s="126">
        <v>80</v>
      </c>
      <c r="J212" s="56">
        <v>0</v>
      </c>
      <c r="K212" s="57">
        <v>0</v>
      </c>
      <c r="L212" s="55" t="s">
        <v>9</v>
      </c>
      <c r="M212" s="57" t="s">
        <v>9</v>
      </c>
      <c r="N212" s="58" t="s">
        <v>8</v>
      </c>
      <c r="O212" s="19" t="s">
        <v>8</v>
      </c>
    </row>
    <row r="213" spans="1:15" ht="43.5" x14ac:dyDescent="0.35">
      <c r="A213" s="62">
        <f t="shared" si="19"/>
        <v>210</v>
      </c>
      <c r="B213" s="104" t="s">
        <v>448</v>
      </c>
      <c r="C213" s="42" t="s">
        <v>8</v>
      </c>
      <c r="D213" s="43" t="s">
        <v>68</v>
      </c>
      <c r="E213" s="102" t="s">
        <v>238</v>
      </c>
      <c r="F213" s="19" t="s">
        <v>8</v>
      </c>
      <c r="G213" s="19" t="s">
        <v>8</v>
      </c>
      <c r="H213" s="19" t="s">
        <v>8</v>
      </c>
      <c r="I213" s="126">
        <v>60</v>
      </c>
      <c r="J213" s="56">
        <v>0</v>
      </c>
      <c r="K213" s="57">
        <v>0</v>
      </c>
      <c r="L213" s="55" t="s">
        <v>9</v>
      </c>
      <c r="M213" s="57" t="s">
        <v>9</v>
      </c>
      <c r="N213" s="58" t="s">
        <v>8</v>
      </c>
      <c r="O213" s="19" t="s">
        <v>8</v>
      </c>
    </row>
    <row r="214" spans="1:15" ht="43.5" x14ac:dyDescent="0.35">
      <c r="A214" s="62">
        <f t="shared" si="19"/>
        <v>211</v>
      </c>
      <c r="B214" s="104" t="s">
        <v>448</v>
      </c>
      <c r="C214" s="42" t="s">
        <v>8</v>
      </c>
      <c r="D214" s="43" t="s">
        <v>10</v>
      </c>
      <c r="E214" s="102" t="s">
        <v>239</v>
      </c>
      <c r="F214" s="19" t="s">
        <v>8</v>
      </c>
      <c r="G214" s="19" t="s">
        <v>8</v>
      </c>
      <c r="H214" s="19" t="s">
        <v>8</v>
      </c>
      <c r="I214" s="126">
        <v>200</v>
      </c>
      <c r="J214" s="56">
        <v>0</v>
      </c>
      <c r="K214" s="57">
        <v>0</v>
      </c>
      <c r="L214" s="55" t="s">
        <v>9</v>
      </c>
      <c r="M214" s="57" t="s">
        <v>9</v>
      </c>
      <c r="N214" s="58" t="s">
        <v>8</v>
      </c>
      <c r="O214" s="19" t="s">
        <v>8</v>
      </c>
    </row>
    <row r="215" spans="1:15" ht="43.5" x14ac:dyDescent="0.35">
      <c r="A215" s="62">
        <f t="shared" si="19"/>
        <v>212</v>
      </c>
      <c r="B215" s="104" t="s">
        <v>448</v>
      </c>
      <c r="C215" s="42" t="s">
        <v>8</v>
      </c>
      <c r="D215" s="43" t="s">
        <v>67</v>
      </c>
      <c r="E215" s="102" t="s">
        <v>240</v>
      </c>
      <c r="F215" s="19" t="s">
        <v>8</v>
      </c>
      <c r="G215" s="19" t="s">
        <v>8</v>
      </c>
      <c r="H215" s="19" t="s">
        <v>8</v>
      </c>
      <c r="I215" s="126">
        <v>383.33333333333331</v>
      </c>
      <c r="J215" s="56">
        <v>0</v>
      </c>
      <c r="K215" s="57">
        <v>0</v>
      </c>
      <c r="L215" s="55" t="s">
        <v>9</v>
      </c>
      <c r="M215" s="57" t="s">
        <v>9</v>
      </c>
      <c r="N215" s="58" t="s">
        <v>8</v>
      </c>
      <c r="O215" s="19" t="s">
        <v>8</v>
      </c>
    </row>
    <row r="216" spans="1:15" ht="43.5" x14ac:dyDescent="0.35">
      <c r="A216" s="62">
        <f t="shared" si="19"/>
        <v>213</v>
      </c>
      <c r="B216" s="104" t="s">
        <v>448</v>
      </c>
      <c r="C216" s="42" t="s">
        <v>8</v>
      </c>
      <c r="D216" s="43" t="s">
        <v>97</v>
      </c>
      <c r="E216" s="102" t="s">
        <v>241</v>
      </c>
      <c r="F216" s="19" t="s">
        <v>8</v>
      </c>
      <c r="G216" s="19" t="s">
        <v>8</v>
      </c>
      <c r="H216" s="19" t="s">
        <v>8</v>
      </c>
      <c r="I216" s="126">
        <v>875.66666666666663</v>
      </c>
      <c r="J216" s="56">
        <v>0</v>
      </c>
      <c r="K216" s="57">
        <v>0</v>
      </c>
      <c r="L216" s="55" t="s">
        <v>9</v>
      </c>
      <c r="M216" s="57" t="s">
        <v>9</v>
      </c>
      <c r="N216" s="58" t="s">
        <v>8</v>
      </c>
      <c r="O216" s="19" t="s">
        <v>8</v>
      </c>
    </row>
    <row r="217" spans="1:15" ht="43.5" x14ac:dyDescent="0.35">
      <c r="A217" s="62">
        <f t="shared" si="19"/>
        <v>214</v>
      </c>
      <c r="B217" s="104" t="s">
        <v>448</v>
      </c>
      <c r="C217" s="42" t="s">
        <v>8</v>
      </c>
      <c r="D217" s="43" t="s">
        <v>514</v>
      </c>
      <c r="E217" s="102" t="s">
        <v>516</v>
      </c>
      <c r="F217" s="19" t="s">
        <v>8</v>
      </c>
      <c r="G217" s="19" t="s">
        <v>8</v>
      </c>
      <c r="H217" s="19" t="s">
        <v>8</v>
      </c>
      <c r="I217" s="126">
        <v>26.7</v>
      </c>
      <c r="J217" s="56">
        <v>0</v>
      </c>
      <c r="K217" s="57">
        <v>0</v>
      </c>
      <c r="L217" s="55" t="s">
        <v>9</v>
      </c>
      <c r="M217" s="57" t="s">
        <v>9</v>
      </c>
      <c r="N217" s="58" t="s">
        <v>8</v>
      </c>
      <c r="O217" s="19" t="s">
        <v>8</v>
      </c>
    </row>
    <row r="218" spans="1:15" ht="29" x14ac:dyDescent="0.35">
      <c r="A218" s="62">
        <f t="shared" si="19"/>
        <v>215</v>
      </c>
      <c r="B218" s="105" t="s">
        <v>449</v>
      </c>
      <c r="C218" s="42" t="s">
        <v>8</v>
      </c>
      <c r="D218" s="43" t="s">
        <v>8</v>
      </c>
      <c r="E218" s="102" t="s">
        <v>229</v>
      </c>
      <c r="F218" s="19" t="s">
        <v>8</v>
      </c>
      <c r="G218" s="19" t="s">
        <v>8</v>
      </c>
      <c r="H218" s="19" t="s">
        <v>8</v>
      </c>
      <c r="I218" s="126">
        <v>18500</v>
      </c>
      <c r="J218" s="56">
        <v>0</v>
      </c>
      <c r="K218" s="57">
        <v>0</v>
      </c>
      <c r="L218" s="55" t="s">
        <v>9</v>
      </c>
      <c r="M218" s="57" t="s">
        <v>9</v>
      </c>
      <c r="N218" s="58" t="s">
        <v>8</v>
      </c>
      <c r="O218" s="19" t="s">
        <v>8</v>
      </c>
    </row>
    <row r="219" spans="1:15" ht="29" x14ac:dyDescent="0.35">
      <c r="A219" s="62">
        <f t="shared" si="19"/>
        <v>216</v>
      </c>
      <c r="B219" s="105" t="s">
        <v>449</v>
      </c>
      <c r="C219" s="42" t="s">
        <v>8</v>
      </c>
      <c r="D219" s="43" t="s">
        <v>8</v>
      </c>
      <c r="E219" s="102" t="s">
        <v>230</v>
      </c>
      <c r="F219" s="19" t="s">
        <v>8</v>
      </c>
      <c r="G219" s="19" t="s">
        <v>8</v>
      </c>
      <c r="H219" s="19" t="s">
        <v>8</v>
      </c>
      <c r="I219" s="126">
        <v>8000</v>
      </c>
      <c r="J219" s="56">
        <v>0</v>
      </c>
      <c r="K219" s="57">
        <v>0</v>
      </c>
      <c r="L219" s="55" t="s">
        <v>9</v>
      </c>
      <c r="M219" s="57" t="s">
        <v>9</v>
      </c>
      <c r="N219" s="58" t="s">
        <v>8</v>
      </c>
      <c r="O219" s="19" t="s">
        <v>8</v>
      </c>
    </row>
    <row r="220" spans="1:15" ht="29" x14ac:dyDescent="0.35">
      <c r="A220" s="62">
        <f t="shared" si="19"/>
        <v>217</v>
      </c>
      <c r="B220" s="105" t="s">
        <v>449</v>
      </c>
      <c r="C220" s="42" t="s">
        <v>8</v>
      </c>
      <c r="D220" s="43" t="s">
        <v>8</v>
      </c>
      <c r="E220" s="102" t="s">
        <v>232</v>
      </c>
      <c r="F220" s="19" t="s">
        <v>8</v>
      </c>
      <c r="G220" s="19" t="s">
        <v>8</v>
      </c>
      <c r="H220" s="19" t="s">
        <v>8</v>
      </c>
      <c r="I220" s="126">
        <v>8000</v>
      </c>
      <c r="J220" s="56">
        <v>0</v>
      </c>
      <c r="K220" s="57">
        <v>0</v>
      </c>
      <c r="L220" s="55" t="s">
        <v>9</v>
      </c>
      <c r="M220" s="57" t="s">
        <v>9</v>
      </c>
      <c r="N220" s="58" t="s">
        <v>8</v>
      </c>
      <c r="O220" s="19" t="s">
        <v>8</v>
      </c>
    </row>
    <row r="221" spans="1:15" ht="29" x14ac:dyDescent="0.35">
      <c r="A221" s="62">
        <f t="shared" si="19"/>
        <v>218</v>
      </c>
      <c r="B221" s="121" t="s">
        <v>450</v>
      </c>
      <c r="C221" s="42" t="s">
        <v>8</v>
      </c>
      <c r="D221" s="43" t="s">
        <v>8</v>
      </c>
      <c r="E221" s="102" t="s">
        <v>233</v>
      </c>
      <c r="F221" s="19" t="s">
        <v>8</v>
      </c>
      <c r="G221" s="19" t="s">
        <v>8</v>
      </c>
      <c r="H221" s="19" t="s">
        <v>8</v>
      </c>
      <c r="I221" s="126">
        <v>2500</v>
      </c>
      <c r="J221" s="56">
        <v>0</v>
      </c>
      <c r="K221" s="57">
        <v>0</v>
      </c>
      <c r="L221" s="55" t="s">
        <v>9</v>
      </c>
      <c r="M221" s="57" t="s">
        <v>9</v>
      </c>
      <c r="N221" s="58" t="s">
        <v>8</v>
      </c>
      <c r="O221" s="19" t="s">
        <v>8</v>
      </c>
    </row>
    <row r="222" spans="1:15" ht="29" x14ac:dyDescent="0.35">
      <c r="A222" s="62">
        <f t="shared" si="19"/>
        <v>219</v>
      </c>
      <c r="B222" s="121" t="s">
        <v>450</v>
      </c>
      <c r="C222" s="42" t="s">
        <v>8</v>
      </c>
      <c r="D222" s="43" t="s">
        <v>8</v>
      </c>
      <c r="E222" s="43" t="s">
        <v>243</v>
      </c>
      <c r="F222" s="19" t="s">
        <v>8</v>
      </c>
      <c r="G222" s="19" t="s">
        <v>8</v>
      </c>
      <c r="H222" s="19" t="s">
        <v>8</v>
      </c>
      <c r="I222" s="126">
        <v>3000</v>
      </c>
      <c r="J222" s="56">
        <v>0</v>
      </c>
      <c r="K222" s="57">
        <v>0</v>
      </c>
      <c r="L222" s="55" t="s">
        <v>9</v>
      </c>
      <c r="M222" s="57" t="s">
        <v>9</v>
      </c>
      <c r="N222" s="58" t="s">
        <v>8</v>
      </c>
      <c r="O222" s="19" t="s">
        <v>8</v>
      </c>
    </row>
    <row r="223" spans="1:15" x14ac:dyDescent="0.35">
      <c r="A223" s="62">
        <f t="shared" si="19"/>
        <v>220</v>
      </c>
      <c r="B223" s="469" t="s">
        <v>540</v>
      </c>
      <c r="C223" s="42" t="s">
        <v>242</v>
      </c>
      <c r="D223" s="43" t="s">
        <v>533</v>
      </c>
      <c r="E223" s="43" t="s">
        <v>534</v>
      </c>
      <c r="F223" s="19" t="s">
        <v>535</v>
      </c>
      <c r="G223" s="19" t="s">
        <v>8</v>
      </c>
      <c r="H223" s="19">
        <v>5</v>
      </c>
      <c r="I223" s="126">
        <v>1450</v>
      </c>
      <c r="J223" s="56">
        <v>0</v>
      </c>
      <c r="K223" s="57">
        <v>0</v>
      </c>
      <c r="L223" s="55" t="s">
        <v>9</v>
      </c>
      <c r="M223" s="57" t="s">
        <v>9</v>
      </c>
      <c r="N223" s="58">
        <f t="shared" ref="N223:N225" si="20">I223+J223</f>
        <v>1450</v>
      </c>
      <c r="O223" s="19">
        <f t="shared" ref="O223:O225" si="21">I223+K223</f>
        <v>1450</v>
      </c>
    </row>
    <row r="224" spans="1:15" x14ac:dyDescent="0.35">
      <c r="A224" s="62">
        <f t="shared" si="19"/>
        <v>221</v>
      </c>
      <c r="B224" s="469" t="s">
        <v>540</v>
      </c>
      <c r="C224" s="42" t="s">
        <v>242</v>
      </c>
      <c r="D224" s="43" t="s">
        <v>533</v>
      </c>
      <c r="E224" s="43" t="s">
        <v>536</v>
      </c>
      <c r="F224" s="19" t="s">
        <v>8</v>
      </c>
      <c r="G224" s="19" t="s">
        <v>8</v>
      </c>
      <c r="H224" s="19" t="s">
        <v>8</v>
      </c>
      <c r="I224" s="126">
        <v>2900</v>
      </c>
      <c r="J224" s="56">
        <v>0</v>
      </c>
      <c r="K224" s="57">
        <v>0</v>
      </c>
      <c r="L224" s="55" t="s">
        <v>9</v>
      </c>
      <c r="M224" s="57" t="s">
        <v>9</v>
      </c>
      <c r="N224" s="58">
        <f t="shared" si="20"/>
        <v>2900</v>
      </c>
      <c r="O224" s="19">
        <f t="shared" si="21"/>
        <v>2900</v>
      </c>
    </row>
    <row r="225" spans="1:15" ht="29" customHeight="1" x14ac:dyDescent="0.35">
      <c r="A225" s="62">
        <f t="shared" si="19"/>
        <v>222</v>
      </c>
      <c r="B225" s="469" t="s">
        <v>540</v>
      </c>
      <c r="C225" s="42" t="s">
        <v>242</v>
      </c>
      <c r="D225" s="43" t="s">
        <v>537</v>
      </c>
      <c r="E225" s="43" t="s">
        <v>538</v>
      </c>
      <c r="F225" s="19" t="s">
        <v>539</v>
      </c>
      <c r="G225" s="19" t="s">
        <v>8</v>
      </c>
      <c r="H225" s="19">
        <v>0.25</v>
      </c>
      <c r="I225" s="126">
        <v>2500</v>
      </c>
      <c r="J225" s="56">
        <v>0</v>
      </c>
      <c r="K225" s="57">
        <v>0</v>
      </c>
      <c r="L225" s="55" t="s">
        <v>9</v>
      </c>
      <c r="M225" s="57" t="s">
        <v>9</v>
      </c>
      <c r="N225" s="58">
        <f t="shared" si="20"/>
        <v>2500</v>
      </c>
      <c r="O225" s="19">
        <f t="shared" si="21"/>
        <v>2500</v>
      </c>
    </row>
  </sheetData>
  <sheetProtection algorithmName="SHA-512" hashValue="ewL2AcQVfRaTldbztkWGa9z3gL0M8Doqmc9fAlGktLyRVq05LdC3/qV6mBp22eXMqcASsff5tOGTpUZ9yV23+A==" saltValue="n5BW6BXO/0DPNBBTh9ZpWw==" spinCount="100000" sheet="1" selectLockedCells="1" autoFilter="0" selectUnlockedCells="1"/>
  <autoFilter ref="A3:O222" xr:uid="{00000000-0009-0000-0000-000005000000}"/>
  <dataConsolidate/>
  <mergeCells count="12">
    <mergeCell ref="P119:Y119"/>
    <mergeCell ref="P121:Y121"/>
    <mergeCell ref="J2:K2"/>
    <mergeCell ref="L2:M2"/>
    <mergeCell ref="P5:Y5"/>
    <mergeCell ref="P7:Y7"/>
    <mergeCell ref="P11:Y11"/>
    <mergeCell ref="P13:Y13"/>
    <mergeCell ref="P15:X15"/>
    <mergeCell ref="P18:Y18"/>
    <mergeCell ref="P105:Y109"/>
    <mergeCell ref="P116:Y116"/>
  </mergeCells>
  <conditionalFormatting sqref="X13:X14">
    <cfRule type="expression" dxfId="7" priority="5471">
      <formula>OR(A1=#REF!,A1=#REF!,A1=#REF!,A1=#REF!, A1=#REF!, A1=#REF!)</formula>
    </cfRule>
  </conditionalFormatting>
  <conditionalFormatting sqref="X1:Y2 X149:Y159 X168:Y171 X173:Y188 X194:Y197 X208:Y209 X223:Y1048505">
    <cfRule type="expression" priority="6219">
      <formula>$A4=#REF!</formula>
    </cfRule>
  </conditionalFormatting>
  <conditionalFormatting sqref="X3:Y3 X160:Y162 X164:Y167">
    <cfRule type="expression" priority="6238">
      <formula>$A7=#REF!</formula>
    </cfRule>
  </conditionalFormatting>
  <conditionalFormatting sqref="X4:Y4 X43:Y43 X45:Y45">
    <cfRule type="expression" priority="6290">
      <formula>$A11=#REF!</formula>
    </cfRule>
  </conditionalFormatting>
  <conditionalFormatting sqref="X5:Y5 X7:Y7 X57:Y59">
    <cfRule type="expression" priority="6345">
      <formula>$A13=#REF!</formula>
    </cfRule>
  </conditionalFormatting>
  <conditionalFormatting sqref="X6:Y6 X8:Y10">
    <cfRule type="expression" priority="6882">
      <formula>$A15=#REF!</formula>
    </cfRule>
  </conditionalFormatting>
  <conditionalFormatting sqref="X11:Y12 X22:Y23 X67:Y68 X80:Y81 X119:Y127">
    <cfRule type="expression" priority="4756">
      <formula>#REF!=#REF!</formula>
    </cfRule>
  </conditionalFormatting>
  <conditionalFormatting sqref="X11:Y14 Y15:Y17 X22:Y23">
    <cfRule type="expression" dxfId="6" priority="5473">
      <formula>OR(#REF!=#REF!,#REF!=#REF!,#REF!=#REF!, #REF!=#REF!,#REF!=#REF!, #REF!=#REF!)</formula>
    </cfRule>
  </conditionalFormatting>
  <conditionalFormatting sqref="X13:Y13 X41:Y41 X78:Y79 X163:Y163 X198:Y199">
    <cfRule type="expression" priority="6243">
      <formula>$A18=#REF!</formula>
    </cfRule>
  </conditionalFormatting>
  <conditionalFormatting sqref="X14:Y14">
    <cfRule type="expression" priority="6328">
      <formula>$A22=#REF!</formula>
    </cfRule>
  </conditionalFormatting>
  <conditionalFormatting sqref="X18:Y18">
    <cfRule type="expression" priority="6312">
      <formula>$A80=#REF!</formula>
    </cfRule>
  </conditionalFormatting>
  <conditionalFormatting sqref="X19:Y19">
    <cfRule type="expression" priority="6366">
      <formula>$A82=#REF!</formula>
    </cfRule>
  </conditionalFormatting>
  <conditionalFormatting sqref="X20:Y20">
    <cfRule type="expression" priority="6412">
      <formula>#REF!=#REF!</formula>
    </cfRule>
  </conditionalFormatting>
  <conditionalFormatting sqref="X21:Y21">
    <cfRule type="expression" priority="6411">
      <formula>#REF!=#REF!</formula>
    </cfRule>
  </conditionalFormatting>
  <conditionalFormatting sqref="X35:Y36 X42:Y42 X44:Y44 X46:Y46 X77:Y77">
    <cfRule type="expression" priority="6270">
      <formula>$A41=#REF!</formula>
    </cfRule>
  </conditionalFormatting>
  <conditionalFormatting sqref="X38:Y38">
    <cfRule type="expression" priority="6327">
      <formula>$A48=#REF!</formula>
    </cfRule>
  </conditionalFormatting>
  <conditionalFormatting sqref="X47:Y47">
    <cfRule type="expression" priority="6356">
      <formula>#REF!=#REF!</formula>
    </cfRule>
  </conditionalFormatting>
  <conditionalFormatting sqref="X48:Y55 X109:Y115 X200:Y204">
    <cfRule type="expression" priority="4769">
      <formula>#REF!=#REF!</formula>
    </cfRule>
  </conditionalFormatting>
  <conditionalFormatting sqref="X56:Y56 X76:Y76">
    <cfRule type="expression" priority="6361">
      <formula>#REF!=#REF!</formula>
    </cfRule>
  </conditionalFormatting>
  <conditionalFormatting sqref="X61:Y66">
    <cfRule type="expression" priority="5840">
      <formula>#REF!=#REF!</formula>
    </cfRule>
  </conditionalFormatting>
  <conditionalFormatting sqref="X71:Y71">
    <cfRule type="expression" priority="6685">
      <formula>$A82=#REF!</formula>
    </cfRule>
  </conditionalFormatting>
  <conditionalFormatting sqref="X72:Y72">
    <cfRule type="expression" priority="6413">
      <formula>#REF!=#REF!</formula>
    </cfRule>
  </conditionalFormatting>
  <conditionalFormatting sqref="X82:Y82">
    <cfRule type="expression" priority="6690">
      <formula>$A83=#REF!</formula>
    </cfRule>
  </conditionalFormatting>
  <conditionalFormatting sqref="X83:Y84">
    <cfRule type="expression" priority="6266">
      <formula>$A103=#REF!</formula>
    </cfRule>
  </conditionalFormatting>
  <conditionalFormatting sqref="X85:Y89">
    <cfRule type="expression" priority="6577">
      <formula>#REF!=#REF!</formula>
    </cfRule>
  </conditionalFormatting>
  <conditionalFormatting sqref="X90:Y90">
    <cfRule type="expression" priority="6371">
      <formula>$A104=#REF!</formula>
    </cfRule>
  </conditionalFormatting>
  <conditionalFormatting sqref="X91:Y94">
    <cfRule type="expression" priority="6572">
      <formula>#REF!=#REF!</formula>
    </cfRule>
  </conditionalFormatting>
  <conditionalFormatting sqref="X97:Y98">
    <cfRule type="expression" priority="6867">
      <formula>$A109=#REF!</formula>
    </cfRule>
  </conditionalFormatting>
  <conditionalFormatting sqref="X99:Y100">
    <cfRule type="expression" priority="6571">
      <formula>#REF!=#REF!</formula>
    </cfRule>
  </conditionalFormatting>
  <conditionalFormatting sqref="X101:Y101">
    <cfRule type="expression" priority="6569">
      <formula>#REF!=#REF!</formula>
    </cfRule>
  </conditionalFormatting>
  <conditionalFormatting sqref="X102:Y108">
    <cfRule type="expression" priority="4749">
      <formula>#REF!=#REF!</formula>
    </cfRule>
  </conditionalFormatting>
  <conditionalFormatting sqref="X116:Y118">
    <cfRule type="expression" priority="4847">
      <formula>#REF!=#REF!</formula>
    </cfRule>
  </conditionalFormatting>
  <conditionalFormatting sqref="X128:Y129 X131:Y131">
    <cfRule type="expression" priority="6259">
      <formula>$A148=#REF!</formula>
    </cfRule>
  </conditionalFormatting>
  <conditionalFormatting sqref="X130:Y130 X144:Y144">
    <cfRule type="expression" priority="6264">
      <formula>$A149=#REF!</formula>
    </cfRule>
  </conditionalFormatting>
  <conditionalFormatting sqref="X132:Y136">
    <cfRule type="expression" priority="6267">
      <formula>$A162=#REF!</formula>
    </cfRule>
  </conditionalFormatting>
  <conditionalFormatting sqref="X137:Y140">
    <cfRule type="expression" priority="6272">
      <formula>$A163=#REF!</formula>
    </cfRule>
  </conditionalFormatting>
  <conditionalFormatting sqref="X141:Y142">
    <cfRule type="expression" priority="6872">
      <formula>$A163=#REF!</formula>
    </cfRule>
  </conditionalFormatting>
  <conditionalFormatting sqref="X143:Y143">
    <cfRule type="expression" priority="6265">
      <formula>$A163=#REF!</formula>
    </cfRule>
  </conditionalFormatting>
  <conditionalFormatting sqref="X145:Y147">
    <cfRule type="expression" priority="6261">
      <formula>$A162=#REF!</formula>
    </cfRule>
  </conditionalFormatting>
  <conditionalFormatting sqref="X148:Y148">
    <cfRule type="expression" priority="6251">
      <formula>$A150=#REF!</formula>
    </cfRule>
  </conditionalFormatting>
  <conditionalFormatting sqref="X172:Y172">
    <cfRule type="expression" priority="6859">
      <formula>#REF!=#REF!</formula>
    </cfRule>
  </conditionalFormatting>
  <conditionalFormatting sqref="X189:Y193">
    <cfRule type="expression" priority="6875">
      <formula>$A194=#REF!</formula>
    </cfRule>
  </conditionalFormatting>
  <conditionalFormatting sqref="X205:Y205">
    <cfRule type="expression" priority="6878">
      <formula>$A208=#REF!</formula>
    </cfRule>
  </conditionalFormatting>
  <conditionalFormatting sqref="X206:Y207">
    <cfRule type="expression" priority="6876">
      <formula>$A210=#REF!</formula>
    </cfRule>
  </conditionalFormatting>
  <conditionalFormatting sqref="X210:Y222">
    <cfRule type="expression" priority="6417">
      <formula>#REF!=#REF!</formula>
    </cfRule>
  </conditionalFormatting>
  <conditionalFormatting sqref="X1048506:Y1048568">
    <cfRule type="expression" priority="6884">
      <formula>$A1=#REF!</formula>
    </cfRule>
  </conditionalFormatting>
  <conditionalFormatting sqref="X1048569:Y1048576">
    <cfRule type="expression" priority="6434">
      <formula>$A59=#REF!</formula>
    </cfRule>
  </conditionalFormatting>
  <conditionalFormatting sqref="Y1:Y14 Y22:Y23 Y35:Y68 Y71:Y72 Y76:Y104 Y122:Y1048576">
    <cfRule type="expression" dxfId="5" priority="6229">
      <formula>A1=#REF!</formula>
    </cfRule>
  </conditionalFormatting>
  <conditionalFormatting sqref="Y4">
    <cfRule type="expression" dxfId="4" priority="5472">
      <formula>OR(A1=#REF!, A1=#REF!, A1=#REF!, A1=#REF!, A1=#REF!, A1=#REF!)</formula>
    </cfRule>
  </conditionalFormatting>
  <conditionalFormatting sqref="Y15 Y17 X37:Y37 X39:Y39 X60:Y60 X95:Y96">
    <cfRule type="expression" priority="6271">
      <formula>$A24=#REF!</formula>
    </cfRule>
  </conditionalFormatting>
  <conditionalFormatting sqref="Y15:Y17 Y105:Y118">
    <cfRule type="expression" dxfId="3" priority="4768">
      <formula>#REF!=#REF!</formula>
    </cfRule>
  </conditionalFormatting>
  <conditionalFormatting sqref="Y16 X40:Y40">
    <cfRule type="expression" priority="6319">
      <formula>$A26=#REF!</formula>
    </cfRule>
  </conditionalFormatting>
  <conditionalFormatting sqref="Y18:Y21">
    <cfRule type="expression" dxfId="2" priority="6254">
      <formula>A73=#REF!</formula>
    </cfRule>
  </conditionalFormatting>
  <conditionalFormatting sqref="Y119:Y120">
    <cfRule type="expression" dxfId="1" priority="5583">
      <formula>#REF!=#REF!</formula>
    </cfRule>
  </conditionalFormatting>
  <conditionalFormatting sqref="Y121">
    <cfRule type="expression" dxfId="0" priority="4940">
      <formula>#REF!=#REF!</formula>
    </cfRule>
  </conditionalFormatting>
  <hyperlinks>
    <hyperlink ref="P11" r:id="rId1" xr:uid="{00000000-0004-0000-0500-000000000000}"/>
  </hyperlinks>
  <pageMargins left="0.7" right="0.7" top="0.75" bottom="0.75" header="0.3" footer="0.3"/>
  <pageSetup scale="27" fitToHeight="0" orientation="portrait" r:id="rId2"/>
  <ignoredErrors>
    <ignoredError sqref="I18" formula="1"/>
  </ignoredErrors>
  <extLst>
    <ext xmlns:x14="http://schemas.microsoft.com/office/spreadsheetml/2009/9/main" uri="{78C0D931-6437-407d-A8EE-F0AAD7539E65}">
      <x14:conditionalFormattings>
        <x14:conditionalFormatting xmlns:xm="http://schemas.microsoft.com/office/excel/2006/main">
          <x14:cfRule type="cellIs" priority="226" operator="equal" id="{50B6EC6F-9B20-4DA9-AC21-9BC73C27D794}">
            <xm:f>Reference_Dropdown1!$C$17</xm:f>
            <x14:dxf>
              <font>
                <color theme="0"/>
              </font>
              <fill>
                <patternFill>
                  <bgColor theme="9" tint="-0.24994659260841701"/>
                </patternFill>
              </fill>
            </x14:dxf>
          </x14:cfRule>
          <x14:cfRule type="cellIs" priority="227" operator="equal" id="{42A73168-74C5-45CF-BADA-8405EC07DADB}">
            <xm:f>Reference_Dropdown1!#REF!</xm:f>
            <x14:dxf>
              <fill>
                <patternFill>
                  <bgColor theme="5" tint="0.79998168889431442"/>
                </patternFill>
              </fill>
            </x14:dxf>
          </x14:cfRule>
          <x14:cfRule type="cellIs" priority="228" operator="equal" id="{554723EC-0446-4772-AB73-A100D3563B1D}">
            <xm:f>Reference_Dropdown1!#REF!</xm:f>
            <x14:dxf>
              <fill>
                <patternFill>
                  <bgColor theme="4" tint="0.79998168889431442"/>
                </patternFill>
              </fill>
            </x14:dxf>
          </x14:cfRule>
          <x14:cfRule type="cellIs" priority="229" operator="equal" id="{46BDAB9A-D9DC-42EF-B4B5-29FE6C517C66}">
            <xm:f>Reference_Dropdown1!#REF!</xm:f>
            <x14:dxf>
              <fill>
                <patternFill>
                  <bgColor theme="3" tint="0.59996337778862885"/>
                </patternFill>
              </fill>
            </x14:dxf>
          </x14:cfRule>
          <x14:cfRule type="cellIs" priority="230" operator="equal" id="{518CA704-3233-4315-9B01-7C2892958271}">
            <xm:f>Reference_Dropdown1!#REF!</xm:f>
            <x14:dxf>
              <font>
                <color theme="0"/>
              </font>
              <fill>
                <patternFill>
                  <bgColor theme="5" tint="-0.24994659260841701"/>
                </patternFill>
              </fill>
            </x14:dxf>
          </x14:cfRule>
          <xm:sqref>B4:B41</xm:sqref>
        </x14:conditionalFormatting>
        <x14:conditionalFormatting xmlns:xm="http://schemas.microsoft.com/office/excel/2006/main">
          <x14:cfRule type="cellIs" priority="6545" operator="equal" id="{D89E51EC-8935-4455-BFAC-2D71FA8452EC}">
            <xm:f>Reference_Dropdown1!#REF!</xm:f>
            <x14:dxf>
              <font>
                <color theme="1"/>
              </font>
              <fill>
                <patternFill>
                  <bgColor theme="7" tint="0.79998168889431442"/>
                </patternFill>
              </fill>
            </x14:dxf>
          </x14:cfRule>
          <x14:cfRule type="cellIs" priority="6546" operator="equal" id="{70AF3620-927E-4EC7-8A67-EC76572EB6FF}">
            <xm:f>Reference_Dropdown1!$C$2</xm:f>
            <x14:dxf>
              <font>
                <color theme="1"/>
              </font>
              <fill>
                <patternFill>
                  <bgColor rgb="FFCCCCFF"/>
                </patternFill>
              </fill>
            </x14:dxf>
          </x14:cfRule>
          <x14:cfRule type="cellIs" priority="6547" operator="equal" id="{6D6B975E-05CD-4AE8-A802-DC80C7885178}">
            <xm:f>Reference_Dropdown1!$C$3</xm:f>
            <x14:dxf>
              <font>
                <color auto="1"/>
              </font>
              <fill>
                <patternFill>
                  <bgColor rgb="FFFFC000"/>
                </patternFill>
              </fill>
            </x14:dxf>
          </x14:cfRule>
          <x14:cfRule type="cellIs" priority="6548" operator="equal" id="{06540561-0879-4E4E-99AF-8F87858D9606}">
            <xm:f>Reference_Dropdown1!$C$4</xm:f>
            <x14:dxf>
              <fill>
                <patternFill>
                  <bgColor rgb="FFFFFF00"/>
                </patternFill>
              </fill>
            </x14:dxf>
          </x14:cfRule>
          <x14:cfRule type="cellIs" priority="6549" operator="equal" id="{05251072-6CEC-4009-B9DE-4328CE27B01F}">
            <xm:f>Reference_Dropdown1!$C$5</xm:f>
            <x14:dxf>
              <font>
                <color theme="0"/>
              </font>
              <fill>
                <patternFill>
                  <bgColor rgb="FF9900CC"/>
                </patternFill>
              </fill>
            </x14:dxf>
          </x14:cfRule>
          <x14:cfRule type="cellIs" priority="6550" operator="equal" id="{3F4F3CFB-CD8D-4FDE-B397-11EAD5BDEF45}">
            <xm:f>Reference_Dropdown1!$C$6</xm:f>
            <x14:dxf>
              <fill>
                <patternFill>
                  <bgColor rgb="FFFF99FF"/>
                </patternFill>
              </fill>
            </x14:dxf>
          </x14:cfRule>
          <x14:cfRule type="cellIs" priority="6551" operator="equal" id="{61D39867-E03E-4DEA-83AB-419E80C30F3E}">
            <xm:f>Reference_Dropdown1!$C$7</xm:f>
            <x14:dxf>
              <font>
                <color theme="0"/>
              </font>
              <fill>
                <patternFill>
                  <bgColor theme="4" tint="-0.24994659260841701"/>
                </patternFill>
              </fill>
            </x14:dxf>
          </x14:cfRule>
          <x14:cfRule type="cellIs" priority="6552" operator="equal" id="{0A4AEDE2-0A0E-477D-8F5F-0313E14D6BCD}">
            <xm:f>Reference_Dropdown1!$C$8</xm:f>
            <x14:dxf>
              <font>
                <color theme="0"/>
              </font>
              <fill>
                <patternFill>
                  <bgColor theme="9" tint="-0.24994659260841701"/>
                </patternFill>
              </fill>
            </x14:dxf>
          </x14:cfRule>
          <x14:cfRule type="cellIs" priority="6553" operator="equal" id="{DB6D99C6-4F24-402A-98D5-53B165D4616F}">
            <xm:f>Reference_Dropdown1!$C$9</xm:f>
            <x14:dxf>
              <font>
                <color theme="0"/>
              </font>
              <fill>
                <patternFill>
                  <bgColor rgb="FF7030A0"/>
                </patternFill>
              </fill>
            </x14:dxf>
          </x14:cfRule>
          <x14:cfRule type="cellIs" priority="6554" operator="equal" id="{F4B87B6D-14AB-43EC-A116-15BD44E73C02}">
            <xm:f>Reference_Dropdown1!#REF!</xm:f>
            <x14:dxf>
              <font>
                <color theme="1"/>
              </font>
              <fill>
                <patternFill>
                  <bgColor theme="4" tint="0.79998168889431442"/>
                </patternFill>
              </fill>
            </x14:dxf>
          </x14:cfRule>
          <x14:cfRule type="cellIs" priority="6555" operator="equal" id="{028CC649-BE21-4B06-BA02-E14B81BD61FD}">
            <xm:f>Reference_Dropdown1!$C$11</xm:f>
            <x14:dxf>
              <font>
                <color theme="1"/>
              </font>
              <fill>
                <patternFill>
                  <bgColor theme="4" tint="0.39994506668294322"/>
                </patternFill>
              </fill>
            </x14:dxf>
          </x14:cfRule>
          <x14:cfRule type="cellIs" priority="6556" operator="equal" id="{73F25DF9-9B58-439B-BA48-4998F83A6DA1}">
            <xm:f>Reference_Dropdown1!#REF!</xm:f>
            <x14:dxf>
              <font>
                <color theme="0"/>
              </font>
              <fill>
                <patternFill>
                  <bgColor theme="4" tint="-0.24994659260841701"/>
                </patternFill>
              </fill>
            </x14:dxf>
          </x14:cfRule>
          <x14:cfRule type="cellIs" priority="6557" operator="equal" id="{563B4AC7-0D94-4090-904E-BD222A09B88A}">
            <xm:f>Reference_Dropdown1!$C$12</xm:f>
            <x14:dxf>
              <font>
                <color theme="1"/>
              </font>
              <fill>
                <patternFill>
                  <bgColor theme="0" tint="-0.14996795556505021"/>
                </patternFill>
              </fill>
            </x14:dxf>
          </x14:cfRule>
          <x14:cfRule type="cellIs" priority="6558" operator="equal" id="{D8975930-C172-46A6-8661-6BAF9238181C}">
            <xm:f>Reference_Dropdown1!$C$13</xm:f>
            <x14:dxf>
              <font>
                <color theme="0"/>
              </font>
              <fill>
                <patternFill>
                  <bgColor theme="0" tint="-0.499984740745262"/>
                </patternFill>
              </fill>
            </x14:dxf>
          </x14:cfRule>
          <x14:cfRule type="cellIs" priority="6559" operator="equal" id="{4683A483-07E3-472F-8E3C-65F289B4A8FC}">
            <xm:f>Reference_Dropdown1!$C$14</xm:f>
            <x14:dxf>
              <font>
                <color theme="0"/>
              </font>
              <fill>
                <patternFill>
                  <bgColor theme="1" tint="0.24994659260841701"/>
                </patternFill>
              </fill>
            </x14:dxf>
          </x14:cfRule>
          <x14:cfRule type="cellIs" priority="6560" operator="equal" id="{0669D784-1F16-455D-B1A3-36C9C66460D0}">
            <xm:f>Reference_Dropdown1!#REF!</xm:f>
            <x14:dxf>
              <font>
                <color theme="1"/>
              </font>
              <fill>
                <patternFill>
                  <bgColor theme="9" tint="0.79998168889431442"/>
                </patternFill>
              </fill>
            </x14:dxf>
          </x14:cfRule>
          <x14:cfRule type="cellIs" priority="6561" operator="equal" id="{691E0559-3D1B-4198-AE71-80D5D762599F}">
            <xm:f>Reference_Dropdown1!#REF!</xm:f>
            <x14:dxf>
              <font>
                <color theme="1"/>
              </font>
              <fill>
                <patternFill>
                  <bgColor theme="9" tint="0.59996337778862885"/>
                </patternFill>
              </fill>
            </x14:dxf>
          </x14:cfRule>
          <x14:cfRule type="cellIs" priority="6562" operator="equal" id="{B197A4CC-6B49-4E09-A372-264AF3E96EB9}">
            <xm:f>Reference_Dropdown1!#REF!</xm:f>
            <x14:dxf>
              <font>
                <color theme="1"/>
              </font>
              <fill>
                <patternFill>
                  <bgColor theme="5" tint="0.79998168889431442"/>
                </patternFill>
              </fill>
            </x14:dxf>
          </x14:cfRule>
          <x14:cfRule type="cellIs" priority="6563" operator="equal" id="{7551CCA0-34B6-4AFB-B547-9F44BEBE31BC}">
            <xm:f>Reference_Dropdown1!$C$15</xm:f>
            <x14:dxf>
              <font>
                <color theme="1"/>
              </font>
              <fill>
                <patternFill>
                  <bgColor theme="5" tint="0.59996337778862885"/>
                </patternFill>
              </fill>
            </x14:dxf>
          </x14:cfRule>
          <x14:cfRule type="cellIs" priority="6564" operator="equal" id="{48EE0D2B-779A-4773-85CB-45FD21751B1F}">
            <xm:f>Reference_Dropdown1!$C$16</xm:f>
            <x14:dxf>
              <font>
                <color theme="1"/>
              </font>
              <fill>
                <patternFill>
                  <bgColor rgb="FF9999FF"/>
                </patternFill>
              </fill>
            </x14:dxf>
          </x14:cfRule>
          <xm:sqref>B4:B101 B165:B168</xm:sqref>
        </x14:conditionalFormatting>
        <x14:conditionalFormatting xmlns:xm="http://schemas.microsoft.com/office/excel/2006/main">
          <x14:cfRule type="cellIs" priority="76" operator="equal" id="{81D60666-33C3-45F2-9E90-3093B5503959}">
            <xm:f>Reference_Dropdown1!$C$17</xm:f>
            <x14:dxf>
              <font>
                <color theme="0"/>
              </font>
              <fill>
                <patternFill>
                  <bgColor theme="9" tint="-0.24994659260841701"/>
                </patternFill>
              </fill>
            </x14:dxf>
          </x14:cfRule>
          <x14:cfRule type="cellIs" priority="77" operator="equal" id="{AAA2B4B2-0D35-45EE-B2DC-B60DF79D7C82}">
            <xm:f>Reference_Dropdown1!#REF!</xm:f>
            <x14:dxf>
              <fill>
                <patternFill>
                  <bgColor theme="5" tint="0.79998168889431442"/>
                </patternFill>
              </fill>
            </x14:dxf>
          </x14:cfRule>
          <x14:cfRule type="cellIs" priority="78" operator="equal" id="{9DD38825-504E-4CF3-810C-0CAEF55551B0}">
            <xm:f>Reference_Dropdown1!#REF!</xm:f>
            <x14:dxf>
              <fill>
                <patternFill>
                  <bgColor theme="4" tint="0.79998168889431442"/>
                </patternFill>
              </fill>
            </x14:dxf>
          </x14:cfRule>
          <x14:cfRule type="cellIs" priority="79" operator="equal" id="{E5B98557-D604-453A-8B78-DE7BA318F47D}">
            <xm:f>Reference_Dropdown1!#REF!</xm:f>
            <x14:dxf>
              <fill>
                <patternFill>
                  <bgColor theme="3" tint="0.59996337778862885"/>
                </patternFill>
              </fill>
            </x14:dxf>
          </x14:cfRule>
          <x14:cfRule type="cellIs" priority="80" operator="equal" id="{8724890D-35D8-4E27-8C8B-954AFA60B4C3}">
            <xm:f>Reference_Dropdown1!#REF!</xm:f>
            <x14:dxf>
              <font>
                <color theme="0"/>
              </font>
              <fill>
                <patternFill>
                  <bgColor theme="5" tint="-0.24994659260841701"/>
                </patternFill>
              </fill>
            </x14:dxf>
          </x14:cfRule>
          <xm:sqref>B36:B101</xm:sqref>
        </x14:conditionalFormatting>
        <x14:conditionalFormatting xmlns:xm="http://schemas.microsoft.com/office/excel/2006/main">
          <x14:cfRule type="cellIs" priority="276" operator="equal" id="{C475E9E1-59B5-4BE8-9ACF-37C4F594F461}">
            <xm:f>Reference_Dropdown1!$C$17</xm:f>
            <x14:dxf>
              <font>
                <color theme="0"/>
              </font>
              <fill>
                <patternFill>
                  <bgColor theme="9" tint="-0.24994659260841701"/>
                </patternFill>
              </fill>
            </x14:dxf>
          </x14:cfRule>
          <x14:cfRule type="cellIs" priority="277" operator="equal" id="{644D0461-1076-4CB5-90C5-19ECF845152E}">
            <xm:f>Reference_Dropdown1!#REF!</xm:f>
            <x14:dxf>
              <fill>
                <patternFill>
                  <bgColor theme="5" tint="0.79998168889431442"/>
                </patternFill>
              </fill>
            </x14:dxf>
          </x14:cfRule>
          <x14:cfRule type="cellIs" priority="278" operator="equal" id="{47BBAFE4-B327-4BB7-98A5-6A1B5E517496}">
            <xm:f>Reference_Dropdown1!#REF!</xm:f>
            <x14:dxf>
              <fill>
                <patternFill>
                  <bgColor theme="4" tint="0.79998168889431442"/>
                </patternFill>
              </fill>
            </x14:dxf>
          </x14:cfRule>
          <x14:cfRule type="cellIs" priority="279" operator="equal" id="{7B9B2C04-0644-47AB-A417-E52EA2E37B94}">
            <xm:f>Reference_Dropdown1!#REF!</xm:f>
            <x14:dxf>
              <fill>
                <patternFill>
                  <bgColor theme="3" tint="0.59996337778862885"/>
                </patternFill>
              </fill>
            </x14:dxf>
          </x14:cfRule>
          <x14:cfRule type="cellIs" priority="280" operator="equal" id="{65934B93-7B24-4261-AFAA-6C3AE061E01D}">
            <xm:f>Reference_Dropdown1!#REF!</xm:f>
            <x14:dxf>
              <font>
                <color theme="0"/>
              </font>
              <fill>
                <patternFill>
                  <bgColor theme="5" tint="-0.24994659260841701"/>
                </patternFill>
              </fill>
            </x14:dxf>
          </x14:cfRule>
          <xm:sqref>B43:B55 B57:B82 B84:B101</xm:sqref>
        </x14:conditionalFormatting>
        <x14:conditionalFormatting xmlns:xm="http://schemas.microsoft.com/office/excel/2006/main">
          <x14:cfRule type="cellIs" priority="26" operator="equal" id="{9F36302E-C6D7-4A32-8AA8-205C68C8FD99}">
            <xm:f>Reference_Dropdown1!$C$17</xm:f>
            <x14:dxf>
              <font>
                <color theme="0"/>
              </font>
              <fill>
                <patternFill>
                  <bgColor theme="9" tint="-0.24994659260841701"/>
                </patternFill>
              </fill>
            </x14:dxf>
          </x14:cfRule>
          <x14:cfRule type="cellIs" priority="27" operator="equal" id="{CD429DA0-B9BD-4578-84B8-018CEB293D56}">
            <xm:f>Reference_Dropdown1!#REF!</xm:f>
            <x14:dxf>
              <fill>
                <patternFill>
                  <bgColor theme="5" tint="0.79998168889431442"/>
                </patternFill>
              </fill>
            </x14:dxf>
          </x14:cfRule>
          <x14:cfRule type="cellIs" priority="28" operator="equal" id="{3C152BB0-6A5B-4836-9036-C8EE8B0CD5A8}">
            <xm:f>Reference_Dropdown1!#REF!</xm:f>
            <x14:dxf>
              <fill>
                <patternFill>
                  <bgColor theme="4" tint="0.79998168889431442"/>
                </patternFill>
              </fill>
            </x14:dxf>
          </x14:cfRule>
          <x14:cfRule type="cellIs" priority="29" operator="equal" id="{7B737D9C-0645-448B-AB50-D59C6384C7EB}">
            <xm:f>Reference_Dropdown1!#REF!</xm:f>
            <x14:dxf>
              <fill>
                <patternFill>
                  <bgColor theme="3" tint="0.59996337778862885"/>
                </patternFill>
              </fill>
            </x14:dxf>
          </x14:cfRule>
          <x14:cfRule type="cellIs" priority="30" operator="equal" id="{972A5E27-1061-4DC8-8AC9-A69724E221D4}">
            <xm:f>Reference_Dropdown1!#REF!</xm:f>
            <x14:dxf>
              <font>
                <color theme="0"/>
              </font>
              <fill>
                <patternFill>
                  <bgColor theme="5" tint="-0.24994659260841701"/>
                </patternFill>
              </fill>
            </x14:dxf>
          </x14:cfRule>
          <xm:sqref>B165:B168</xm:sqref>
        </x14:conditionalFormatting>
        <x14:conditionalFormatting xmlns:xm="http://schemas.microsoft.com/office/excel/2006/main">
          <x14:cfRule type="cellIs" priority="1" operator="equal" id="{B00943CA-8539-4FD1-8198-BF2EBEF78E9F}">
            <xm:f>Reference_Dropdown1!$C$17</xm:f>
            <x14:dxf>
              <font>
                <color theme="0"/>
              </font>
              <fill>
                <patternFill>
                  <bgColor theme="9" tint="-0.24994659260841701"/>
                </patternFill>
              </fill>
            </x14:dxf>
          </x14:cfRule>
          <x14:cfRule type="cellIs" priority="2" operator="equal" id="{4F8B389C-BF38-437A-BE78-DD7E99DE539A}">
            <xm:f>Reference_Dropdown1!#REF!</xm:f>
            <x14:dxf>
              <fill>
                <patternFill>
                  <bgColor theme="5" tint="0.79998168889431442"/>
                </patternFill>
              </fill>
            </x14:dxf>
          </x14:cfRule>
          <x14:cfRule type="cellIs" priority="3" operator="equal" id="{E5356386-4766-4F62-8459-E165F41395F1}">
            <xm:f>Reference_Dropdown1!#REF!</xm:f>
            <x14:dxf>
              <fill>
                <patternFill>
                  <bgColor theme="4" tint="0.79998168889431442"/>
                </patternFill>
              </fill>
            </x14:dxf>
          </x14:cfRule>
          <x14:cfRule type="cellIs" priority="4" operator="equal" id="{20A5C317-491F-458E-AA08-328CF07A5FE7}">
            <xm:f>Reference_Dropdown1!#REF!</xm:f>
            <x14:dxf>
              <fill>
                <patternFill>
                  <bgColor theme="3" tint="0.59996337778862885"/>
                </patternFill>
              </fill>
            </x14:dxf>
          </x14:cfRule>
          <x14:cfRule type="cellIs" priority="5" operator="equal" id="{65940680-893A-48FB-9A85-0C2379332705}">
            <xm:f>Reference_Dropdown1!#REF!</xm:f>
            <x14:dxf>
              <font>
                <color theme="0"/>
              </font>
              <fill>
                <patternFill>
                  <bgColor theme="5" tint="-0.24994659260841701"/>
                </patternFill>
              </fill>
            </x14:dxf>
          </x14:cfRule>
          <xm:sqref>B166:B168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04EA-BABF-4D3D-8C45-2D4D5DA4E30D}">
  <sheetPr>
    <tabColor theme="5"/>
  </sheetPr>
  <dimension ref="A1:F43"/>
  <sheetViews>
    <sheetView topLeftCell="A9" workbookViewId="0">
      <selection activeCell="C29" sqref="C29"/>
    </sheetView>
  </sheetViews>
  <sheetFormatPr defaultColWidth="8.81640625" defaultRowHeight="14.5" x14ac:dyDescent="0.35"/>
  <cols>
    <col min="2" max="2" width="47.453125" bestFit="1" customWidth="1"/>
    <col min="3" max="3" width="51.1796875" bestFit="1" customWidth="1"/>
  </cols>
  <sheetData>
    <row r="1" spans="1:6" ht="21" x14ac:dyDescent="0.5">
      <c r="A1" s="77" t="s">
        <v>115</v>
      </c>
      <c r="C1" t="s">
        <v>328</v>
      </c>
    </row>
    <row r="2" spans="1:6" x14ac:dyDescent="0.35">
      <c r="A2" s="67">
        <v>1</v>
      </c>
      <c r="B2" s="73" t="s">
        <v>296</v>
      </c>
      <c r="C2" s="63" t="str">
        <f>"_"&amp;A2&amp;"."&amp;B2</f>
        <v>_1.Réfrigérateur ILR à gaine réfrigérante sur réseau_sans comp. congélateur</v>
      </c>
      <c r="D2" s="73"/>
      <c r="E2" s="73"/>
      <c r="F2" s="3" t="str">
        <f t="shared" ref="F2:F24" si="0">SUBSTITUTE(C2," ","")</f>
        <v>_1.RéfrigérateurILRàgaineréfrigérantesurréseau_sanscomp.congélateur</v>
      </c>
    </row>
    <row r="3" spans="1:6" x14ac:dyDescent="0.35">
      <c r="A3" s="67">
        <f t="shared" ref="A3:A24" si="1">A2+1</f>
        <v>2</v>
      </c>
      <c r="B3" s="73" t="s">
        <v>297</v>
      </c>
      <c r="C3" s="63" t="str">
        <f t="shared" ref="C3:C24" si="2">"_"&amp;A3&amp;"."&amp;B3</f>
        <v>_2.ILR sur réseau_avec comp. congélateur</v>
      </c>
      <c r="D3" s="73"/>
      <c r="E3" s="73"/>
      <c r="F3" s="3" t="str">
        <f t="shared" si="0"/>
        <v>_2.ILRsurréseau_aveccomp.congélateur</v>
      </c>
    </row>
    <row r="4" spans="1:6" x14ac:dyDescent="0.35">
      <c r="A4" s="67">
        <f t="shared" si="1"/>
        <v>3</v>
      </c>
      <c r="B4" s="73" t="s">
        <v>298</v>
      </c>
      <c r="C4" s="63" t="str">
        <f t="shared" si="2"/>
        <v>_3.Congélateurs sur réseau</v>
      </c>
      <c r="D4" s="73"/>
      <c r="E4" s="73"/>
      <c r="F4" s="3" t="str">
        <f t="shared" si="0"/>
        <v>_3.Congélateurssurréseau</v>
      </c>
    </row>
    <row r="5" spans="1:6" x14ac:dyDescent="0.35">
      <c r="A5" s="67">
        <f t="shared" si="1"/>
        <v>4</v>
      </c>
      <c r="B5" s="73" t="s">
        <v>299</v>
      </c>
      <c r="C5" s="63" t="str">
        <f t="shared" si="2"/>
        <v xml:space="preserve">_4.Réfrigérateurs hors réseau SDD_sans comp. congélateur </v>
      </c>
      <c r="D5" s="73"/>
      <c r="E5" s="73"/>
      <c r="F5" s="3" t="str">
        <f t="shared" si="0"/>
        <v>_4.RéfrigérateurshorsréseauSDD_sanscomp.congélateur</v>
      </c>
    </row>
    <row r="6" spans="1:6" x14ac:dyDescent="0.35">
      <c r="A6" s="67">
        <f t="shared" si="1"/>
        <v>5</v>
      </c>
      <c r="B6" s="73" t="s">
        <v>300</v>
      </c>
      <c r="C6" s="63" t="str">
        <f t="shared" si="2"/>
        <v xml:space="preserve">_5.Réfrigérateurs hors réseau SDD_avec comp. congélateur </v>
      </c>
      <c r="D6" s="73"/>
      <c r="E6" s="73"/>
      <c r="F6" s="3" t="str">
        <f t="shared" si="0"/>
        <v>_5.RéfrigérateurshorsréseauSDD_aveccomp.congélateur</v>
      </c>
    </row>
    <row r="7" spans="1:6" x14ac:dyDescent="0.35">
      <c r="A7" s="67">
        <f t="shared" si="1"/>
        <v>6</v>
      </c>
      <c r="B7" s="3" t="s">
        <v>301</v>
      </c>
      <c r="C7" s="63" t="str">
        <f t="shared" si="2"/>
        <v xml:space="preserve">_6.Congélateur hors réseau SDD </v>
      </c>
      <c r="D7" s="3"/>
      <c r="E7" s="3"/>
      <c r="F7" s="3" t="str">
        <f t="shared" si="0"/>
        <v>_6.CongélateurhorsréseauSDD</v>
      </c>
    </row>
    <row r="8" spans="1:6" x14ac:dyDescent="0.35">
      <c r="A8" s="67">
        <f t="shared" si="1"/>
        <v>7</v>
      </c>
      <c r="B8" s="73" t="s">
        <v>302</v>
      </c>
      <c r="C8" s="63" t="str">
        <f t="shared" si="2"/>
        <v>_7.Outil de monitorage de la température pour au moins 30 jours</v>
      </c>
      <c r="D8" s="73"/>
      <c r="E8" s="73"/>
      <c r="F8" s="3" t="str">
        <f t="shared" si="0"/>
        <v>_7.Outildemonitoragedelatempératurepouraumoins30jours</v>
      </c>
    </row>
    <row r="9" spans="1:6" x14ac:dyDescent="0.35">
      <c r="A9" s="67">
        <f t="shared" si="1"/>
        <v>8</v>
      </c>
      <c r="B9" s="73" t="s">
        <v>303</v>
      </c>
      <c r="C9" s="63" t="str">
        <f t="shared" si="2"/>
        <v>_8.Outil de monitorage continu de la température à temps réel</v>
      </c>
      <c r="D9" s="73"/>
      <c r="E9" s="73"/>
      <c r="F9" s="3" t="str">
        <f t="shared" si="0"/>
        <v>_8.Outildemonitoragecontinudelatempératureàtempsréel</v>
      </c>
    </row>
    <row r="10" spans="1:6" x14ac:dyDescent="0.35">
      <c r="A10" s="67">
        <f t="shared" si="1"/>
        <v>9</v>
      </c>
      <c r="B10" s="73" t="s">
        <v>419</v>
      </c>
      <c r="C10" s="63" t="str">
        <f t="shared" si="2"/>
        <v xml:space="preserve">_9.Dispositifs passifs à long terme </v>
      </c>
      <c r="D10" s="73"/>
      <c r="E10" s="73"/>
      <c r="F10" s="3" t="str">
        <f t="shared" si="0"/>
        <v>_9.Dispositifspassifsàlongterme</v>
      </c>
    </row>
    <row r="11" spans="1:6" x14ac:dyDescent="0.35">
      <c r="A11" s="67">
        <f t="shared" si="1"/>
        <v>10</v>
      </c>
      <c r="B11" s="73" t="s">
        <v>304</v>
      </c>
      <c r="C11" s="63" t="str">
        <f t="shared" si="2"/>
        <v>_10.Porte vaccin nouvelle génération qui n’expose pas les vaccins au gel_Grade A</v>
      </c>
      <c r="D11" s="73"/>
      <c r="E11" s="73"/>
      <c r="F11" s="3" t="str">
        <f t="shared" si="0"/>
        <v>_10.Portevaccinnouvellegénérationquin’exposepaslesvaccinsaugel_GradeA</v>
      </c>
    </row>
    <row r="12" spans="1:6" x14ac:dyDescent="0.35">
      <c r="A12" s="67">
        <f t="shared" si="1"/>
        <v>11</v>
      </c>
      <c r="B12" s="73" t="s">
        <v>305</v>
      </c>
      <c r="C12" s="63" t="str">
        <f>"_"&amp;A12&amp;"."&amp;B12</f>
        <v>_11.Glacière nouvelle génération qui n’expose pas les vaccins au gel_Grade A</v>
      </c>
      <c r="D12" s="73"/>
      <c r="E12" s="73"/>
      <c r="F12" s="3" t="str">
        <f t="shared" si="0"/>
        <v>_11.Glacièrenouvellegénérationquin’exposepaslesvaccinsaugel_GradeA</v>
      </c>
    </row>
    <row r="13" spans="1:6" x14ac:dyDescent="0.35">
      <c r="A13" s="67">
        <f t="shared" si="1"/>
        <v>12</v>
      </c>
      <c r="B13" s="3" t="s">
        <v>306</v>
      </c>
      <c r="C13" s="63" t="str">
        <f>"_"&amp;A13&amp;"."&amp;B13</f>
        <v>_12.Régulateurs de tension pour équipement</v>
      </c>
      <c r="D13" s="3"/>
      <c r="E13" s="3"/>
      <c r="F13" s="3" t="str">
        <f t="shared" si="0"/>
        <v>_12.Régulateursdetensionpouréquipement</v>
      </c>
    </row>
    <row r="14" spans="1:6" x14ac:dyDescent="0.35">
      <c r="A14" s="67">
        <f t="shared" si="1"/>
        <v>13</v>
      </c>
      <c r="B14" s="71" t="s">
        <v>307</v>
      </c>
      <c r="C14" s="63" t="str">
        <f>"_"&amp;A14&amp;"."&amp;B14</f>
        <v>_13.Packs de glace</v>
      </c>
      <c r="D14" s="71"/>
      <c r="E14" s="71"/>
      <c r="F14" s="3" t="str">
        <f t="shared" si="0"/>
        <v>_13.Packsdeglace</v>
      </c>
    </row>
    <row r="15" spans="1:6" x14ac:dyDescent="0.35">
      <c r="A15" s="67">
        <f t="shared" si="1"/>
        <v>14</v>
      </c>
      <c r="B15" s="3" t="s">
        <v>308</v>
      </c>
      <c r="C15" s="63" t="str">
        <f t="shared" si="2"/>
        <v>_14.Pièces de rechange pour équipements ILR sans congélateur</v>
      </c>
      <c r="D15" s="3"/>
      <c r="E15" s="3"/>
      <c r="F15" s="3" t="str">
        <f t="shared" si="0"/>
        <v>_14.PiècesderechangepouréquipementsILRsanscongélateur</v>
      </c>
    </row>
    <row r="16" spans="1:6" x14ac:dyDescent="0.35">
      <c r="A16" s="67">
        <f t="shared" si="1"/>
        <v>15</v>
      </c>
      <c r="B16" s="3" t="s">
        <v>309</v>
      </c>
      <c r="C16" s="63" t="str">
        <f t="shared" si="2"/>
        <v>_15.Pièces de rechange pour équipements ILR avec congélateur</v>
      </c>
      <c r="D16" s="3"/>
      <c r="E16" s="3"/>
      <c r="F16" s="3" t="str">
        <f t="shared" si="0"/>
        <v>_15.PiècesderechangepouréquipementsILRaveccongélateur</v>
      </c>
    </row>
    <row r="17" spans="1:6" x14ac:dyDescent="0.35">
      <c r="A17" s="67">
        <f t="shared" si="1"/>
        <v>16</v>
      </c>
      <c r="B17" t="s">
        <v>310</v>
      </c>
      <c r="C17" s="63" t="str">
        <f t="shared" si="2"/>
        <v>_16.Pièces de rechange pour équipements de congélation</v>
      </c>
      <c r="F17" s="3" t="str">
        <f t="shared" si="0"/>
        <v>_16.Piècesderechangepouréquipementsdecongélation</v>
      </c>
    </row>
    <row r="18" spans="1:6" x14ac:dyDescent="0.35">
      <c r="A18" s="67">
        <f t="shared" si="1"/>
        <v>17</v>
      </c>
      <c r="B18" t="s">
        <v>311</v>
      </c>
      <c r="C18" s="63" t="str">
        <f t="shared" si="2"/>
        <v>_17.Pièces de rechange Réfrigérateurs hors réseau SDD_sans congélateur</v>
      </c>
      <c r="F18" s="3" t="str">
        <f t="shared" si="0"/>
        <v>_17.PiècesderechangeRéfrigérateurshorsréseauSDD_sanscongélateur</v>
      </c>
    </row>
    <row r="19" spans="1:6" x14ac:dyDescent="0.35">
      <c r="A19" s="67">
        <f t="shared" si="1"/>
        <v>18</v>
      </c>
      <c r="B19" t="s">
        <v>312</v>
      </c>
      <c r="C19" s="63" t="str">
        <f t="shared" si="2"/>
        <v>_18.Pièces de rechange pour SDD sans compartiment congélateur</v>
      </c>
      <c r="F19" s="3" t="str">
        <f t="shared" si="0"/>
        <v>_18.PiècesderechangepourSDDsanscompartimentcongélateur</v>
      </c>
    </row>
    <row r="20" spans="1:6" x14ac:dyDescent="0.35">
      <c r="A20" s="67">
        <f t="shared" si="1"/>
        <v>19</v>
      </c>
      <c r="B20" t="s">
        <v>313</v>
      </c>
      <c r="C20" s="63" t="str">
        <f t="shared" si="2"/>
        <v>_19.Pièces de rechange pour SDD avec congélateur</v>
      </c>
      <c r="F20" s="3" t="str">
        <f t="shared" si="0"/>
        <v>_19.PiècesderechangepourSDDaveccongélateur</v>
      </c>
    </row>
    <row r="21" spans="1:6" x14ac:dyDescent="0.35">
      <c r="A21" s="67">
        <f t="shared" si="1"/>
        <v>20</v>
      </c>
      <c r="B21" t="s">
        <v>327</v>
      </c>
      <c r="C21" s="63" t="str">
        <f t="shared" si="2"/>
        <v>_20.Renouvellements annuels dabonnement de données pour les RTMD existants</v>
      </c>
      <c r="F21" s="3" t="str">
        <f t="shared" si="0"/>
        <v>_20.RenouvellementsannuelsdabonnementdedonnéespourlesRTMDexistants</v>
      </c>
    </row>
    <row r="22" spans="1:6" x14ac:dyDescent="0.35">
      <c r="A22" s="67">
        <f t="shared" si="1"/>
        <v>21</v>
      </c>
      <c r="B22" t="s">
        <v>314</v>
      </c>
      <c r="C22" s="63" t="str">
        <f t="shared" si="2"/>
        <v>_21.Formation en personne</v>
      </c>
      <c r="F22" s="3" t="str">
        <f t="shared" si="0"/>
        <v>_21.Formationenpersonne</v>
      </c>
    </row>
    <row r="23" spans="1:6" x14ac:dyDescent="0.35">
      <c r="A23" s="67">
        <v>22</v>
      </c>
      <c r="B23" t="s">
        <v>323</v>
      </c>
      <c r="C23" s="63" t="str">
        <f t="shared" ref="C23:C24" si="3">"_"&amp;A23&amp;"."&amp;B23</f>
        <v>_22.Formation à distance</v>
      </c>
      <c r="F23" s="3" t="str">
        <f t="shared" ref="F23:F24" si="4">SUBSTITUTE(C23," ","")</f>
        <v>_22.Formationàdistance</v>
      </c>
    </row>
    <row r="24" spans="1:6" x14ac:dyDescent="0.35">
      <c r="A24" s="67">
        <f t="shared" si="1"/>
        <v>23</v>
      </c>
      <c r="B24" t="s">
        <v>541</v>
      </c>
      <c r="C24" s="63" t="str">
        <f t="shared" si="3"/>
        <v>_23.Stockage de Vaccins Transportable et Motorisé_TPVS</v>
      </c>
      <c r="F24" s="3" t="str">
        <f t="shared" si="4"/>
        <v>_23.StockagedeVaccinsTransportableetMotorisé_TPVS</v>
      </c>
    </row>
    <row r="25" spans="1:6" x14ac:dyDescent="0.35">
      <c r="A25" s="67"/>
      <c r="C25" s="63"/>
      <c r="F25" s="3"/>
    </row>
    <row r="26" spans="1:6" x14ac:dyDescent="0.35">
      <c r="A26" s="67"/>
      <c r="C26" s="63"/>
      <c r="F26" s="3"/>
    </row>
    <row r="27" spans="1:6" x14ac:dyDescent="0.35">
      <c r="B27" t="s">
        <v>107</v>
      </c>
    </row>
    <row r="28" spans="1:6" x14ac:dyDescent="0.35">
      <c r="B28" t="s">
        <v>108</v>
      </c>
      <c r="F28" t="s">
        <v>542</v>
      </c>
    </row>
    <row r="29" spans="1:6" x14ac:dyDescent="0.35">
      <c r="C29" s="85">
        <v>0.2</v>
      </c>
    </row>
    <row r="30" spans="1:6" x14ac:dyDescent="0.35">
      <c r="C30" s="85">
        <v>0.5</v>
      </c>
    </row>
    <row r="32" spans="1:6" x14ac:dyDescent="0.35">
      <c r="B32" t="s">
        <v>109</v>
      </c>
      <c r="C32" s="86" t="s">
        <v>146</v>
      </c>
    </row>
    <row r="33" spans="2:3" x14ac:dyDescent="0.35">
      <c r="B33" t="s">
        <v>110</v>
      </c>
      <c r="C33">
        <v>2020</v>
      </c>
    </row>
    <row r="34" spans="2:3" x14ac:dyDescent="0.35">
      <c r="C34">
        <f>C33+1</f>
        <v>2021</v>
      </c>
    </row>
    <row r="35" spans="2:3" x14ac:dyDescent="0.35">
      <c r="C35">
        <f t="shared" ref="C35:C43" si="5">C34+1</f>
        <v>2022</v>
      </c>
    </row>
    <row r="36" spans="2:3" x14ac:dyDescent="0.35">
      <c r="B36" t="s">
        <v>111</v>
      </c>
      <c r="C36">
        <f t="shared" si="5"/>
        <v>2023</v>
      </c>
    </row>
    <row r="37" spans="2:3" x14ac:dyDescent="0.35">
      <c r="B37" t="s">
        <v>112</v>
      </c>
      <c r="C37">
        <f t="shared" si="5"/>
        <v>2024</v>
      </c>
    </row>
    <row r="38" spans="2:3" x14ac:dyDescent="0.35">
      <c r="B38" t="s">
        <v>113</v>
      </c>
      <c r="C38">
        <f t="shared" si="5"/>
        <v>2025</v>
      </c>
    </row>
    <row r="39" spans="2:3" x14ac:dyDescent="0.35">
      <c r="B39" t="s">
        <v>114</v>
      </c>
      <c r="C39">
        <f t="shared" si="5"/>
        <v>2026</v>
      </c>
    </row>
    <row r="40" spans="2:3" x14ac:dyDescent="0.35">
      <c r="C40">
        <f t="shared" si="5"/>
        <v>2027</v>
      </c>
    </row>
    <row r="41" spans="2:3" x14ac:dyDescent="0.35">
      <c r="C41">
        <f t="shared" si="5"/>
        <v>2028</v>
      </c>
    </row>
    <row r="42" spans="2:3" x14ac:dyDescent="0.35">
      <c r="C42">
        <f>C41+1</f>
        <v>2029</v>
      </c>
    </row>
    <row r="43" spans="2:3" x14ac:dyDescent="0.35">
      <c r="C43">
        <f t="shared" si="5"/>
        <v>2030</v>
      </c>
    </row>
  </sheetData>
  <sheetProtection algorithmName="SHA-512" hashValue="jdrmTfIq8frvjw8uuYJA/O51Xj5+gdBj+7zoH760S+pKtEKcSNHYeOJ57s6WsigtlEjUYKT2dRm3QOAVzGpAmg==" saltValue="r1FzmLNVciH8/T70TzWFrQ==" spinCount="100000" sheet="1" objects="1" scenarios="1"/>
  <pageMargins left="0.7" right="0.7" top="0.75" bottom="0.75" header="0.3" footer="0.3"/>
  <pageSetup orientation="portrait" horizontalDpi="90" verticalDpi="90" r:id="rId1"/>
  <ignoredErrors>
    <ignoredError sqref="A3:A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734C-2004-4534-9DC3-8E2956D81796}">
  <sheetPr>
    <tabColor theme="5"/>
  </sheetPr>
  <dimension ref="A2:AI28"/>
  <sheetViews>
    <sheetView topLeftCell="A11" zoomScale="70" zoomScaleNormal="70" workbookViewId="0">
      <selection activeCell="C29" sqref="C29"/>
    </sheetView>
  </sheetViews>
  <sheetFormatPr defaultColWidth="8.81640625" defaultRowHeight="14.5" x14ac:dyDescent="0.35"/>
  <cols>
    <col min="10" max="10" width="18.453125" customWidth="1"/>
    <col min="14" max="14" width="11.6328125" customWidth="1"/>
  </cols>
  <sheetData>
    <row r="2" spans="1:35" s="2" customFormat="1" ht="86.5" customHeight="1" x14ac:dyDescent="0.35">
      <c r="A2" s="76" t="s">
        <v>315</v>
      </c>
      <c r="B2" s="76" t="s">
        <v>316</v>
      </c>
      <c r="C2" s="76" t="s">
        <v>317</v>
      </c>
      <c r="D2" s="76" t="s">
        <v>318</v>
      </c>
      <c r="E2" s="76" t="s">
        <v>319</v>
      </c>
      <c r="F2" s="76" t="s">
        <v>320</v>
      </c>
      <c r="G2" s="76" t="s">
        <v>321</v>
      </c>
      <c r="H2" s="76" t="s">
        <v>322</v>
      </c>
      <c r="I2" s="76" t="s">
        <v>420</v>
      </c>
      <c r="J2" s="76" t="s">
        <v>421</v>
      </c>
      <c r="K2" s="76" t="s">
        <v>422</v>
      </c>
      <c r="L2" s="76" t="s">
        <v>423</v>
      </c>
      <c r="M2" s="76" t="s">
        <v>424</v>
      </c>
      <c r="N2" s="76" t="s">
        <v>425</v>
      </c>
      <c r="O2" s="76" t="s">
        <v>426</v>
      </c>
      <c r="P2" s="76" t="s">
        <v>427</v>
      </c>
      <c r="Q2" s="76" t="s">
        <v>428</v>
      </c>
      <c r="R2" s="76" t="s">
        <v>429</v>
      </c>
      <c r="S2" s="76" t="s">
        <v>430</v>
      </c>
      <c r="T2" s="76" t="s">
        <v>431</v>
      </c>
      <c r="U2" s="76" t="s">
        <v>432</v>
      </c>
      <c r="V2" s="76" t="s">
        <v>433</v>
      </c>
      <c r="W2" s="76" t="s">
        <v>543</v>
      </c>
    </row>
    <row r="3" spans="1:35" x14ac:dyDescent="0.35">
      <c r="A3" s="74" t="s">
        <v>148</v>
      </c>
      <c r="B3" s="74" t="s">
        <v>148</v>
      </c>
      <c r="C3" s="74" t="s">
        <v>144</v>
      </c>
      <c r="D3" s="74" t="s">
        <v>148</v>
      </c>
      <c r="E3" s="74" t="s">
        <v>148</v>
      </c>
      <c r="F3" s="74" t="s">
        <v>148</v>
      </c>
      <c r="G3" s="74" t="s">
        <v>9</v>
      </c>
      <c r="H3" s="74" t="s">
        <v>116</v>
      </c>
      <c r="I3" s="74" t="s">
        <v>435</v>
      </c>
      <c r="J3" s="74" t="s">
        <v>242</v>
      </c>
      <c r="K3" s="74" t="s">
        <v>201</v>
      </c>
      <c r="L3" s="74" t="s">
        <v>9</v>
      </c>
      <c r="M3" s="74" t="s">
        <v>9</v>
      </c>
      <c r="N3" s="74" t="s">
        <v>9</v>
      </c>
      <c r="O3" s="74" t="s">
        <v>9</v>
      </c>
      <c r="P3" s="74" t="s">
        <v>9</v>
      </c>
      <c r="Q3" s="74" t="s">
        <v>9</v>
      </c>
      <c r="R3" s="74" t="s">
        <v>9</v>
      </c>
      <c r="S3" s="74" t="s">
        <v>9</v>
      </c>
      <c r="T3" s="74" t="s">
        <v>9</v>
      </c>
      <c r="U3" s="74" t="s">
        <v>9</v>
      </c>
      <c r="V3" s="74" t="s">
        <v>9</v>
      </c>
      <c r="W3" s="74" t="s">
        <v>242</v>
      </c>
    </row>
    <row r="4" spans="1:35" x14ac:dyDescent="0.35">
      <c r="A4" s="74" t="s">
        <v>144</v>
      </c>
      <c r="B4" s="74" t="s">
        <v>144</v>
      </c>
      <c r="C4" s="74" t="s">
        <v>200</v>
      </c>
      <c r="D4" s="74" t="s">
        <v>144</v>
      </c>
      <c r="E4" s="74" t="s">
        <v>144</v>
      </c>
      <c r="F4" s="74" t="s">
        <v>144</v>
      </c>
      <c r="G4" s="74"/>
      <c r="H4" s="74" t="s">
        <v>117</v>
      </c>
      <c r="I4" s="74"/>
      <c r="J4" s="74"/>
      <c r="K4" t="s">
        <v>513</v>
      </c>
      <c r="L4" s="74"/>
      <c r="M4" s="74"/>
      <c r="N4" s="74"/>
      <c r="O4" s="74"/>
      <c r="P4" s="74"/>
      <c r="Q4" s="74"/>
      <c r="R4" s="74"/>
      <c r="S4" s="74"/>
      <c r="T4" s="74"/>
      <c r="U4" s="74"/>
      <c r="V4" s="74"/>
      <c r="W4" s="74"/>
    </row>
    <row r="5" spans="1:35" x14ac:dyDescent="0.35">
      <c r="A5" s="74" t="s">
        <v>200</v>
      </c>
      <c r="B5" s="74"/>
      <c r="C5" s="74"/>
      <c r="D5" s="74" t="s">
        <v>200</v>
      </c>
      <c r="E5" s="74" t="s">
        <v>200</v>
      </c>
      <c r="F5" s="74" t="s">
        <v>200</v>
      </c>
      <c r="G5" s="74"/>
      <c r="H5" s="74"/>
      <c r="I5" s="74"/>
      <c r="J5" s="74"/>
      <c r="K5" s="74"/>
      <c r="L5" s="74"/>
      <c r="M5" s="74"/>
      <c r="N5" s="74"/>
      <c r="O5" s="74"/>
      <c r="P5" s="74"/>
      <c r="Q5" s="74"/>
      <c r="R5" s="74"/>
      <c r="S5" s="74"/>
      <c r="T5" s="74"/>
      <c r="U5" s="74"/>
      <c r="V5" s="74"/>
      <c r="W5" s="74"/>
    </row>
    <row r="6" spans="1:35" x14ac:dyDescent="0.35">
      <c r="A6" s="74"/>
      <c r="B6" s="74"/>
      <c r="C6" s="74"/>
      <c r="D6" s="74"/>
      <c r="E6" s="74"/>
      <c r="F6" s="74"/>
      <c r="G6" s="74"/>
      <c r="H6" s="74"/>
      <c r="I6" s="74"/>
      <c r="J6" s="74"/>
      <c r="K6" s="74"/>
      <c r="L6" s="74"/>
      <c r="M6" s="74"/>
      <c r="N6" s="74"/>
      <c r="O6" s="74"/>
      <c r="P6" s="74"/>
      <c r="Q6" s="74"/>
      <c r="R6" s="74"/>
      <c r="S6" s="74"/>
      <c r="T6" s="74"/>
      <c r="U6" s="74"/>
      <c r="V6" s="74"/>
      <c r="W6" s="74"/>
    </row>
    <row r="7" spans="1:35" x14ac:dyDescent="0.35">
      <c r="D7" s="74"/>
    </row>
    <row r="10" spans="1:35" s="7" customFormat="1" ht="132" customHeight="1" x14ac:dyDescent="0.35">
      <c r="A10" s="76" t="str">
        <f>$A$2&amp;SUBSTITUTE(A3," ","")</f>
        <v>_1.RéfrigérateurILRàgaineréfrigérantesurréseau_sanscomp.congélateur0-&lt;60L</v>
      </c>
      <c r="B10" s="76" t="str">
        <f>$A$2&amp;SUBSTITUTE(A4," ","")</f>
        <v>_1.RéfrigérateurILRàgaineréfrigérantesurréseau_sanscomp.congélateur60-&lt;120L</v>
      </c>
      <c r="C10" s="76" t="str">
        <f>$A$2&amp;SUBSTITUTE(A5," ","")</f>
        <v>_1.RéfrigérateurILRàgaineréfrigérantesurréseau_sanscomp.congélateur&gt;-120L</v>
      </c>
      <c r="D10" s="76" t="str">
        <f>$B$2&amp;SUBSTITUTE(B3," ","")</f>
        <v>_2.ILRsurréseau_aveccomp.congélateur0-&lt;60L</v>
      </c>
      <c r="E10" s="76" t="str">
        <f>$B$2&amp;SUBSTITUTE(B4," ","")</f>
        <v>_2.ILRsurréseau_aveccomp.congélateur60-&lt;120L</v>
      </c>
      <c r="F10" s="76" t="str">
        <f>$C$2&amp;SUBSTITUTE(C3," ","")</f>
        <v>_3.Congélateurssurréseau60-&lt;120L</v>
      </c>
      <c r="G10" s="76" t="str">
        <f>$C$2&amp;SUBSTITUTE(C4," ","")</f>
        <v>_3.Congélateurssurréseau&gt;-120L</v>
      </c>
      <c r="H10" s="76" t="str">
        <f>$D$2&amp;SUBSTITUTE(D3," ","")</f>
        <v>_4.RéfrigérateurshorsréseauSDD_sanscomp.congélateur0-&lt;60L</v>
      </c>
      <c r="I10" s="76" t="str">
        <f>$D$2&amp;SUBSTITUTE(D4," ","")</f>
        <v>_4.RéfrigérateurshorsréseauSDD_sanscomp.congélateur60-&lt;120L</v>
      </c>
      <c r="J10" s="76" t="str">
        <f>$D$2&amp;SUBSTITUTE(D5," ","")</f>
        <v>_4.RéfrigérateurshorsréseauSDD_sanscomp.congélateur&gt;-120L</v>
      </c>
      <c r="K10" s="76" t="str">
        <f>$E$2&amp;SUBSTITUTE(E3," ","")</f>
        <v>_5.RéfrigérateurshorsréseauSDD_aveccomp.congélateur0-&lt;60L</v>
      </c>
      <c r="L10" s="76" t="str">
        <f>$E$2&amp;SUBSTITUTE(E4," ","")</f>
        <v>_5.RéfrigérateurshorsréseauSDD_aveccomp.congélateur60-&lt;120L</v>
      </c>
      <c r="M10" s="76" t="str">
        <f>$E$2&amp;SUBSTITUTE(E5," ","")</f>
        <v>_5.RéfrigérateurshorsréseauSDD_aveccomp.congélateur&gt;-120L</v>
      </c>
      <c r="N10" s="76" t="str">
        <f>$F$2&amp;SUBSTITUTE(F3," ","")</f>
        <v>_6.CongélateurhorsréseauSDD0-&lt;60L</v>
      </c>
      <c r="O10" s="76" t="str">
        <f>$F$2&amp;SUBSTITUTE(F4," ","")</f>
        <v>_6.CongélateurhorsréseauSDD60-&lt;120L</v>
      </c>
      <c r="P10" s="76" t="str">
        <f>$F$2&amp;SUBSTITUTE(F5," ","")</f>
        <v>_6.CongélateurhorsréseauSDD&gt;-120L</v>
      </c>
      <c r="Q10" s="76" t="str">
        <f>$G$2&amp;SUBSTITUTE(G3," ","")</f>
        <v>_7.Outildemonitoragedelatempératurepouraumoins30joursNA</v>
      </c>
      <c r="R10" s="76" t="str">
        <f>$H$2&amp;SUBSTITUTE(H3," ","")</f>
        <v>_8.OutildemonitoragecontinudelatempératureàtempsréelWICR</v>
      </c>
      <c r="S10" s="76" t="str">
        <f>$H$2&amp;SUBSTITUTE(H4," ","")</f>
        <v>_8.OutildemonitoragecontinudelatempératureàtempsréelRefrigerator</v>
      </c>
      <c r="T10" s="76" t="str">
        <f>$I$2&amp;SUBSTITUTE(I4," ","")</f>
        <v>_9.Dispositifspassifsàlongterme</v>
      </c>
      <c r="U10" s="76" t="str">
        <f>$J$2&amp;SUBSTITUTE(J3," ","")</f>
        <v>_10.Portevaccinnouvellegénérationquin’exposepaslesvaccinsaugel_GradeA0-&lt;5L</v>
      </c>
      <c r="V10" s="76" t="str">
        <f>$K$2&amp;SUBSTITUTE(K3," ","")</f>
        <v>_11.Glacièrenouvellegénérationquin’exposepaslesvaccinsaugel_GradeA&gt;-15L</v>
      </c>
      <c r="W10" s="76" t="str">
        <f>$K$2&amp;SUBSTITUTE(K4," ","")</f>
        <v>_11.Glacièrenouvellegénérationquin’exposepaslesvaccinsaugel_GradeA&lt;15</v>
      </c>
      <c r="X10" s="76" t="str">
        <f>$L$2&amp;SUBSTITUTE(L3," ","")</f>
        <v>_12.RégulateursdetensionpouréquipementNA</v>
      </c>
      <c r="Y10" s="76" t="str">
        <f>$M$2&amp;SUBSTITUTE(M3," ","")</f>
        <v>_13.PacksdeglaceNA</v>
      </c>
      <c r="Z10" s="76" t="str">
        <f>$N$2&amp;SUBSTITUTE(N3," ","")</f>
        <v>_14.PiècesderechangepouréquipementsILRsanscongélateurNA</v>
      </c>
      <c r="AA10" s="76" t="str">
        <f>$O$2&amp;SUBSTITUTE(O3," ","")</f>
        <v>_15.PiècesderechangepouréquipementsILRaveccongélateurNA</v>
      </c>
      <c r="AB10" s="76" t="str">
        <f>$P$2&amp;SUBSTITUTE(P3," ","")</f>
        <v>_16.PiècesderechangepouréquipementsdecongélationNA</v>
      </c>
      <c r="AC10" s="76" t="str">
        <f>$Q$2&amp;SUBSTITUTE(Q3," ","")</f>
        <v>_17.PiècesderechangeRéfrigérateurshorsréseauSDD_sanscongélateurNA</v>
      </c>
      <c r="AD10" s="76" t="str">
        <f>$R$2&amp;SUBSTITUTE(R3," ","")</f>
        <v>_18.PiècesderechangepourSDDsanscompartimentcongélateurNA</v>
      </c>
      <c r="AE10" s="76" t="str">
        <f>$S$2&amp;SUBSTITUTE(S3," ","")</f>
        <v>_19.PiècesderechangepourSDDaveccongélateurNA</v>
      </c>
      <c r="AF10" s="76" t="str">
        <f>$T$2&amp;SUBSTITUTE(T3," ","")</f>
        <v>_20.RenouvellementsannuelsdabonnementdedonnéespourlesRTMDexistantsNA</v>
      </c>
      <c r="AG10" s="76" t="str">
        <f>$U$2&amp;SUBSTITUTE(U3," ","")</f>
        <v>_21.FormationenpersonneNA</v>
      </c>
      <c r="AH10" s="76" t="str">
        <f>$V$2&amp;SUBSTITUTE(V3," ","")</f>
        <v>_22.FormationàdistanceNA</v>
      </c>
      <c r="AI10" s="76" t="str">
        <f>$W$2&amp;SUBSTITUTE(W3," ","")</f>
        <v>_23.StockagedeVaccinsTransportableetMotorisé_TPVS0-&lt;5L</v>
      </c>
    </row>
    <row r="11" spans="1:35" ht="159.5" x14ac:dyDescent="0.35">
      <c r="A11" s="75" t="s">
        <v>14</v>
      </c>
      <c r="B11" s="75" t="s">
        <v>21</v>
      </c>
      <c r="C11" s="75" t="s">
        <v>467</v>
      </c>
      <c r="D11" s="75" t="s">
        <v>34</v>
      </c>
      <c r="E11" s="75" t="s">
        <v>471</v>
      </c>
      <c r="F11" s="75" t="s">
        <v>37</v>
      </c>
      <c r="G11" s="75" t="s">
        <v>39</v>
      </c>
      <c r="H11" s="75" t="s">
        <v>41</v>
      </c>
      <c r="I11" s="75" t="s">
        <v>47</v>
      </c>
      <c r="J11" s="75" t="s">
        <v>51</v>
      </c>
      <c r="K11" s="75" t="s">
        <v>55</v>
      </c>
      <c r="L11" s="75" t="s">
        <v>60</v>
      </c>
      <c r="M11" s="75" t="s">
        <v>487</v>
      </c>
      <c r="N11" s="75" t="s">
        <v>62</v>
      </c>
      <c r="O11" s="75" t="s">
        <v>64</v>
      </c>
      <c r="P11" s="75"/>
      <c r="Q11" s="75" t="s">
        <v>66</v>
      </c>
      <c r="R11" s="75" t="s">
        <v>98</v>
      </c>
      <c r="S11" s="75" t="s">
        <v>103</v>
      </c>
      <c r="T11" s="75" t="s">
        <v>434</v>
      </c>
      <c r="U11" s="75" t="s">
        <v>71</v>
      </c>
      <c r="V11" s="75" t="s">
        <v>509</v>
      </c>
      <c r="W11" s="75" t="s">
        <v>75</v>
      </c>
      <c r="X11" s="75" t="s">
        <v>228</v>
      </c>
      <c r="Y11" s="106" t="s">
        <v>84</v>
      </c>
      <c r="Z11" s="75" t="s">
        <v>204</v>
      </c>
      <c r="AA11" s="75" t="s">
        <v>219</v>
      </c>
      <c r="AB11" s="75" t="s">
        <v>222</v>
      </c>
      <c r="AC11" s="75" t="s">
        <v>118</v>
      </c>
      <c r="AD11" s="75" t="s">
        <v>518</v>
      </c>
      <c r="AE11" s="106" t="s">
        <v>138</v>
      </c>
      <c r="AF11" s="106" t="s">
        <v>235</v>
      </c>
      <c r="AG11" s="75" t="s">
        <v>229</v>
      </c>
      <c r="AH11" s="75" t="s">
        <v>233</v>
      </c>
      <c r="AI11" s="75" t="s">
        <v>534</v>
      </c>
    </row>
    <row r="12" spans="1:35" ht="174" x14ac:dyDescent="0.35">
      <c r="A12" s="75" t="s">
        <v>17</v>
      </c>
      <c r="B12" s="75" t="s">
        <v>150</v>
      </c>
      <c r="C12" s="75" t="s">
        <v>468</v>
      </c>
      <c r="D12" s="75" t="s">
        <v>176</v>
      </c>
      <c r="E12" s="75"/>
      <c r="F12" s="75" t="s">
        <v>472</v>
      </c>
      <c r="G12" s="75" t="s">
        <v>475</v>
      </c>
      <c r="H12" s="75" t="s">
        <v>42</v>
      </c>
      <c r="I12" s="75" t="s">
        <v>166</v>
      </c>
      <c r="J12" s="75" t="s">
        <v>170</v>
      </c>
      <c r="K12" s="75" t="s">
        <v>56</v>
      </c>
      <c r="L12" s="75" t="s">
        <v>520</v>
      </c>
      <c r="M12" s="75"/>
      <c r="N12" s="75" t="s">
        <v>63</v>
      </c>
      <c r="O12" s="75"/>
      <c r="P12" s="75"/>
      <c r="Q12" s="75" t="s">
        <v>503</v>
      </c>
      <c r="R12" s="75" t="s">
        <v>99</v>
      </c>
      <c r="S12" s="75" t="s">
        <v>522</v>
      </c>
      <c r="T12" s="75"/>
      <c r="U12" s="75" t="s">
        <v>506</v>
      </c>
      <c r="V12" s="75"/>
      <c r="W12" s="75"/>
      <c r="X12" s="75" t="s">
        <v>227</v>
      </c>
      <c r="Y12" s="106" t="s">
        <v>85</v>
      </c>
      <c r="Z12" s="75" t="s">
        <v>488</v>
      </c>
      <c r="AA12" s="75" t="s">
        <v>220</v>
      </c>
      <c r="AB12" s="75" t="s">
        <v>223</v>
      </c>
      <c r="AC12" s="75" t="s">
        <v>119</v>
      </c>
      <c r="AD12" s="75" t="s">
        <v>519</v>
      </c>
      <c r="AE12" s="106" t="s">
        <v>137</v>
      </c>
      <c r="AF12" s="106" t="s">
        <v>234</v>
      </c>
      <c r="AG12" s="106" t="s">
        <v>230</v>
      </c>
      <c r="AH12" s="75" t="s">
        <v>243</v>
      </c>
      <c r="AI12" s="75" t="s">
        <v>536</v>
      </c>
    </row>
    <row r="13" spans="1:35" ht="159.5" x14ac:dyDescent="0.35">
      <c r="A13" s="75" t="s">
        <v>464</v>
      </c>
      <c r="B13" s="75" t="s">
        <v>23</v>
      </c>
      <c r="C13" s="75" t="s">
        <v>30</v>
      </c>
      <c r="D13" s="75" t="s">
        <v>35</v>
      </c>
      <c r="E13" s="75"/>
      <c r="F13" s="75" t="s">
        <v>38</v>
      </c>
      <c r="G13" s="75" t="s">
        <v>40</v>
      </c>
      <c r="H13" s="75" t="s">
        <v>489</v>
      </c>
      <c r="I13" s="75" t="s">
        <v>48</v>
      </c>
      <c r="J13" s="75" t="s">
        <v>52</v>
      </c>
      <c r="K13" s="75" t="s">
        <v>173</v>
      </c>
      <c r="L13" s="75" t="s">
        <v>521</v>
      </c>
      <c r="M13" s="75"/>
      <c r="N13" s="103"/>
      <c r="O13" s="75"/>
      <c r="P13" s="75"/>
      <c r="Q13" s="75" t="s">
        <v>504</v>
      </c>
      <c r="R13" s="75" t="s">
        <v>100</v>
      </c>
      <c r="S13" s="75" t="s">
        <v>104</v>
      </c>
      <c r="T13" s="75"/>
      <c r="U13" s="75" t="s">
        <v>72</v>
      </c>
      <c r="V13" s="75"/>
      <c r="W13" s="75"/>
      <c r="X13" s="103"/>
      <c r="Y13" s="106" t="s">
        <v>86</v>
      </c>
      <c r="Z13" s="75" t="s">
        <v>205</v>
      </c>
      <c r="AA13" s="75" t="s">
        <v>221</v>
      </c>
      <c r="AB13" s="75" t="s">
        <v>490</v>
      </c>
      <c r="AC13" s="75" t="s">
        <v>120</v>
      </c>
      <c r="AD13" s="75" t="s">
        <v>131</v>
      </c>
      <c r="AE13" s="75" t="s">
        <v>139</v>
      </c>
      <c r="AF13" s="106" t="s">
        <v>237</v>
      </c>
      <c r="AG13" s="75" t="s">
        <v>232</v>
      </c>
      <c r="AH13" s="103"/>
      <c r="AI13" s="103" t="s">
        <v>538</v>
      </c>
    </row>
    <row r="14" spans="1:35" ht="130.5" x14ac:dyDescent="0.35">
      <c r="A14" s="75" t="s">
        <v>145</v>
      </c>
      <c r="B14" s="75" t="s">
        <v>465</v>
      </c>
      <c r="C14" s="75" t="s">
        <v>154</v>
      </c>
      <c r="D14" s="75" t="s">
        <v>470</v>
      </c>
      <c r="E14" s="75"/>
      <c r="F14" s="75" t="s">
        <v>160</v>
      </c>
      <c r="G14" s="75" t="s">
        <v>161</v>
      </c>
      <c r="H14" s="75" t="s">
        <v>43</v>
      </c>
      <c r="I14" s="75" t="s">
        <v>169</v>
      </c>
      <c r="J14" s="75" t="s">
        <v>171</v>
      </c>
      <c r="K14" s="75" t="s">
        <v>57</v>
      </c>
      <c r="L14" s="75" t="s">
        <v>61</v>
      </c>
      <c r="M14" s="75"/>
      <c r="N14" s="75"/>
      <c r="O14" s="75"/>
      <c r="P14" s="75"/>
      <c r="Q14" s="103" t="s">
        <v>505</v>
      </c>
      <c r="R14" s="103" t="s">
        <v>101</v>
      </c>
      <c r="S14" s="75" t="s">
        <v>105</v>
      </c>
      <c r="T14" s="75"/>
      <c r="U14" s="75" t="s">
        <v>507</v>
      </c>
      <c r="V14" s="75"/>
      <c r="W14" s="75"/>
      <c r="X14" s="75"/>
      <c r="Y14" s="106" t="s">
        <v>87</v>
      </c>
      <c r="Z14" s="75" t="s">
        <v>206</v>
      </c>
      <c r="AA14" s="75" t="s">
        <v>491</v>
      </c>
      <c r="AB14" s="75" t="s">
        <v>224</v>
      </c>
      <c r="AC14" s="75"/>
      <c r="AD14" s="75" t="s">
        <v>132</v>
      </c>
      <c r="AE14" s="75"/>
      <c r="AF14" s="106" t="s">
        <v>244</v>
      </c>
      <c r="AG14" s="103"/>
      <c r="AH14" s="103"/>
      <c r="AI14" s="103"/>
    </row>
    <row r="15" spans="1:35" ht="130.5" x14ac:dyDescent="0.35">
      <c r="A15" s="75" t="s">
        <v>149</v>
      </c>
      <c r="B15" s="75" t="s">
        <v>24</v>
      </c>
      <c r="C15" s="75" t="s">
        <v>31</v>
      </c>
      <c r="D15" s="75" t="s">
        <v>36</v>
      </c>
      <c r="E15" s="75"/>
      <c r="F15" s="75" t="s">
        <v>473</v>
      </c>
      <c r="G15" s="75" t="s">
        <v>476</v>
      </c>
      <c r="H15" s="75" t="s">
        <v>162</v>
      </c>
      <c r="I15" s="75" t="s">
        <v>49</v>
      </c>
      <c r="J15" s="75" t="s">
        <v>53</v>
      </c>
      <c r="K15" s="75" t="s">
        <v>174</v>
      </c>
      <c r="L15" s="75" t="s">
        <v>175</v>
      </c>
      <c r="M15" s="75"/>
      <c r="N15" s="75"/>
      <c r="O15" s="75"/>
      <c r="P15" s="75"/>
      <c r="Q15" s="75"/>
      <c r="R15" s="75" t="s">
        <v>102</v>
      </c>
      <c r="S15" s="75" t="s">
        <v>515</v>
      </c>
      <c r="T15" s="75"/>
      <c r="U15" s="75" t="s">
        <v>74</v>
      </c>
      <c r="V15" s="75"/>
      <c r="W15" s="75"/>
      <c r="X15" s="75"/>
      <c r="Y15" s="106" t="s">
        <v>510</v>
      </c>
      <c r="Z15" s="75" t="s">
        <v>207</v>
      </c>
      <c r="AA15" s="75"/>
      <c r="AB15" s="75" t="s">
        <v>225</v>
      </c>
      <c r="AC15" s="75" t="s">
        <v>121</v>
      </c>
      <c r="AD15" s="75" t="s">
        <v>133</v>
      </c>
      <c r="AE15" s="75"/>
      <c r="AF15" s="106" t="s">
        <v>236</v>
      </c>
      <c r="AG15" s="103"/>
      <c r="AH15" s="103"/>
      <c r="AI15" s="103"/>
    </row>
    <row r="16" spans="1:35" ht="130.5" x14ac:dyDescent="0.35">
      <c r="A16" s="75" t="s">
        <v>529</v>
      </c>
      <c r="B16" s="75" t="s">
        <v>25</v>
      </c>
      <c r="C16" s="75" t="s">
        <v>155</v>
      </c>
      <c r="D16" s="75" t="s">
        <v>159</v>
      </c>
      <c r="E16" s="75"/>
      <c r="F16" s="75" t="s">
        <v>474</v>
      </c>
      <c r="G16" s="75" t="s">
        <v>477</v>
      </c>
      <c r="H16" s="75" t="s">
        <v>44</v>
      </c>
      <c r="I16" s="75" t="s">
        <v>481</v>
      </c>
      <c r="J16" s="75" t="s">
        <v>167</v>
      </c>
      <c r="K16" s="75" t="s">
        <v>58</v>
      </c>
      <c r="L16" s="75" t="s">
        <v>485</v>
      </c>
      <c r="M16" s="75"/>
      <c r="N16" s="75"/>
      <c r="O16" s="75"/>
      <c r="P16" s="75"/>
      <c r="Q16" s="75"/>
      <c r="R16" s="75"/>
      <c r="S16" s="103" t="s">
        <v>524</v>
      </c>
      <c r="T16" s="75"/>
      <c r="U16" s="103" t="s">
        <v>417</v>
      </c>
      <c r="V16" s="75"/>
      <c r="W16" s="75"/>
      <c r="X16" s="75"/>
      <c r="Y16" s="106" t="s">
        <v>88</v>
      </c>
      <c r="Z16" s="75" t="s">
        <v>208</v>
      </c>
      <c r="AA16" s="75"/>
      <c r="AB16" s="75" t="s">
        <v>492</v>
      </c>
      <c r="AC16" s="75" t="s">
        <v>122</v>
      </c>
      <c r="AD16" s="75" t="s">
        <v>134</v>
      </c>
      <c r="AE16" s="75"/>
      <c r="AF16" s="106" t="s">
        <v>523</v>
      </c>
      <c r="AG16" s="103"/>
      <c r="AH16" s="103"/>
      <c r="AI16" s="103"/>
    </row>
    <row r="17" spans="1:35" ht="116" x14ac:dyDescent="0.35">
      <c r="A17" s="75" t="s">
        <v>530</v>
      </c>
      <c r="B17" s="75" t="s">
        <v>151</v>
      </c>
      <c r="C17" s="75" t="s">
        <v>32</v>
      </c>
      <c r="D17" s="75"/>
      <c r="E17" s="75"/>
      <c r="F17" s="75"/>
      <c r="G17" s="75" t="s">
        <v>39</v>
      </c>
      <c r="H17" s="75" t="s">
        <v>163</v>
      </c>
      <c r="I17" s="75" t="s">
        <v>50</v>
      </c>
      <c r="J17" s="75" t="s">
        <v>54</v>
      </c>
      <c r="K17" s="75" t="s">
        <v>172</v>
      </c>
      <c r="L17" s="75" t="s">
        <v>486</v>
      </c>
      <c r="M17" s="75"/>
      <c r="N17" s="75"/>
      <c r="O17" s="75"/>
      <c r="P17" s="75"/>
      <c r="Q17" s="75"/>
      <c r="R17" s="103"/>
      <c r="S17" s="75"/>
      <c r="T17" s="75"/>
      <c r="U17" s="103" t="s">
        <v>418</v>
      </c>
      <c r="V17" s="75"/>
      <c r="W17" s="75"/>
      <c r="X17" s="75"/>
      <c r="Y17" s="106" t="s">
        <v>89</v>
      </c>
      <c r="Z17" s="75" t="s">
        <v>209</v>
      </c>
      <c r="AA17" s="75"/>
      <c r="AB17" s="75" t="s">
        <v>493</v>
      </c>
      <c r="AC17" s="75" t="s">
        <v>123</v>
      </c>
      <c r="AD17" s="75" t="s">
        <v>135</v>
      </c>
      <c r="AE17" s="75"/>
      <c r="AF17" s="106" t="s">
        <v>239</v>
      </c>
      <c r="AG17" s="103"/>
      <c r="AH17" s="103"/>
      <c r="AI17" s="103"/>
    </row>
    <row r="18" spans="1:35" ht="130.5" x14ac:dyDescent="0.35">
      <c r="A18" s="103"/>
      <c r="B18" s="75" t="s">
        <v>152</v>
      </c>
      <c r="C18" s="75" t="s">
        <v>469</v>
      </c>
      <c r="D18" s="75"/>
      <c r="E18" s="75"/>
      <c r="F18" s="75"/>
      <c r="G18" s="75" t="s">
        <v>475</v>
      </c>
      <c r="H18" s="75" t="s">
        <v>45</v>
      </c>
      <c r="I18" s="75" t="s">
        <v>168</v>
      </c>
      <c r="J18" s="75"/>
      <c r="K18" s="75" t="s">
        <v>59</v>
      </c>
      <c r="L18" s="103"/>
      <c r="M18" s="103"/>
      <c r="N18" s="75"/>
      <c r="O18" s="75"/>
      <c r="P18" s="75"/>
      <c r="Q18" s="75"/>
      <c r="R18" s="75"/>
      <c r="S18" s="75"/>
      <c r="T18" s="75"/>
      <c r="U18" s="103"/>
      <c r="V18" s="75"/>
      <c r="W18" s="75"/>
      <c r="X18" s="75"/>
      <c r="Y18" s="106" t="s">
        <v>90</v>
      </c>
      <c r="Z18" s="75" t="s">
        <v>210</v>
      </c>
      <c r="AA18" s="75"/>
      <c r="AB18" s="75" t="s">
        <v>495</v>
      </c>
      <c r="AC18" s="75" t="s">
        <v>124</v>
      </c>
      <c r="AD18" s="75" t="s">
        <v>136</v>
      </c>
      <c r="AE18" s="75"/>
      <c r="AF18" s="106" t="s">
        <v>240</v>
      </c>
      <c r="AG18" s="103"/>
      <c r="AH18" s="103"/>
      <c r="AI18" s="103"/>
    </row>
    <row r="19" spans="1:35" ht="130.5" x14ac:dyDescent="0.35">
      <c r="A19" s="75"/>
      <c r="B19" s="75" t="s">
        <v>153</v>
      </c>
      <c r="C19" s="75" t="s">
        <v>33</v>
      </c>
      <c r="D19" s="75"/>
      <c r="E19" s="75"/>
      <c r="F19" s="75"/>
      <c r="G19" s="75" t="s">
        <v>478</v>
      </c>
      <c r="H19" s="75" t="s">
        <v>165</v>
      </c>
      <c r="I19" s="75" t="s">
        <v>147</v>
      </c>
      <c r="J19" s="75"/>
      <c r="K19" s="75" t="s">
        <v>482</v>
      </c>
      <c r="L19" s="75"/>
      <c r="M19" s="75"/>
      <c r="N19" s="75"/>
      <c r="O19" s="75"/>
      <c r="P19" s="75"/>
      <c r="Q19" s="75"/>
      <c r="R19" s="103"/>
      <c r="S19" s="75"/>
      <c r="T19" s="75"/>
      <c r="U19" s="103"/>
      <c r="V19" s="75"/>
      <c r="W19" s="75"/>
      <c r="X19" s="75"/>
      <c r="Y19" s="106" t="s">
        <v>91</v>
      </c>
      <c r="Z19" s="75" t="s">
        <v>211</v>
      </c>
      <c r="AA19" s="75"/>
      <c r="AB19" s="75"/>
      <c r="AC19" s="75" t="s">
        <v>125</v>
      </c>
      <c r="AD19" s="75" t="s">
        <v>494</v>
      </c>
      <c r="AE19" s="75"/>
      <c r="AF19" s="106" t="s">
        <v>241</v>
      </c>
      <c r="AG19" s="103"/>
      <c r="AH19" s="103"/>
      <c r="AI19" s="103"/>
    </row>
    <row r="20" spans="1:35" ht="116" x14ac:dyDescent="0.35">
      <c r="A20" s="75"/>
      <c r="B20" s="75" t="s">
        <v>26</v>
      </c>
      <c r="C20" s="75" t="s">
        <v>157</v>
      </c>
      <c r="D20" s="75"/>
      <c r="E20" s="75"/>
      <c r="F20" s="75"/>
      <c r="G20" s="75" t="s">
        <v>479</v>
      </c>
      <c r="H20" s="75" t="s">
        <v>46</v>
      </c>
      <c r="I20" s="75"/>
      <c r="J20" s="75"/>
      <c r="K20" s="75" t="s">
        <v>483</v>
      </c>
      <c r="L20" s="75"/>
      <c r="M20" s="75"/>
      <c r="N20" s="75"/>
      <c r="O20" s="75"/>
      <c r="P20" s="75"/>
      <c r="Q20" s="75"/>
      <c r="R20" s="103"/>
      <c r="S20" s="75"/>
      <c r="T20" s="75"/>
      <c r="U20" s="103"/>
      <c r="V20" s="75"/>
      <c r="W20" s="75"/>
      <c r="X20" s="75"/>
      <c r="Y20" s="106" t="s">
        <v>511</v>
      </c>
      <c r="Z20" s="75" t="s">
        <v>212</v>
      </c>
      <c r="AA20" s="75"/>
      <c r="AB20" s="75"/>
      <c r="AC20" s="75" t="s">
        <v>126</v>
      </c>
      <c r="AD20" s="75" t="s">
        <v>496</v>
      </c>
      <c r="AE20" s="75"/>
      <c r="AF20" s="106" t="s">
        <v>516</v>
      </c>
      <c r="AG20" s="103"/>
      <c r="AH20" s="103"/>
      <c r="AI20" s="103"/>
    </row>
    <row r="21" spans="1:35" ht="130.5" x14ac:dyDescent="0.35">
      <c r="A21" s="75"/>
      <c r="B21" s="75" t="s">
        <v>466</v>
      </c>
      <c r="C21" s="75" t="s">
        <v>158</v>
      </c>
      <c r="D21" s="75"/>
      <c r="E21" s="75"/>
      <c r="F21" s="75"/>
      <c r="G21" s="75"/>
      <c r="H21" s="75" t="s">
        <v>164</v>
      </c>
      <c r="I21" s="75"/>
      <c r="J21" s="75"/>
      <c r="K21" s="75" t="s">
        <v>484</v>
      </c>
      <c r="L21" s="75"/>
      <c r="M21" s="75"/>
      <c r="N21" s="75"/>
      <c r="O21" s="75"/>
      <c r="P21" s="75"/>
      <c r="Q21" s="75"/>
      <c r="R21" s="103"/>
      <c r="S21" s="75"/>
      <c r="T21" s="75"/>
      <c r="U21" s="103"/>
      <c r="V21" s="75"/>
      <c r="W21" s="75"/>
      <c r="X21" s="75"/>
      <c r="Y21" s="106" t="s">
        <v>92</v>
      </c>
      <c r="Z21" s="75" t="s">
        <v>213</v>
      </c>
      <c r="AA21" s="75"/>
      <c r="AB21" s="75"/>
      <c r="AC21" s="75" t="s">
        <v>226</v>
      </c>
      <c r="AD21" s="75" t="s">
        <v>497</v>
      </c>
      <c r="AE21" s="75"/>
      <c r="AF21" s="103" t="s">
        <v>525</v>
      </c>
      <c r="AG21" s="103"/>
      <c r="AH21" s="103"/>
      <c r="AI21" s="103"/>
    </row>
    <row r="22" spans="1:35" ht="87" x14ac:dyDescent="0.35">
      <c r="A22" s="75"/>
      <c r="B22" s="75" t="s">
        <v>27</v>
      </c>
      <c r="C22" s="103"/>
      <c r="D22" s="75"/>
      <c r="E22" s="75"/>
      <c r="F22" s="75"/>
      <c r="G22" s="75"/>
      <c r="H22" s="103"/>
      <c r="I22" s="75"/>
      <c r="J22" s="75"/>
      <c r="K22" s="75"/>
      <c r="L22" s="75"/>
      <c r="M22" s="75"/>
      <c r="N22" s="75"/>
      <c r="O22" s="75"/>
      <c r="P22" s="75"/>
      <c r="Q22" s="75"/>
      <c r="R22" s="103"/>
      <c r="S22" s="75"/>
      <c r="T22" s="75"/>
      <c r="U22" s="103"/>
      <c r="V22" s="75"/>
      <c r="W22" s="75"/>
      <c r="X22" s="75"/>
      <c r="Y22" s="106" t="s">
        <v>93</v>
      </c>
      <c r="Z22" s="75" t="s">
        <v>498</v>
      </c>
      <c r="AA22" s="75"/>
      <c r="AB22" s="75"/>
      <c r="AC22" s="75" t="s">
        <v>127</v>
      </c>
      <c r="AD22" s="75"/>
      <c r="AE22" s="75"/>
      <c r="AF22" s="103" t="s">
        <v>238</v>
      </c>
      <c r="AG22" s="103"/>
      <c r="AH22" s="103"/>
      <c r="AI22" s="103"/>
    </row>
    <row r="23" spans="1:35" ht="87" x14ac:dyDescent="0.35">
      <c r="A23" s="75"/>
      <c r="B23" s="75" t="s">
        <v>500</v>
      </c>
      <c r="C23" s="75"/>
      <c r="D23" s="75"/>
      <c r="E23" s="75"/>
      <c r="F23" s="75"/>
      <c r="G23" s="75"/>
      <c r="H23" s="75"/>
      <c r="I23" s="75"/>
      <c r="J23" s="75"/>
      <c r="K23" s="75"/>
      <c r="L23" s="75"/>
      <c r="M23" s="75"/>
      <c r="N23" s="75"/>
      <c r="O23" s="75"/>
      <c r="P23" s="75"/>
      <c r="Q23" s="75"/>
      <c r="R23" s="103"/>
      <c r="S23" s="75"/>
      <c r="T23" s="75"/>
      <c r="U23" s="103"/>
      <c r="V23" s="75"/>
      <c r="W23" s="75"/>
      <c r="X23" s="75"/>
      <c r="Y23" s="106" t="s">
        <v>94</v>
      </c>
      <c r="Z23" s="75" t="s">
        <v>214</v>
      </c>
      <c r="AA23" s="75"/>
      <c r="AB23" s="75"/>
      <c r="AC23" s="75" t="s">
        <v>128</v>
      </c>
      <c r="AD23" s="75"/>
      <c r="AE23" s="75"/>
      <c r="AF23" s="103"/>
      <c r="AG23" s="103"/>
      <c r="AH23" s="103"/>
      <c r="AI23" s="103"/>
    </row>
    <row r="24" spans="1:35" ht="43.5" x14ac:dyDescent="0.35">
      <c r="A24" s="75"/>
      <c r="B24" s="103"/>
      <c r="C24" s="75"/>
      <c r="D24" s="75"/>
      <c r="E24" s="75"/>
      <c r="F24" s="75"/>
      <c r="G24" s="75"/>
      <c r="H24" s="75"/>
      <c r="I24" s="75"/>
      <c r="J24" s="75"/>
      <c r="K24" s="75"/>
      <c r="L24" s="75"/>
      <c r="M24" s="75"/>
      <c r="N24" s="75"/>
      <c r="O24" s="75"/>
      <c r="P24" s="75"/>
      <c r="Q24" s="75"/>
      <c r="R24" s="103"/>
      <c r="S24" s="75"/>
      <c r="T24" s="75"/>
      <c r="U24" s="103"/>
      <c r="V24" s="75"/>
      <c r="W24" s="75"/>
      <c r="X24" s="75"/>
      <c r="Y24" s="106" t="s">
        <v>95</v>
      </c>
      <c r="Z24" s="75" t="s">
        <v>215</v>
      </c>
      <c r="AA24" s="75"/>
      <c r="AB24" s="75"/>
      <c r="AC24" s="75" t="s">
        <v>129</v>
      </c>
      <c r="AD24" s="75"/>
      <c r="AE24" s="75"/>
      <c r="AF24" s="103"/>
      <c r="AG24" s="103"/>
      <c r="AH24" s="103"/>
      <c r="AI24" s="103"/>
    </row>
    <row r="25" spans="1:35" ht="58" x14ac:dyDescent="0.35">
      <c r="A25" s="75"/>
      <c r="B25" s="75"/>
      <c r="C25" s="75"/>
      <c r="D25" s="75"/>
      <c r="E25" s="75"/>
      <c r="F25" s="75"/>
      <c r="G25" s="75"/>
      <c r="H25" s="75"/>
      <c r="I25" s="75"/>
      <c r="J25" s="75"/>
      <c r="K25" s="75"/>
      <c r="L25" s="75"/>
      <c r="M25" s="75"/>
      <c r="N25" s="75"/>
      <c r="O25" s="75"/>
      <c r="P25" s="75"/>
      <c r="Q25" s="75"/>
      <c r="R25" s="75"/>
      <c r="S25" s="75"/>
      <c r="T25" s="75"/>
      <c r="U25" s="103"/>
      <c r="V25" s="75"/>
      <c r="W25" s="75"/>
      <c r="X25" s="75"/>
      <c r="Y25" s="75" t="s">
        <v>96</v>
      </c>
      <c r="Z25" s="75" t="s">
        <v>216</v>
      </c>
      <c r="AA25" s="75"/>
      <c r="AB25" s="75"/>
      <c r="AC25" s="75" t="s">
        <v>130</v>
      </c>
      <c r="AD25" s="75"/>
      <c r="AE25" s="75"/>
      <c r="AF25" s="103"/>
      <c r="AG25" s="103"/>
      <c r="AH25" s="103"/>
      <c r="AI25" s="103"/>
    </row>
    <row r="26" spans="1:35" ht="58" x14ac:dyDescent="0.35">
      <c r="A26" s="75"/>
      <c r="B26" s="75"/>
      <c r="C26" s="75"/>
      <c r="D26" s="75"/>
      <c r="E26" s="75"/>
      <c r="F26" s="75"/>
      <c r="G26" s="75"/>
      <c r="H26" s="75"/>
      <c r="I26" s="75"/>
      <c r="J26" s="75"/>
      <c r="K26" s="75"/>
      <c r="L26" s="75"/>
      <c r="M26" s="75"/>
      <c r="N26" s="75"/>
      <c r="O26" s="75"/>
      <c r="P26" s="75"/>
      <c r="Q26" s="75"/>
      <c r="R26" s="75"/>
      <c r="S26" s="75"/>
      <c r="T26" s="75"/>
      <c r="U26" s="103"/>
      <c r="V26" s="75"/>
      <c r="W26" s="75"/>
      <c r="X26" s="75"/>
      <c r="Y26" s="75" t="s">
        <v>512</v>
      </c>
      <c r="Z26" s="75" t="s">
        <v>217</v>
      </c>
      <c r="AA26" s="75"/>
      <c r="AB26" s="75"/>
      <c r="AC26" s="75"/>
      <c r="AD26" s="75"/>
      <c r="AE26" s="75"/>
      <c r="AF26" s="103"/>
      <c r="AG26" s="103"/>
      <c r="AH26" s="103"/>
      <c r="AI26" s="103"/>
    </row>
    <row r="27" spans="1:35" ht="78" customHeight="1" x14ac:dyDescent="0.35">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t="s">
        <v>218</v>
      </c>
      <c r="AA27" s="103"/>
      <c r="AB27" s="103"/>
      <c r="AC27" s="103"/>
      <c r="AD27" s="103"/>
      <c r="AE27" s="103"/>
      <c r="AF27" s="103"/>
      <c r="AG27" s="103"/>
      <c r="AH27" s="103"/>
      <c r="AI27" s="103"/>
    </row>
    <row r="28" spans="1:35" ht="43.5" x14ac:dyDescent="0.35">
      <c r="Z28" s="15" t="s">
        <v>531</v>
      </c>
    </row>
  </sheetData>
  <sheetProtection algorithmName="SHA-512" hashValue="hHQnDdw5rmnW5pdcybojGHkVPdDzOnXNM+98nh6n/SJl2cBb0bhldu+iBoc67rmkF48jbnCpG+wQVPVE37nr0A==" saltValue="liSrCxf81tjCqkiW5gZLEw==" spinCount="100000" sheet="1" selectLockedCells="1" selectUnlockedCells="1"/>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7A3C-06B4-4222-AC51-C1D48C12755B}">
  <dimension ref="B2:D56"/>
  <sheetViews>
    <sheetView topLeftCell="A16" workbookViewId="0">
      <selection activeCell="C29" sqref="C29"/>
    </sheetView>
  </sheetViews>
  <sheetFormatPr defaultColWidth="8.81640625" defaultRowHeight="14.5" x14ac:dyDescent="0.35"/>
  <cols>
    <col min="1" max="1" width="29.81640625" bestFit="1" customWidth="1"/>
    <col min="2" max="2" width="30.81640625" bestFit="1" customWidth="1"/>
  </cols>
  <sheetData>
    <row r="2" spans="2:4" x14ac:dyDescent="0.35">
      <c r="B2" s="81" t="s">
        <v>177</v>
      </c>
      <c r="D2" t="s">
        <v>451</v>
      </c>
    </row>
    <row r="3" spans="2:4" x14ac:dyDescent="0.35">
      <c r="B3" t="s">
        <v>178</v>
      </c>
      <c r="D3" s="85">
        <v>0.08</v>
      </c>
    </row>
    <row r="4" spans="2:4" x14ac:dyDescent="0.35">
      <c r="B4" t="s">
        <v>179</v>
      </c>
      <c r="D4" s="325">
        <v>8.5000000000000006E-2</v>
      </c>
    </row>
    <row r="5" spans="2:4" x14ac:dyDescent="0.35">
      <c r="B5" t="s">
        <v>412</v>
      </c>
    </row>
    <row r="6" spans="2:4" x14ac:dyDescent="0.35">
      <c r="B6" t="s">
        <v>180</v>
      </c>
    </row>
    <row r="7" spans="2:4" x14ac:dyDescent="0.35">
      <c r="B7" t="s">
        <v>181</v>
      </c>
    </row>
    <row r="8" spans="2:4" x14ac:dyDescent="0.35">
      <c r="B8" t="s">
        <v>413</v>
      </c>
    </row>
    <row r="9" spans="2:4" x14ac:dyDescent="0.35">
      <c r="B9" t="s">
        <v>182</v>
      </c>
    </row>
    <row r="10" spans="2:4" x14ac:dyDescent="0.35">
      <c r="B10" t="s">
        <v>387</v>
      </c>
    </row>
    <row r="11" spans="2:4" x14ac:dyDescent="0.35">
      <c r="B11" t="s">
        <v>388</v>
      </c>
    </row>
    <row r="12" spans="2:4" x14ac:dyDescent="0.35">
      <c r="B12" t="s">
        <v>389</v>
      </c>
    </row>
    <row r="13" spans="2:4" x14ac:dyDescent="0.35">
      <c r="B13" t="s">
        <v>391</v>
      </c>
    </row>
    <row r="14" spans="2:4" x14ac:dyDescent="0.35">
      <c r="B14" t="s">
        <v>390</v>
      </c>
    </row>
    <row r="15" spans="2:4" x14ac:dyDescent="0.35">
      <c r="B15" t="s">
        <v>183</v>
      </c>
    </row>
    <row r="16" spans="2:4" x14ac:dyDescent="0.35">
      <c r="B16" t="s">
        <v>184</v>
      </c>
    </row>
    <row r="17" spans="2:2" x14ac:dyDescent="0.35">
      <c r="B17" t="s">
        <v>392</v>
      </c>
    </row>
    <row r="18" spans="2:2" x14ac:dyDescent="0.35">
      <c r="B18" t="s">
        <v>393</v>
      </c>
    </row>
    <row r="19" spans="2:2" x14ac:dyDescent="0.35">
      <c r="B19" t="s">
        <v>394</v>
      </c>
    </row>
    <row r="20" spans="2:2" x14ac:dyDescent="0.35">
      <c r="B20" t="s">
        <v>185</v>
      </c>
    </row>
    <row r="21" spans="2:2" x14ac:dyDescent="0.35">
      <c r="B21" t="s">
        <v>395</v>
      </c>
    </row>
    <row r="22" spans="2:2" x14ac:dyDescent="0.35">
      <c r="B22" t="s">
        <v>396</v>
      </c>
    </row>
    <row r="23" spans="2:2" x14ac:dyDescent="0.35">
      <c r="B23" t="s">
        <v>414</v>
      </c>
    </row>
    <row r="24" spans="2:2" x14ac:dyDescent="0.35">
      <c r="B24" t="s">
        <v>186</v>
      </c>
    </row>
    <row r="25" spans="2:2" x14ac:dyDescent="0.35">
      <c r="B25" t="s">
        <v>415</v>
      </c>
    </row>
    <row r="26" spans="2:2" x14ac:dyDescent="0.35">
      <c r="B26" t="s">
        <v>410</v>
      </c>
    </row>
    <row r="27" spans="2:2" x14ac:dyDescent="0.35">
      <c r="B27" t="s">
        <v>187</v>
      </c>
    </row>
    <row r="28" spans="2:2" x14ac:dyDescent="0.35">
      <c r="B28" t="s">
        <v>188</v>
      </c>
    </row>
    <row r="29" spans="2:2" x14ac:dyDescent="0.35">
      <c r="B29" t="s">
        <v>189</v>
      </c>
    </row>
    <row r="30" spans="2:2" x14ac:dyDescent="0.35">
      <c r="B30" t="s">
        <v>190</v>
      </c>
    </row>
    <row r="31" spans="2:2" x14ac:dyDescent="0.35">
      <c r="B31" t="s">
        <v>191</v>
      </c>
    </row>
    <row r="32" spans="2:2" x14ac:dyDescent="0.35">
      <c r="B32" t="s">
        <v>192</v>
      </c>
    </row>
    <row r="33" spans="2:2" x14ac:dyDescent="0.35">
      <c r="B33" t="s">
        <v>397</v>
      </c>
    </row>
    <row r="34" spans="2:2" x14ac:dyDescent="0.35">
      <c r="B34" t="s">
        <v>193</v>
      </c>
    </row>
    <row r="35" spans="2:2" x14ac:dyDescent="0.35">
      <c r="B35" t="s">
        <v>408</v>
      </c>
    </row>
    <row r="36" spans="2:2" x14ac:dyDescent="0.35">
      <c r="B36" t="s">
        <v>409</v>
      </c>
    </row>
    <row r="37" spans="2:2" x14ac:dyDescent="0.35">
      <c r="B37" t="s">
        <v>194</v>
      </c>
    </row>
    <row r="38" spans="2:2" x14ac:dyDescent="0.35">
      <c r="B38" t="s">
        <v>195</v>
      </c>
    </row>
    <row r="39" spans="2:2" x14ac:dyDescent="0.35">
      <c r="B39" t="s">
        <v>196</v>
      </c>
    </row>
    <row r="40" spans="2:2" x14ac:dyDescent="0.35">
      <c r="B40" t="s">
        <v>398</v>
      </c>
    </row>
    <row r="41" spans="2:2" x14ac:dyDescent="0.35">
      <c r="B41" t="s">
        <v>197</v>
      </c>
    </row>
    <row r="42" spans="2:2" x14ac:dyDescent="0.35">
      <c r="B42" t="s">
        <v>411</v>
      </c>
    </row>
    <row r="43" spans="2:2" x14ac:dyDescent="0.35">
      <c r="B43" t="s">
        <v>526</v>
      </c>
    </row>
    <row r="44" spans="2:2" x14ac:dyDescent="0.35">
      <c r="B44" t="s">
        <v>400</v>
      </c>
    </row>
    <row r="45" spans="2:2" x14ac:dyDescent="0.35">
      <c r="B45" t="s">
        <v>399</v>
      </c>
    </row>
    <row r="46" spans="2:2" x14ac:dyDescent="0.35">
      <c r="B46" t="s">
        <v>401</v>
      </c>
    </row>
    <row r="47" spans="2:2" x14ac:dyDescent="0.35">
      <c r="B47" t="s">
        <v>405</v>
      </c>
    </row>
    <row r="48" spans="2:2" x14ac:dyDescent="0.35">
      <c r="B48" t="s">
        <v>527</v>
      </c>
    </row>
    <row r="49" spans="2:2" x14ac:dyDescent="0.35">
      <c r="B49" t="s">
        <v>406</v>
      </c>
    </row>
    <row r="50" spans="2:2" x14ac:dyDescent="0.35">
      <c r="B50" t="s">
        <v>404</v>
      </c>
    </row>
    <row r="51" spans="2:2" x14ac:dyDescent="0.35">
      <c r="B51" t="s">
        <v>528</v>
      </c>
    </row>
    <row r="52" spans="2:2" x14ac:dyDescent="0.35">
      <c r="B52" t="s">
        <v>198</v>
      </c>
    </row>
    <row r="53" spans="2:2" x14ac:dyDescent="0.35">
      <c r="B53" t="s">
        <v>403</v>
      </c>
    </row>
    <row r="54" spans="2:2" x14ac:dyDescent="0.35">
      <c r="B54" t="s">
        <v>407</v>
      </c>
    </row>
    <row r="55" spans="2:2" x14ac:dyDescent="0.35">
      <c r="B55" t="s">
        <v>402</v>
      </c>
    </row>
    <row r="56" spans="2:2" x14ac:dyDescent="0.35">
      <c r="B56" t="s">
        <v>199</v>
      </c>
    </row>
  </sheetData>
  <sheetProtection algorithmName="SHA-512" hashValue="I6423Zd4KOvJ9eET00lU6hAHkJK+7Q2/DRyCVgTg63CI73XRIze9eNUOSlaQ8DZOgMsw9irJAg1GJ9v7t3MEww==" saltValue="0hzcv/g/mdwrmzibpCishA=="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954897F3EE3CC4ABB9FB9EDAC9CDEBC" PreviousValue="false"/>
</file>

<file path=customXml/item2.xml><?xml version="1.0" encoding="utf-8"?>
<ct:contentTypeSchema xmlns:ct="http://schemas.microsoft.com/office/2006/metadata/contentType" xmlns:ma="http://schemas.microsoft.com/office/2006/metadata/properties/metaAttributes" ct:_="" ma:_="" ma:contentTypeName="Gavi Document" ma:contentTypeID="0x0101009954897F3EE3CC4ABB9FB9EDAC9CDEBC0049912127F5182A4D8EDB6B2BE6B04460" ma:contentTypeVersion="163" ma:contentTypeDescription="Gavi Document content type " ma:contentTypeScope="" ma:versionID="6b641bbe12f024a260fd3a45ca781ef1">
  <xsd:schema xmlns:xsd="http://www.w3.org/2001/XMLSchema" xmlns:xs="http://www.w3.org/2001/XMLSchema" xmlns:p="http://schemas.microsoft.com/office/2006/metadata/properties" xmlns:ns2="d0706217-df7c-4bf4-936d-b09aa3b837af" xmlns:ns3="700359ba-e36c-422a-9925-ddada98091a9" xmlns:ns4="0a8bb9ce-fedb-41d8-b350-adff6aad9f5b" targetNamespace="http://schemas.microsoft.com/office/2006/metadata/properties" ma:root="true" ma:fieldsID="cf9de7b524ac35d33262447214947d53" ns2:_="" ns3:_="" ns4:_="">
    <xsd:import namespace="d0706217-df7c-4bf4-936d-b09aa3b837af"/>
    <xsd:import namespace="700359ba-e36c-422a-9925-ddada98091a9"/>
    <xsd:import namespace="0a8bb9ce-fedb-41d8-b350-adff6aad9f5b"/>
    <xsd:element name="properties">
      <xsd:complexType>
        <xsd:sequence>
          <xsd:element name="documentManagement">
            <xsd:complexType>
              <xsd:all>
                <xsd:element ref="ns2:TaxCatchAll" minOccurs="0"/>
                <xsd:element ref="ns2:d1cc8e3ce74548b4802b698dbb551d86" minOccurs="0"/>
                <xsd:element ref="ns3:_dlc_DocId" minOccurs="0"/>
                <xsd:element ref="ns3:_dlc_DocIdUrl" minOccurs="0"/>
                <xsd:element ref="ns3:_dlc_DocIdPersistId" minOccurs="0"/>
                <xsd:element ref="ns3:oaccbf0bcc574f75aa77b841ffd7bc19" minOccurs="0"/>
                <xsd:element ref="ns2:e47ceaa0d61b4bfeb3c21883d9680a10" minOccurs="0"/>
                <xsd:element ref="ns3:n77ad5cd43aa466bb2098d7a5ff62477" minOccurs="0"/>
                <xsd:element ref="ns3:bbf6f4caffa74114b8081d68858b812e" minOccurs="0"/>
                <xsd:element ref="ns3:m01d92cd1af846fc8259fd1db678cd76" minOccurs="0"/>
                <xsd:element ref="ns2:i4a50af2c0e64ae9b81ffeca8af7ed0f" minOccurs="0"/>
                <xsd:element ref="ns3:pe81ae692a6b49768f319a7f7719c9c0" minOccurs="0"/>
                <xsd:element ref="ns2:e57ceaa0d61b4bfeb3c21883d9680a10" minOccurs="0"/>
                <xsd:element ref="ns3:i15b6667c80d4f308357e591caf47090" minOccurs="0"/>
                <xsd:element ref="ns3:bc1b0c83348b4f048615cacd6d83a4a9" minOccurs="0"/>
                <xsd:element ref="ns2:TaxCatchAllLabel" minOccurs="0"/>
                <xsd:element ref="ns3:f172ab98ad93463d9a6af05ce5da4f2f" minOccurs="0"/>
                <xsd:element ref="ns2:e77ceaa0d61b4bfeb3c21883d9680a10" minOccurs="0"/>
                <xsd:element ref="ns2:e27ceaa0d61b4bfeb3c21883d9680a10" minOccurs="0"/>
                <xsd:element ref="ns2:n169e2c9352346cf85f9723e82b9094d" minOccurs="0"/>
                <xsd:element ref="ns2:e37ceaa0d61b4bfeb3c21883d9680a10" minOccurs="0"/>
                <xsd:element ref="ns2:le9d97f3bd374b61b397133b88eb0f9d" minOccurs="0"/>
                <xsd:element ref="ns2:e17ceaa0d61b4bfeb3c21883d9680a10"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20"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d1cc8e3ce74548b4802b698dbb551d86" ma:index="21" nillable="true" ma:taxonomy="true" ma:internalName="d1cc8e3ce74548b4802b698dbb551d86" ma:taxonomyFieldName="Programme_x0020_and_x0020_project_x0020_management" ma:displayName="Programme Management and Evaluation" ma:default="" ma:fieldId="{d1cc8e3c-e745-48b4-802b-698dbb551d86}" ma:taxonomyMulti="true" ma:sspId="93cb0222-e980-4273-ad97-85dba3159c09" ma:termSetId="2427873c-79ae-423d-9eea-f88facaca1dc" ma:anchorId="00000000-0000-0000-0000-000000000000" ma:open="false" ma:isKeyword="false">
      <xsd:complexType>
        <xsd:sequence>
          <xsd:element ref="pc:Terms" minOccurs="0" maxOccurs="1"/>
        </xsd:sequence>
      </xsd:complexType>
    </xsd:element>
    <xsd:element name="e47ceaa0d61b4bfeb3c21883d9680a10" ma:index="26" nillable="true" ma:taxonomy="true" ma:internalName="e47ceaa0d61b4bfeb3c21883d9680a10" ma:taxonomyFieldName="Health" ma:displayName="Diseases" ma:default="" ma:fieldId="{e47ceaa0-d61b-4bfe-b3c2-1883d9680a10}" ma:taxonomyMulti="true" ma:sspId="93cb0222-e980-4273-ad97-85dba3159c09" ma:termSetId="20ac6292-eacc-418b-877a-88a7e47492c9" ma:anchorId="00000000-0000-0000-0000-000000000000" ma:open="false" ma:isKeyword="false">
      <xsd:complexType>
        <xsd:sequence>
          <xsd:element ref="pc:Terms" minOccurs="0" maxOccurs="1"/>
        </xsd:sequence>
      </xsd:complexType>
    </xsd:element>
    <xsd:element name="i4a50af2c0e64ae9b81ffeca8af7ed0f" ma:index="3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7db51020-b08f-40f3-ab45-ce8e4eb05c42" ma:anchorId="00000000-0000-0000-0000-000000000000" ma:open="false" ma:isKeyword="false">
      <xsd:complexType>
        <xsd:sequence>
          <xsd:element ref="pc:Terms" minOccurs="0" maxOccurs="1"/>
        </xsd:sequence>
      </xsd:complexType>
    </xsd:element>
    <xsd:element name="e57ceaa0d61b4bfeb3c21883d9680a10" ma:index="34" nillable="true" ma:taxonomy="true" ma:internalName="e57ceaa0d61b4bfeb3c21883d9680a10" ma:taxonomyFieldName="Vaccine" ma:displayName="Vaccine" ma:default="" ma:fieldId="{e57ceaa0-d61b-4bfe-b3c2-1883d9680a10}" ma:taxonomyMulti="true" ma:sspId="93cb0222-e980-4273-ad97-85dba3159c09" ma:termSetId="8a33af0e-2cfd-4af3-88bf-ba7a9bf0a549" ma:anchorId="00000000-0000-0000-0000-000000000000" ma:open="false" ma:isKeyword="false">
      <xsd:complexType>
        <xsd:sequence>
          <xsd:element ref="pc:Terms" minOccurs="0" maxOccurs="1"/>
        </xsd:sequence>
      </xsd:complexType>
    </xsd:element>
    <xsd:element name="TaxCatchAllLabel" ma:index="38"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40" nillable="true" ma:taxonomy="true" ma:internalName="e77ceaa0d61b4bfeb3c21883d9680a10" ma:taxonomyFieldName="Country" ma:displayName="Country" ma:default="" ma:fieldId="{e77ceaa0-d61b-4bfe-b3c2-1883d9680a10}" ma:taxonomyMulti="true" ma:sspId="93cb0222-e980-4273-ad97-85dba3159c09" ma:termSetId="e4166a66-416d-4f77-9f1c-1f6d37c060b2" ma:anchorId="00000000-0000-0000-0000-000000000000" ma:open="false" ma:isKeyword="false">
      <xsd:complexType>
        <xsd:sequence>
          <xsd:element ref="pc:Terms" minOccurs="0" maxOccurs="1"/>
        </xsd:sequence>
      </xsd:complexType>
    </xsd:element>
    <xsd:element name="e27ceaa0d61b4bfeb3c21883d9680a10" ma:index="41" nillable="true" ma:taxonomy="true" ma:internalName="e27ceaa0d61b4bfeb3c21883d9680a10" ma:taxonomyFieldName="Donors_x0020_and_x0020_Partners" ma:displayName="Donors and Partners" ma:default="" ma:fieldId="{e27ceaa0-d61b-4bfe-b3c2-1883d9680a10}" ma:taxonomyMulti="true" ma:sspId="93cb0222-e980-4273-ad97-85dba3159c09" ma:termSetId="d8f5b35d-5d47-4f4c-aca3-6942c5649230" ma:anchorId="00000000-0000-0000-0000-000000000000" ma:open="false" ma:isKeyword="false">
      <xsd:complexType>
        <xsd:sequence>
          <xsd:element ref="pc:Terms" minOccurs="0" maxOccurs="1"/>
        </xsd:sequence>
      </xsd:complexType>
    </xsd:element>
    <xsd:element name="n169e2c9352346cf85f9723e82b9094d" ma:index="43" nillable="true" ma:taxonomy="true" ma:internalName="n169e2c9352346cf85f9723e82b9094d" ma:taxonomyFieldName="Governance" ma:displayName="Governance" ma:default="" ma:fieldId="{7169e2c9-3523-46cf-85f9-723e82b9094d}" ma:taxonomyMulti="true" ma:sspId="93cb0222-e980-4273-ad97-85dba3159c09" ma:termSetId="2ddc4741-2ea1-45c6-bf30-60925171b35b" ma:anchorId="00000000-0000-0000-0000-000000000000" ma:open="false" ma:isKeyword="false">
      <xsd:complexType>
        <xsd:sequence>
          <xsd:element ref="pc:Terms" minOccurs="0" maxOccurs="1"/>
        </xsd:sequence>
      </xsd:complexType>
    </xsd:element>
    <xsd:element name="e37ceaa0d61b4bfeb3c21883d9680a10" ma:index="44" nillable="true" ma:taxonomy="true" ma:internalName="e37ceaa0d61b4bfeb3c21883d9680a10" ma:taxonomyFieldName="Depto" ma:displayName="Department, Team, Role" ma:default="" ma:fieldId="{e37ceaa0-d61b-4bfe-b3c2-1883d9680a10}" ma:taxonomyMulti="true" ma:sspId="93cb0222-e980-4273-ad97-85dba3159c09" ma:termSetId="7532c898-6c4c-469f-ad2f-0427e24a0bbd" ma:anchorId="00000000-0000-0000-0000-000000000000" ma:open="false" ma:isKeyword="false">
      <xsd:complexType>
        <xsd:sequence>
          <xsd:element ref="pc:Terms" minOccurs="0" maxOccurs="1"/>
        </xsd:sequence>
      </xsd:complexType>
    </xsd:element>
    <xsd:element name="le9d97f3bd374b61b397133b88eb0f9d" ma:index="45" nillable="true" ma:taxonomy="true" ma:internalName="le9d97f3bd374b61b397133b88eb0f9d" ma:taxonomyFieldName="International_x0020_Development" ma:displayName="International Development" ma:default="" ma:fieldId="{5e9d97f3-bd37-4b61-b397-133b88eb0f9d}" ma:taxonomyMulti="true" ma:sspId="93cb0222-e980-4273-ad97-85dba3159c09" ma:termSetId="a9e14dcf-53c0-4500-a166-7e3ba950ac84" ma:anchorId="00000000-0000-0000-0000-000000000000" ma:open="false" ma:isKeyword="false">
      <xsd:complexType>
        <xsd:sequence>
          <xsd:element ref="pc:Terms" minOccurs="0" maxOccurs="1"/>
        </xsd:sequence>
      </xsd:complexType>
    </xsd:element>
    <xsd:element name="e17ceaa0d61b4bfeb3c21883d9680a10" ma:index="47" nillable="true" ma:taxonomy="true" ma:internalName="e17ceaa0d61b4bfeb3c21883d9680a10" ma:taxonomyFieldName="Language" ma:displayName="Language" ma:default="" ma:fieldId="{e17ceaa0-d61b-4bfe-b3c2-1883d9680a10}" ma:taxonomyMulti="true" ma:sspId="93cb0222-e980-4273-ad97-85dba3159c09" ma:termSetId="dafc3d39-9c91-4285-8f1a-88297d4800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oaccbf0bcc574f75aa77b841ffd7bc19" ma:index="25" nillable="true" ma:taxonomy="true" ma:internalName="oaccbf0bcc574f75aa77b841ffd7bc19" ma:taxonomyFieldName="Country_x0020_Type" ma:displayName="Country Type" ma:default="" ma:fieldId="{8accbf0b-cc57-4f75-aa77-b841ffd7bc19}" ma:sspId="93cb0222-e980-4273-ad97-85dba3159c09" ma:termSetId="71bd4815-b0bd-492c-a723-b2e5c0e416b0" ma:anchorId="00000000-0000-0000-0000-000000000000" ma:open="false" ma:isKeyword="false">
      <xsd:complexType>
        <xsd:sequence>
          <xsd:element ref="pc:Terms" minOccurs="0" maxOccurs="1"/>
        </xsd:sequence>
      </xsd:complexType>
    </xsd:element>
    <xsd:element name="n77ad5cd43aa466bb2098d7a5ff62477" ma:index="27" nillable="true" ma:taxonomy="true" ma:internalName="n77ad5cd43aa466bb2098d7a5ff62477" ma:taxonomyFieldName="Document_x0020_Type" ma:displayName="Document Type" ma:default="" ma:fieldId="{777ad5cd-43aa-466b-b209-8d7a5ff62477}" ma:sspId="93cb0222-e980-4273-ad97-85dba3159c09" ma:termSetId="2bd0b307-d904-448c-84b4-32a697fa5fb5" ma:anchorId="00000000-0000-0000-0000-000000000000" ma:open="false" ma:isKeyword="false">
      <xsd:complexType>
        <xsd:sequence>
          <xsd:element ref="pc:Terms" minOccurs="0" maxOccurs="1"/>
        </xsd:sequence>
      </xsd:complexType>
    </xsd:element>
    <xsd:element name="bbf6f4caffa74114b8081d68858b812e" ma:index="29" nillable="true" ma:taxonomy="true" ma:internalName="bbf6f4caffa74114b8081d68858b812e" ma:taxonomyFieldName="Finance" ma:displayName="Finance" ma:default="" ma:fieldId="{bbf6f4ca-ffa7-4114-b808-1d68858b812e}" ma:sspId="93cb0222-e980-4273-ad97-85dba3159c09" ma:termSetId="fba9d9b3-0d38-4e92-8c85-2e58e13b0381" ma:anchorId="00000000-0000-0000-0000-000000000000" ma:open="false" ma:isKeyword="false">
      <xsd:complexType>
        <xsd:sequence>
          <xsd:element ref="pc:Terms" minOccurs="0" maxOccurs="1"/>
        </xsd:sequence>
      </xsd:complexType>
    </xsd:element>
    <xsd:element name="m01d92cd1af846fc8259fd1db678cd76" ma:index="31" nillable="true" ma:taxonomy="true" ma:internalName="m01d92cd1af846fc8259fd1db678cd76" ma:taxonomyFieldName="IT_x0020_Systems" ma:displayName="IT Systems" ma:default="" ma:fieldId="{601d92cd-1af8-46fc-8259-fd1db678cd76}" ma:sspId="93cb0222-e980-4273-ad97-85dba3159c09" ma:termSetId="54eaa39d-b3e0-4701-b90d-6829a342c0cf" ma:anchorId="00000000-0000-0000-0000-000000000000" ma:open="false" ma:isKeyword="false">
      <xsd:complexType>
        <xsd:sequence>
          <xsd:element ref="pc:Terms" minOccurs="0" maxOccurs="1"/>
        </xsd:sequence>
      </xsd:complexType>
    </xsd:element>
    <xsd:element name="pe81ae692a6b49768f319a7f7719c9c0" ma:index="33" nillable="true" ma:taxonomy="true" ma:internalName="pe81ae692a6b49768f319a7f7719c9c0" ma:taxonomyFieldName="Location1" ma:displayName="Location" ma:default="" ma:fieldId="{9e81ae69-2a6b-4976-8f31-9a7f7719c9c0}" ma:sspId="93cb0222-e980-4273-ad97-85dba3159c09" ma:termSetId="9c2b41eb-c277-498e-8304-66faea1a1721" ma:anchorId="00000000-0000-0000-0000-000000000000" ma:open="false" ma:isKeyword="false">
      <xsd:complexType>
        <xsd:sequence>
          <xsd:element ref="pc:Terms" minOccurs="0" maxOccurs="1"/>
        </xsd:sequence>
      </xsd:complexType>
    </xsd:element>
    <xsd:element name="i15b6667c80d4f308357e591caf47090" ma:index="35" nillable="true" ma:taxonomy="true" ma:internalName="i15b6667c80d4f308357e591caf47090" ma:taxonomyFieldName="Market_x0020_Shaping" ma:displayName="Market Shaping" ma:default="" ma:fieldId="{215b6667-c80d-4f30-8357-e591caf47090}" ma:sspId="93cb0222-e980-4273-ad97-85dba3159c09" ma:termSetId="90c66778-aba1-42d5-a246-380678ffff81" ma:anchorId="00000000-0000-0000-0000-000000000000" ma:open="false" ma:isKeyword="false">
      <xsd:complexType>
        <xsd:sequence>
          <xsd:element ref="pc:Terms" minOccurs="0" maxOccurs="1"/>
        </xsd:sequence>
      </xsd:complexType>
    </xsd:element>
    <xsd:element name="bc1b0c83348b4f048615cacd6d83a4a9" ma:index="37" nillable="true" ma:taxonomy="true" ma:internalName="bc1b0c83348b4f048615cacd6d83a4a9" ma:taxonomyFieldName="Risk" ma:displayName="Risk" ma:default="" ma:fieldId="{bc1b0c83-348b-4f04-8615-cacd6d83a4a9}" ma:sspId="93cb0222-e980-4273-ad97-85dba3159c09" ma:termSetId="b40eb6db-bcc3-43aa-8311-bef557d111d6" ma:anchorId="00000000-0000-0000-0000-000000000000" ma:open="false" ma:isKeyword="false">
      <xsd:complexType>
        <xsd:sequence>
          <xsd:element ref="pc:Terms" minOccurs="0" maxOccurs="1"/>
        </xsd:sequence>
      </xsd:complexType>
    </xsd:element>
    <xsd:element name="f172ab98ad93463d9a6af05ce5da4f2f" ma:index="39" nillable="true" ma:taxonomy="true" ma:internalName="f172ab98ad93463d9a6af05ce5da4f2f" ma:taxonomyFieldName="Strategy_x0020_and_x0020_Policy" ma:displayName="Strategy and Policy" ma:default="" ma:fieldId="{f172ab98-ad93-463d-9a6a-f05ce5da4f2f}" ma:sspId="93cb0222-e980-4273-ad97-85dba3159c09" ma:termSetId="49b673ae-6d3b-405b-a0cb-7ee9858d32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8bb9ce-fedb-41d8-b350-adff6aad9f5b" elementFormDefault="qualified">
    <xsd:import namespace="http://schemas.microsoft.com/office/2006/documentManagement/types"/>
    <xsd:import namespace="http://schemas.microsoft.com/office/infopath/2007/PartnerControls"/>
    <xsd:element name="MediaServiceAutoKeyPoints" ma:index="49" nillable="true" ma:displayName="MediaServiceAutoKeyPoints" ma:hidden="true" ma:internalName="MediaServiceAutoKeyPoints" ma:readOnly="true">
      <xsd:simpleType>
        <xsd:restriction base="dms:Note"/>
      </xsd:simpleType>
    </xsd:element>
    <xsd:element name="MediaServiceKeyPoints" ma:index="50" nillable="true" ma:displayName="KeyPoints" ma:internalName="MediaServiceKeyPoints" ma:readOnly="true">
      <xsd:simpleType>
        <xsd:restriction base="dms:Note">
          <xsd:maxLength value="255"/>
        </xsd:restriction>
      </xsd:simpleType>
    </xsd:element>
    <xsd:element name="MediaLengthInSeconds" ma:index="5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81ae692a6b49768f319a7f7719c9c0 xmlns="700359ba-e36c-422a-9925-ddada98091a9">
      <Terms xmlns="http://schemas.microsoft.com/office/infopath/2007/PartnerControls"/>
    </pe81ae692a6b49768f319a7f7719c9c0>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Health Systems and Immunization Strengthening</TermName>
          <TermId xmlns="http://schemas.microsoft.com/office/infopath/2007/PartnerControls">317fd45e-5f94-413a-aa1a-58c6cf1eaf9b</TermId>
        </TermInfo>
      </Terms>
    </e37ceaa0d61b4bfeb3c21883d9680a10>
    <oaccbf0bcc574f75aa77b841ffd7bc19 xmlns="700359ba-e36c-422a-9925-ddada98091a9">
      <Terms xmlns="http://schemas.microsoft.com/office/infopath/2007/PartnerControls"/>
    </oaccbf0bcc574f75aa77b841ffd7bc19>
    <bbf6f4caffa74114b8081d68858b812e xmlns="700359ba-e36c-422a-9925-ddada98091a9">
      <Terms xmlns="http://schemas.microsoft.com/office/infopath/2007/PartnerControls"/>
    </bbf6f4caffa74114b8081d68858b812e>
    <e47ceaa0d61b4bfeb3c21883d9680a10 xmlns="d0706217-df7c-4bf4-936d-b09aa3b837af">
      <Terms xmlns="http://schemas.microsoft.com/office/infopath/2007/PartnerControls"/>
    </e47ceaa0d61b4bfeb3c21883d9680a10>
    <n77ad5cd43aa466bb2098d7a5ff62477 xmlns="700359ba-e36c-422a-9925-ddada98091a9">
      <Terms xmlns="http://schemas.microsoft.com/office/infopath/2007/PartnerControls"/>
    </n77ad5cd43aa466bb2098d7a5ff62477>
    <f172ab98ad93463d9a6af05ce5da4f2f xmlns="700359ba-e36c-422a-9925-ddada98091a9">
      <Terms xmlns="http://schemas.microsoft.com/office/infopath/2007/PartnerControls"/>
    </f172ab98ad93463d9a6af05ce5da4f2f>
    <n169e2c9352346cf85f9723e82b9094d xmlns="d0706217-df7c-4bf4-936d-b09aa3b837af">
      <Terms xmlns="http://schemas.microsoft.com/office/infopath/2007/PartnerControls"/>
    </n169e2c9352346cf85f9723e82b9094d>
    <le9d97f3bd374b61b397133b88eb0f9d xmlns="d0706217-df7c-4bf4-936d-b09aa3b837af">
      <Terms xmlns="http://schemas.microsoft.com/office/infopath/2007/PartnerControls"/>
    </le9d97f3bd374b61b397133b88eb0f9d>
    <e57ceaa0d61b4bfeb3c21883d9680a10 xmlns="d0706217-df7c-4bf4-936d-b09aa3b837af">
      <Terms xmlns="http://schemas.microsoft.com/office/infopath/2007/PartnerControls"/>
    </e57ceaa0d61b4bfeb3c21883d9680a10>
    <TaxCatchAll xmlns="d0706217-df7c-4bf4-936d-b09aa3b837af">
      <Value>1890</Value>
    </TaxCatchAll>
    <i4a50af2c0e64ae9b81ffeca8af7ed0f xmlns="d0706217-df7c-4bf4-936d-b09aa3b837af">
      <Terms xmlns="http://schemas.microsoft.com/office/infopath/2007/PartnerControls"/>
    </i4a50af2c0e64ae9b81ffeca8af7ed0f>
    <m01d92cd1af846fc8259fd1db678cd76 xmlns="700359ba-e36c-422a-9925-ddada98091a9">
      <Terms xmlns="http://schemas.microsoft.com/office/infopath/2007/PartnerControls"/>
    </m01d92cd1af846fc8259fd1db678cd76>
    <e17ceaa0d61b4bfeb3c21883d9680a10 xmlns="d0706217-df7c-4bf4-936d-b09aa3b837af">
      <Terms xmlns="http://schemas.microsoft.com/office/infopath/2007/PartnerControls"/>
    </e17ceaa0d61b4bfeb3c21883d9680a10>
    <i15b6667c80d4f308357e591caf47090 xmlns="700359ba-e36c-422a-9925-ddada98091a9">
      <Terms xmlns="http://schemas.microsoft.com/office/infopath/2007/PartnerControls"/>
    </i15b6667c80d4f308357e591caf47090>
    <d1cc8e3ce74548b4802b698dbb551d86 xmlns="d0706217-df7c-4bf4-936d-b09aa3b837af">
      <Terms xmlns="http://schemas.microsoft.com/office/infopath/2007/PartnerControls"/>
    </d1cc8e3ce74548b4802b698dbb551d86>
    <bc1b0c83348b4f048615cacd6d83a4a9 xmlns="700359ba-e36c-422a-9925-ddada98091a9">
      <Terms xmlns="http://schemas.microsoft.com/office/infopath/2007/PartnerControls"/>
    </bc1b0c83348b4f048615cacd6d83a4a9>
    <e77ceaa0d61b4bfeb3c21883d9680a10 xmlns="d0706217-df7c-4bf4-936d-b09aa3b837af">
      <Terms xmlns="http://schemas.microsoft.com/office/infopath/2007/PartnerControls"/>
    </e77ceaa0d61b4bfeb3c21883d9680a10>
    <e27ceaa0d61b4bfeb3c21883d9680a10 xmlns="d0706217-df7c-4bf4-936d-b09aa3b837af">
      <Terms xmlns="http://schemas.microsoft.com/office/infopath/2007/PartnerControls"/>
    </e27ceaa0d61b4bfeb3c21883d9680a10>
    <_dlc_DocId xmlns="700359ba-e36c-422a-9925-ddada98091a9">GAVI-1207364406-941667</_dlc_DocId>
    <_dlc_DocIdUrl xmlns="700359ba-e36c-422a-9925-ddada98091a9">
      <Url>https://gavinet.sharepoint.com/teams/COP/hsi/_layouts/15/DocIdRedir.aspx?ID=GAVI-1207364406-941667</Url>
      <Description>GAVI-1207364406-941667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E3B03D-75B0-4149-896F-B21B0226893A}">
  <ds:schemaRefs>
    <ds:schemaRef ds:uri="Microsoft.SharePoint.Taxonomy.ContentTypeSync"/>
  </ds:schemaRefs>
</ds:datastoreItem>
</file>

<file path=customXml/itemProps2.xml><?xml version="1.0" encoding="utf-8"?>
<ds:datastoreItem xmlns:ds="http://schemas.openxmlformats.org/officeDocument/2006/customXml" ds:itemID="{7692E0CD-482D-4E6B-B1E4-28C80C964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0a8bb9ce-fedb-41d8-b350-adff6aad9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FCF9A-26F7-4BA0-ACE8-63D4EB2665F4}">
  <ds:schemaRefs>
    <ds:schemaRef ds:uri="http://schemas.microsoft.com/office/2006/documentManagement/types"/>
    <ds:schemaRef ds:uri="http://purl.org/dc/elements/1.1/"/>
    <ds:schemaRef ds:uri="http://schemas.openxmlformats.org/package/2006/metadata/core-properties"/>
    <ds:schemaRef ds:uri="015fe376-55b6-46ec-ba2b-102320879b19"/>
    <ds:schemaRef ds:uri="http://schemas.microsoft.com/office/infopath/2007/PartnerControls"/>
    <ds:schemaRef ds:uri="http://purl.org/dc/terms/"/>
    <ds:schemaRef ds:uri="cbddf734-021f-4629-a1ca-360fa2de26cd"/>
    <ds:schemaRef ds:uri="http://schemas.microsoft.com/office/2006/metadata/properties"/>
    <ds:schemaRef ds:uri="http://www.w3.org/XML/1998/namespace"/>
    <ds:schemaRef ds:uri="http://purl.org/dc/dcmitype/"/>
    <ds:schemaRef ds:uri="700359ba-e36c-422a-9925-ddada98091a9"/>
    <ds:schemaRef ds:uri="d0706217-df7c-4bf4-936d-b09aa3b837af"/>
  </ds:schemaRefs>
</ds:datastoreItem>
</file>

<file path=customXml/itemProps4.xml><?xml version="1.0" encoding="utf-8"?>
<ds:datastoreItem xmlns:ds="http://schemas.openxmlformats.org/officeDocument/2006/customXml" ds:itemID="{FD1DEB82-FB4B-4409-B551-4B169D376380}">
  <ds:schemaRefs>
    <ds:schemaRef ds:uri="http://schemas.microsoft.com/sharepoint/v3/contenttype/forms"/>
  </ds:schemaRefs>
</ds:datastoreItem>
</file>

<file path=customXml/itemProps5.xml><?xml version="1.0" encoding="utf-8"?>
<ds:datastoreItem xmlns:ds="http://schemas.openxmlformats.org/officeDocument/2006/customXml" ds:itemID="{A411BA9A-BC51-448F-BEED-D9498E0C5B8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Instructions pour les pay</vt:lpstr>
      <vt:lpstr>Résumé des options ECF</vt:lpstr>
      <vt:lpstr>Options_modèle spécifié d'ECF</vt:lpstr>
      <vt:lpstr>Prix et modèle des ECF'	</vt:lpstr>
      <vt:lpstr>Reference_Dropdown1</vt:lpstr>
      <vt:lpstr>Reference_Dropdowns2</vt:lpstr>
      <vt:lpstr>Dropdowns3_countries</vt:lpstr>
      <vt:lpstr>_1.RéfrigérateurILRàgaineréfrigérantesurréseau_sanscomp.congélateur</vt:lpstr>
      <vt:lpstr>_1.RéfrigérateurILRàgaineréfrigérantesurréseau_sanscomp.congélateur__120L</vt:lpstr>
      <vt:lpstr>_1.RéfrigérateurILRàgaineréfrigérantesurréseau_sanscomp.congélateur0__60L</vt:lpstr>
      <vt:lpstr>_1.RéfrigérateurILRàgaineréfrigérantesurréseau_sanscomp.congélateur60__120L</vt:lpstr>
      <vt:lpstr>_10.Glacièrenouvellegénérationquin’exposepaslesvaccinsaugel_GradeA5__15L</vt:lpstr>
      <vt:lpstr>_10.Portevaccinnouvellegénérationquin’exposepaslesvaccinsaugel_GradeA</vt:lpstr>
      <vt:lpstr>_10.Portevaccinnouvellegénérationquin’exposepaslesvaccinsaugel_GradeA0__5L</vt:lpstr>
      <vt:lpstr>_11.Glacièrenouvellegénérationquin’exposepaslesvaccinsaugel_GradeA</vt:lpstr>
      <vt:lpstr>_11.Glacièrenouvellegénérationquin’exposepaslesvaccinsaugel_GradeA__15L</vt:lpstr>
      <vt:lpstr>_11.Glacièrenouvellegénérationquin’exposepaslesvaccinsaugel_GradeA_15</vt:lpstr>
      <vt:lpstr>_12.Régulateursdetensionpouréquipement</vt:lpstr>
      <vt:lpstr>_12.RégulateursdetensionpouréquipementNA</vt:lpstr>
      <vt:lpstr>_13.Packsdeglace</vt:lpstr>
      <vt:lpstr>_13.PacksdeglaceNA</vt:lpstr>
      <vt:lpstr>_14.PiècesderechangepouréquipementsILRsanscongélateur</vt:lpstr>
      <vt:lpstr>_14.PiècesderechangepouréquipementsILRsanscongélateurNA</vt:lpstr>
      <vt:lpstr>_15.PiècesderechangepouréquipementsILRaveccongélateur</vt:lpstr>
      <vt:lpstr>_15.PiècesderechangepouréquipementsILRaveccongélateurNA</vt:lpstr>
      <vt:lpstr>_16.Piècesderechangepouréquipementsdecongélation</vt:lpstr>
      <vt:lpstr>_16.PiècesderechangepouréquipementsdecongélationNA</vt:lpstr>
      <vt:lpstr>_17.PiècesderechangeRéfrigérateurshorsréseauSDD_sanscongélateur</vt:lpstr>
      <vt:lpstr>_17.PiècesderechangeRéfrigérateurshorsréseauSDD_sanscongélateurNA</vt:lpstr>
      <vt:lpstr>_18.PiècesderechangepourSDDsanscompartimentcongélateur</vt:lpstr>
      <vt:lpstr>_18.PiècesderechangepourSDDsanscompartimentcongélateurNA</vt:lpstr>
      <vt:lpstr>_19.PiècesderechangepourSDDaveccongélateur</vt:lpstr>
      <vt:lpstr>_19.PiècesderechangepourSDDaveccongélateurNA</vt:lpstr>
      <vt:lpstr>_2.ILRsurréseau_aveccomp.congélateur</vt:lpstr>
      <vt:lpstr>_2.ILRsurréseau_aveccomp.congélateur0__60L</vt:lpstr>
      <vt:lpstr>_2.ILRsurréseau_aveccomp.congélateur60__120L</vt:lpstr>
      <vt:lpstr>_20.RenouvellementsannuelsdabonnementdedonnéespourlesRTMDexistants</vt:lpstr>
      <vt:lpstr>_20.RenouvellementsannuelsdabonnementdedonnéespourlesRTMDexistantsNA</vt:lpstr>
      <vt:lpstr>_21.Formationenpersonne</vt:lpstr>
      <vt:lpstr>_21.FormationenpersonneNA</vt:lpstr>
      <vt:lpstr>_22.Formationàdistance</vt:lpstr>
      <vt:lpstr>_22.FormationàdistanceNA</vt:lpstr>
      <vt:lpstr>_23.StockagedeVaccinsTransportableetMotorisé_TPVS</vt:lpstr>
      <vt:lpstr>_23.StockagedeVaccinsTransportableetMotorisé_TPVS0__5L</vt:lpstr>
      <vt:lpstr>_3.Congélateurssurréseau</vt:lpstr>
      <vt:lpstr>_3.Congélateurssurréseau__120L</vt:lpstr>
      <vt:lpstr>_3.Congélateurssurréseau60__120L</vt:lpstr>
      <vt:lpstr>_4.RéfrigérateurshorsréseauSDD_sanscomp.congélateur</vt:lpstr>
      <vt:lpstr>_4.RéfrigérateurshorsréseauSDD_sanscomp.congélateur__120L</vt:lpstr>
      <vt:lpstr>_4.RéfrigérateurshorsréseauSDD_sanscomp.congélateur0__60L</vt:lpstr>
      <vt:lpstr>_4.RéfrigérateurshorsréseauSDD_sanscomp.congélateur60__120L</vt:lpstr>
      <vt:lpstr>_5.RéfrigérateurshorsréseauSDD_aveccomp.congélateur</vt:lpstr>
      <vt:lpstr>_5.RéfrigérateurshorsréseauSDD_aveccomp.congélateur__120L</vt:lpstr>
      <vt:lpstr>_5.RéfrigérateurshorsréseauSDD_aveccomp.congélateur0__60L</vt:lpstr>
      <vt:lpstr>_5.RéfrigérateurshorsréseauSDD_aveccomp.congélateur60__120L</vt:lpstr>
      <vt:lpstr>_6.CongélateurhorsréseauSDD</vt:lpstr>
      <vt:lpstr>_6.CongélateurhorsréseauSDD__120L</vt:lpstr>
      <vt:lpstr>_6.CongélateurhorsréseauSDD0__60L</vt:lpstr>
      <vt:lpstr>_6.CongélateurhorsréseauSDD60__120L</vt:lpstr>
      <vt:lpstr>_7.Outildemonitoragedelatempératurepouraumoins30jours</vt:lpstr>
      <vt:lpstr>_7.Outildemonitoragedelatempératurepouraumoins30joursNA</vt:lpstr>
      <vt:lpstr>_8.Outildemonitoragecontinudelatempératureàtempsréel</vt:lpstr>
      <vt:lpstr>_8.OutildemonitoragecontinudelatempératureàtempsréelRefrigerator</vt:lpstr>
      <vt:lpstr>_8.OutildemonitoragecontinudelatempératureàtempsréelWICR</vt:lpstr>
      <vt:lpstr>_9.Dispositifspassifsàlongterme</vt:lpstr>
      <vt:lpstr>_9.Dispositifspassifsàlongterme5__10L</vt:lpstr>
      <vt:lpstr>Deleted</vt:lpstr>
      <vt:lpstr>HBCD___90_spare_parts</vt:lpstr>
      <vt:lpstr>Typed_équipementetsourced_énergie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Eugene Adu Afari (Consultant)</cp:lastModifiedBy>
  <cp:revision/>
  <dcterms:created xsi:type="dcterms:W3CDTF">2017-03-23T13:52:16Z</dcterms:created>
  <dcterms:modified xsi:type="dcterms:W3CDTF">2024-12-20T17:10:29Z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0x0101009954897F3EE3CC4ABB9FB9EDAC9CDEBC0049912127F5182A4D8EDB6B2BE6B04460</vt:lpwstr>
  </property>
  <property fmtid="{D5CDD505-2E9C-101B-9397-08002B2CF9AE}" pid="10" name="TaxKeyword">
    <vt:lpwstr/>
  </property>
  <property fmtid="{D5CDD505-2E9C-101B-9397-08002B2CF9AE}" pid="11" name="TaxKeywordTaxHTField">
    <vt:lpwstr/>
  </property>
  <property fmtid="{D5CDD505-2E9C-101B-9397-08002B2CF9AE}" pid="12" name="Strategy_x0020_and_x0020_Policy">
    <vt:lpwstr/>
  </property>
  <property fmtid="{D5CDD505-2E9C-101B-9397-08002B2CF9AE}" pid="13" name="Donors_x0020_and_x0020_Partners">
    <vt:lpwstr/>
  </property>
  <property fmtid="{D5CDD505-2E9C-101B-9397-08002B2CF9AE}" pid="14" name="Risk">
    <vt:lpwstr/>
  </property>
  <property fmtid="{D5CDD505-2E9C-101B-9397-08002B2CF9AE}" pid="15" name="Document_x0020_Type">
    <vt:lpwstr/>
  </property>
  <property fmtid="{D5CDD505-2E9C-101B-9397-08002B2CF9AE}" pid="16" name="Health">
    <vt:lpwstr/>
  </property>
  <property fmtid="{D5CDD505-2E9C-101B-9397-08002B2CF9AE}" pid="17" name="Vaccine">
    <vt:lpwstr/>
  </property>
  <property fmtid="{D5CDD505-2E9C-101B-9397-08002B2CF9AE}" pid="18" name="Depto">
    <vt:lpwstr>1890;#Health Systems and Immunization Strengthening|317fd45e-5f94-413a-aa1a-58c6cf1eaf9b</vt:lpwstr>
  </property>
  <property fmtid="{D5CDD505-2E9C-101B-9397-08002B2CF9AE}" pid="19" name="International_x0020_Development">
    <vt:lpwstr/>
  </property>
  <property fmtid="{D5CDD505-2E9C-101B-9397-08002B2CF9AE}" pid="20" name="kfa83adfad8641678ddaedda80d7e126">
    <vt:lpwstr/>
  </property>
  <property fmtid="{D5CDD505-2E9C-101B-9397-08002B2CF9AE}" pid="21" name="_dlc_DocIdItemGuid">
    <vt:lpwstr>28983686-3f8e-47fb-bc17-c3c74de03e9c</vt:lpwstr>
  </property>
  <property fmtid="{D5CDD505-2E9C-101B-9397-08002B2CF9AE}" pid="22" name="Country_x0020_Type">
    <vt:lpwstr/>
  </property>
  <property fmtid="{D5CDD505-2E9C-101B-9397-08002B2CF9AE}" pid="23" name="Country">
    <vt:lpwstr/>
  </property>
  <property fmtid="{D5CDD505-2E9C-101B-9397-08002B2CF9AE}" pid="24" name="Governance">
    <vt:lpwstr/>
  </property>
  <property fmtid="{D5CDD505-2E9C-101B-9397-08002B2CF9AE}" pid="25" name="Health_x0020_System_x0020_Strengthening">
    <vt:lpwstr/>
  </property>
  <property fmtid="{D5CDD505-2E9C-101B-9397-08002B2CF9AE}" pid="26" name="Test">
    <vt:lpwstr/>
  </property>
  <property fmtid="{D5CDD505-2E9C-101B-9397-08002B2CF9AE}" pid="27" name="Market_x0020_Shaping">
    <vt:lpwstr/>
  </property>
  <property fmtid="{D5CDD505-2E9C-101B-9397-08002B2CF9AE}" pid="28" name="Programme_x0020_and_x0020_project_x0020_management">
    <vt:lpwstr/>
  </property>
  <property fmtid="{D5CDD505-2E9C-101B-9397-08002B2CF9AE}" pid="29" name="Finance">
    <vt:lpwstr/>
  </property>
  <property fmtid="{D5CDD505-2E9C-101B-9397-08002B2CF9AE}" pid="30" name="IT_x0020_Systems">
    <vt:lpwstr/>
  </property>
  <property fmtid="{D5CDD505-2E9C-101B-9397-08002B2CF9AE}" pid="31" name="Location1">
    <vt:lpwstr/>
  </property>
  <property fmtid="{D5CDD505-2E9C-101B-9397-08002B2CF9AE}" pid="32" name="Language">
    <vt:lpwstr/>
  </property>
</Properties>
</file>