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.sharepoint.com/teams/fop/fin/Documents/Finance/FPA/Donor Forecasting/Web updates/2021/Q2 2021/"/>
    </mc:Choice>
  </mc:AlternateContent>
  <xr:revisionPtr revIDLastSave="0" documentId="8_{FB8D1A5C-EBE6-4B8E-8680-D175E72979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00-2021 Cash Receipts" sheetId="5" r:id="rId1"/>
  </sheets>
  <definedNames>
    <definedName name="_xlnm.Print_Area" localSheetId="0">'2000-2021 Cash Receipts'!$A$1:$AF$119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96" i="5" l="1"/>
  <c r="AI96" i="5"/>
  <c r="AJ94" i="5"/>
  <c r="AJ74" i="5" l="1"/>
  <c r="AB74" i="5"/>
  <c r="U74" i="5"/>
  <c r="N74" i="5"/>
  <c r="AF74" i="5" l="1"/>
  <c r="AL74" i="5" s="1"/>
  <c r="AJ63" i="5"/>
  <c r="AB63" i="5"/>
  <c r="U63" i="5"/>
  <c r="N63" i="5"/>
  <c r="AF63" i="5" l="1"/>
  <c r="AL63" i="5" s="1"/>
  <c r="AJ67" i="5"/>
  <c r="AB67" i="5"/>
  <c r="U67" i="5"/>
  <c r="N67" i="5"/>
  <c r="AF67" i="5" l="1"/>
  <c r="AL67" i="5" s="1"/>
  <c r="AJ61" i="5" l="1"/>
  <c r="Z61" i="5"/>
  <c r="Y61" i="5"/>
  <c r="X61" i="5"/>
  <c r="W61" i="5"/>
  <c r="U61" i="5"/>
  <c r="N61" i="5"/>
  <c r="AB61" i="5" l="1"/>
  <c r="AF61" i="5" s="1"/>
  <c r="AL61" i="5" s="1"/>
  <c r="AJ95" i="5" l="1"/>
  <c r="AJ96" i="5" s="1"/>
  <c r="AJ72" i="5" l="1"/>
  <c r="AB72" i="5"/>
  <c r="U72" i="5"/>
  <c r="N72" i="5"/>
  <c r="AI68" i="5"/>
  <c r="AJ68" i="5" s="1"/>
  <c r="AB68" i="5"/>
  <c r="U68" i="5"/>
  <c r="N68" i="5"/>
  <c r="AI88" i="5"/>
  <c r="AJ82" i="5"/>
  <c r="AB82" i="5"/>
  <c r="U82" i="5"/>
  <c r="N82" i="5"/>
  <c r="AI81" i="5"/>
  <c r="AJ81" i="5" s="1"/>
  <c r="AB81" i="5"/>
  <c r="U81" i="5"/>
  <c r="N81" i="5"/>
  <c r="AJ77" i="5"/>
  <c r="AB77" i="5"/>
  <c r="U77" i="5"/>
  <c r="N77" i="5"/>
  <c r="AJ71" i="5"/>
  <c r="AB71" i="5"/>
  <c r="U71" i="5"/>
  <c r="N71" i="5"/>
  <c r="AJ66" i="5"/>
  <c r="AB66" i="5"/>
  <c r="U66" i="5"/>
  <c r="N66" i="5"/>
  <c r="AJ64" i="5"/>
  <c r="AB64" i="5"/>
  <c r="U64" i="5"/>
  <c r="N64" i="5"/>
  <c r="AJ59" i="5"/>
  <c r="AB59" i="5"/>
  <c r="U59" i="5"/>
  <c r="N59" i="5"/>
  <c r="AI55" i="5"/>
  <c r="AJ55" i="5" s="1"/>
  <c r="AB55" i="5"/>
  <c r="U55" i="5"/>
  <c r="N55" i="5"/>
  <c r="AI56" i="5"/>
  <c r="AF68" i="5" l="1"/>
  <c r="AL68" i="5" s="1"/>
  <c r="AF82" i="5"/>
  <c r="AL82" i="5" s="1"/>
  <c r="AF72" i="5"/>
  <c r="AL72" i="5" s="1"/>
  <c r="AF81" i="5"/>
  <c r="AL81" i="5" s="1"/>
  <c r="AF77" i="5"/>
  <c r="AL77" i="5" s="1"/>
  <c r="AF71" i="5"/>
  <c r="AL71" i="5" s="1"/>
  <c r="AF66" i="5"/>
  <c r="AL66" i="5" s="1"/>
  <c r="AF55" i="5"/>
  <c r="AL55" i="5" s="1"/>
  <c r="AF59" i="5"/>
  <c r="AL59" i="5" s="1"/>
  <c r="AF64" i="5"/>
  <c r="AL64" i="5" s="1"/>
  <c r="AJ54" i="5" l="1"/>
  <c r="AB54" i="5"/>
  <c r="U54" i="5"/>
  <c r="N54" i="5"/>
  <c r="AI41" i="5"/>
  <c r="AJ39" i="5"/>
  <c r="AB39" i="5"/>
  <c r="U39" i="5"/>
  <c r="N39" i="5"/>
  <c r="AI33" i="5"/>
  <c r="AI30" i="5"/>
  <c r="AJ29" i="5"/>
  <c r="AB29" i="5"/>
  <c r="U29" i="5"/>
  <c r="N29" i="5"/>
  <c r="AI26" i="5"/>
  <c r="AI23" i="5"/>
  <c r="AJ22" i="5"/>
  <c r="AB22" i="5"/>
  <c r="U22" i="5"/>
  <c r="N22" i="5"/>
  <c r="AI16" i="5"/>
  <c r="AJ13" i="5"/>
  <c r="AB13" i="5"/>
  <c r="U13" i="5"/>
  <c r="N13" i="5"/>
  <c r="AI12" i="5"/>
  <c r="AJ9" i="5"/>
  <c r="AB9" i="5"/>
  <c r="U9" i="5"/>
  <c r="N9" i="5"/>
  <c r="AI7" i="5"/>
  <c r="AD88" i="5"/>
  <c r="AJ40" i="5"/>
  <c r="AB40" i="5"/>
  <c r="U40" i="5"/>
  <c r="N40" i="5"/>
  <c r="AD21" i="5"/>
  <c r="AJ10" i="5"/>
  <c r="AB10" i="5"/>
  <c r="U10" i="5"/>
  <c r="N10" i="5"/>
  <c r="AF54" i="5" l="1"/>
  <c r="AL54" i="5" s="1"/>
  <c r="AF39" i="5"/>
  <c r="AL39" i="5" s="1"/>
  <c r="AF29" i="5"/>
  <c r="AL29" i="5" s="1"/>
  <c r="AF22" i="5"/>
  <c r="AL22" i="5" s="1"/>
  <c r="AF13" i="5"/>
  <c r="AL13" i="5" s="1"/>
  <c r="AF9" i="5"/>
  <c r="AL9" i="5" s="1"/>
  <c r="AF40" i="5"/>
  <c r="AL40" i="5" s="1"/>
  <c r="AF10" i="5"/>
  <c r="AL10" i="5" s="1"/>
  <c r="AJ88" i="5" l="1"/>
  <c r="AI50" i="5" l="1"/>
  <c r="AJ44" i="5"/>
  <c r="AB44" i="5"/>
  <c r="U44" i="5"/>
  <c r="N44" i="5"/>
  <c r="AJ58" i="5"/>
  <c r="AB58" i="5"/>
  <c r="U58" i="5"/>
  <c r="N58" i="5"/>
  <c r="AJ38" i="5"/>
  <c r="AB38" i="5"/>
  <c r="U38" i="5"/>
  <c r="N38" i="5"/>
  <c r="AJ75" i="5"/>
  <c r="AB75" i="5"/>
  <c r="U75" i="5"/>
  <c r="N75" i="5"/>
  <c r="AI84" i="5"/>
  <c r="AJ11" i="5"/>
  <c r="AB11" i="5"/>
  <c r="U11" i="5"/>
  <c r="N11" i="5"/>
  <c r="AJ35" i="5"/>
  <c r="AB35" i="5"/>
  <c r="U35" i="5"/>
  <c r="N35" i="5"/>
  <c r="AF58" i="5" l="1"/>
  <c r="AL58" i="5" s="1"/>
  <c r="AF38" i="5"/>
  <c r="AL38" i="5" s="1"/>
  <c r="AF44" i="5"/>
  <c r="AL44" i="5" s="1"/>
  <c r="AI86" i="5"/>
  <c r="AI91" i="5" s="1"/>
  <c r="AF75" i="5"/>
  <c r="AL75" i="5" s="1"/>
  <c r="AF11" i="5"/>
  <c r="AL11" i="5" s="1"/>
  <c r="AF35" i="5"/>
  <c r="AL35" i="5" s="1"/>
  <c r="AJ83" i="5" l="1"/>
  <c r="AJ80" i="5"/>
  <c r="AJ79" i="5"/>
  <c r="AJ78" i="5"/>
  <c r="AJ76" i="5"/>
  <c r="AJ73" i="5"/>
  <c r="AJ70" i="5"/>
  <c r="AJ69" i="5"/>
  <c r="AJ65" i="5"/>
  <c r="AJ62" i="5"/>
  <c r="AJ60" i="5"/>
  <c r="AJ57" i="5"/>
  <c r="AJ56" i="5"/>
  <c r="AJ53" i="5"/>
  <c r="AJ52" i="5"/>
  <c r="AJ49" i="5"/>
  <c r="AJ48" i="5"/>
  <c r="AJ47" i="5"/>
  <c r="AJ46" i="5"/>
  <c r="AJ45" i="5"/>
  <c r="AJ43" i="5"/>
  <c r="AJ42" i="5"/>
  <c r="AJ41" i="5"/>
  <c r="AJ37" i="5"/>
  <c r="AJ36" i="5"/>
  <c r="AJ34" i="5"/>
  <c r="AJ33" i="5"/>
  <c r="AJ31" i="5"/>
  <c r="AJ30" i="5"/>
  <c r="AJ28" i="5"/>
  <c r="AJ26" i="5"/>
  <c r="AJ25" i="5"/>
  <c r="AJ24" i="5"/>
  <c r="AJ23" i="5"/>
  <c r="AJ21" i="5"/>
  <c r="AJ20" i="5"/>
  <c r="AJ19" i="5"/>
  <c r="AJ18" i="5"/>
  <c r="AJ17" i="5"/>
  <c r="AJ16" i="5"/>
  <c r="AJ15" i="5"/>
  <c r="AJ14" i="5"/>
  <c r="AJ12" i="5"/>
  <c r="AJ8" i="5"/>
  <c r="AJ7" i="5"/>
  <c r="AB8" i="5"/>
  <c r="U8" i="5"/>
  <c r="N8" i="5"/>
  <c r="AJ84" i="5" l="1"/>
  <c r="AF8" i="5"/>
  <c r="AL8" i="5" s="1"/>
  <c r="AD84" i="5"/>
  <c r="AH27" i="5"/>
  <c r="AJ27" i="5" s="1"/>
  <c r="AA27" i="5"/>
  <c r="AD50" i="5" l="1"/>
  <c r="AD86" i="5" s="1"/>
  <c r="AD91" i="5" s="1"/>
  <c r="AB80" i="5"/>
  <c r="U80" i="5"/>
  <c r="N80" i="5"/>
  <c r="AF80" i="5" l="1"/>
  <c r="AL80" i="5" s="1"/>
  <c r="AA32" i="5"/>
  <c r="AB73" i="5" l="1"/>
  <c r="U73" i="5"/>
  <c r="N73" i="5"/>
  <c r="AF73" i="5" l="1"/>
  <c r="AL73" i="5" s="1"/>
  <c r="AB34" i="5"/>
  <c r="U34" i="5"/>
  <c r="N34" i="5"/>
  <c r="AH32" i="5"/>
  <c r="AJ32" i="5" s="1"/>
  <c r="AJ50" i="5" s="1"/>
  <c r="AJ86" i="5" s="1"/>
  <c r="AF34" i="5" l="1"/>
  <c r="AL34" i="5" s="1"/>
  <c r="AB76" i="5" l="1"/>
  <c r="U76" i="5"/>
  <c r="N76" i="5"/>
  <c r="AF76" i="5" l="1"/>
  <c r="AL76" i="5" s="1"/>
  <c r="AB17" i="5"/>
  <c r="U17" i="5"/>
  <c r="N17" i="5"/>
  <c r="AA88" i="5"/>
  <c r="AA89" i="5"/>
  <c r="AA47" i="5"/>
  <c r="AA43" i="5"/>
  <c r="AA33" i="5"/>
  <c r="AF17" i="5" l="1"/>
  <c r="AL17" i="5" s="1"/>
  <c r="AA79" i="5" l="1"/>
  <c r="AA62" i="5"/>
  <c r="AA56" i="5"/>
  <c r="AA21" i="5"/>
  <c r="AB19" i="5"/>
  <c r="U19" i="5"/>
  <c r="N19" i="5"/>
  <c r="AA7" i="5"/>
  <c r="AA53" i="5"/>
  <c r="AF19" i="5" l="1"/>
  <c r="AL19" i="5" s="1"/>
  <c r="AB116" i="5" l="1"/>
  <c r="U116" i="5"/>
  <c r="U117" i="5" s="1"/>
  <c r="AB113" i="5"/>
  <c r="AB112" i="5"/>
  <c r="U113" i="5"/>
  <c r="U112" i="5"/>
  <c r="AB79" i="5"/>
  <c r="AB78" i="5"/>
  <c r="AB70" i="5"/>
  <c r="AB69" i="5"/>
  <c r="AB65" i="5"/>
  <c r="AB60" i="5"/>
  <c r="AB57" i="5"/>
  <c r="AB53" i="5"/>
  <c r="AB49" i="5"/>
  <c r="AB47" i="5"/>
  <c r="AB45" i="5"/>
  <c r="AB42" i="5"/>
  <c r="AB41" i="5"/>
  <c r="AB37" i="5"/>
  <c r="AB32" i="5"/>
  <c r="AB31" i="5"/>
  <c r="AB30" i="5"/>
  <c r="AB28" i="5"/>
  <c r="AB26" i="5"/>
  <c r="AB25" i="5"/>
  <c r="AB23" i="5"/>
  <c r="AB20" i="5"/>
  <c r="AB16" i="5"/>
  <c r="AB15" i="5"/>
  <c r="AB14" i="5"/>
  <c r="U88" i="5"/>
  <c r="U83" i="5"/>
  <c r="U79" i="5"/>
  <c r="U78" i="5"/>
  <c r="U70" i="5"/>
  <c r="U69" i="5"/>
  <c r="U65" i="5"/>
  <c r="U60" i="5"/>
  <c r="U53" i="5"/>
  <c r="U52" i="5"/>
  <c r="U49" i="5"/>
  <c r="U47" i="5"/>
  <c r="U46" i="5"/>
  <c r="U45" i="5"/>
  <c r="U43" i="5"/>
  <c r="U42" i="5"/>
  <c r="U41" i="5"/>
  <c r="U37" i="5"/>
  <c r="U33" i="5"/>
  <c r="U32" i="5"/>
  <c r="U31" i="5"/>
  <c r="U30" i="5"/>
  <c r="U28" i="5"/>
  <c r="U27" i="5"/>
  <c r="U26" i="5"/>
  <c r="U25" i="5"/>
  <c r="U23" i="5"/>
  <c r="U20" i="5"/>
  <c r="U18" i="5"/>
  <c r="U16" i="5"/>
  <c r="U15" i="5"/>
  <c r="U14" i="5"/>
  <c r="N89" i="5"/>
  <c r="N88" i="5"/>
  <c r="N83" i="5"/>
  <c r="N79" i="5"/>
  <c r="N78" i="5"/>
  <c r="N70" i="5"/>
  <c r="N69" i="5"/>
  <c r="N65" i="5"/>
  <c r="N62" i="5"/>
  <c r="N60" i="5"/>
  <c r="N57" i="5"/>
  <c r="N56" i="5"/>
  <c r="N53" i="5"/>
  <c r="N52" i="5"/>
  <c r="N49" i="5"/>
  <c r="N48" i="5"/>
  <c r="N47" i="5"/>
  <c r="N46" i="5"/>
  <c r="N45" i="5"/>
  <c r="N43" i="5"/>
  <c r="N42" i="5"/>
  <c r="N41" i="5"/>
  <c r="N37" i="5"/>
  <c r="N36" i="5"/>
  <c r="N33" i="5"/>
  <c r="N32" i="5"/>
  <c r="N31" i="5"/>
  <c r="N30" i="5"/>
  <c r="N28" i="5"/>
  <c r="N27" i="5"/>
  <c r="N26" i="5"/>
  <c r="N25" i="5"/>
  <c r="N24" i="5"/>
  <c r="N23" i="5"/>
  <c r="N21" i="5"/>
  <c r="N20" i="5"/>
  <c r="N18" i="5"/>
  <c r="N16" i="5"/>
  <c r="N15" i="5"/>
  <c r="N14" i="5"/>
  <c r="N12" i="5"/>
  <c r="N7" i="5"/>
  <c r="AF79" i="5" l="1"/>
  <c r="AL79" i="5" s="1"/>
  <c r="AF20" i="5"/>
  <c r="AL20" i="5" s="1"/>
  <c r="U114" i="5"/>
  <c r="U119" i="5" s="1"/>
  <c r="AF37" i="5"/>
  <c r="AL37" i="5" s="1"/>
  <c r="AF78" i="5"/>
  <c r="AL78" i="5" s="1"/>
  <c r="AF30" i="5"/>
  <c r="AL30" i="5" s="1"/>
  <c r="AF16" i="5"/>
  <c r="AL16" i="5" s="1"/>
  <c r="AF32" i="5"/>
  <c r="AL32" i="5" s="1"/>
  <c r="AF70" i="5"/>
  <c r="AL70" i="5" s="1"/>
  <c r="AF23" i="5"/>
  <c r="AL23" i="5" s="1"/>
  <c r="AF25" i="5"/>
  <c r="AL25" i="5" s="1"/>
  <c r="AF42" i="5"/>
  <c r="AL42" i="5" s="1"/>
  <c r="AF60" i="5"/>
  <c r="AL60" i="5" s="1"/>
  <c r="AF41" i="5"/>
  <c r="AL41" i="5" s="1"/>
  <c r="AF26" i="5"/>
  <c r="AL26" i="5" s="1"/>
  <c r="AF45" i="5"/>
  <c r="AL45" i="5" s="1"/>
  <c r="AF28" i="5"/>
  <c r="AL28" i="5" s="1"/>
  <c r="AF47" i="5"/>
  <c r="AL47" i="5" s="1"/>
  <c r="AF65" i="5"/>
  <c r="AL65" i="5" s="1"/>
  <c r="AF14" i="5"/>
  <c r="AL14" i="5" s="1"/>
  <c r="AF49" i="5"/>
  <c r="AL49" i="5" s="1"/>
  <c r="AF15" i="5"/>
  <c r="AL15" i="5" s="1"/>
  <c r="AF31" i="5"/>
  <c r="AL31" i="5" s="1"/>
  <c r="AF53" i="5"/>
  <c r="AL53" i="5" s="1"/>
  <c r="AF69" i="5"/>
  <c r="AL69" i="5" s="1"/>
  <c r="AF116" i="5"/>
  <c r="N84" i="5"/>
  <c r="AF113" i="5"/>
  <c r="N50" i="5"/>
  <c r="AF112" i="5"/>
  <c r="AB117" i="5"/>
  <c r="AB114" i="5"/>
  <c r="N86" i="5" l="1"/>
  <c r="N91" i="5" s="1"/>
  <c r="AB119" i="5"/>
  <c r="AA117" i="5"/>
  <c r="Z117" i="5"/>
  <c r="Y117" i="5"/>
  <c r="X117" i="5"/>
  <c r="W117" i="5"/>
  <c r="T117" i="5"/>
  <c r="AF117" i="5"/>
  <c r="AA114" i="5"/>
  <c r="Z114" i="5"/>
  <c r="Y114" i="5"/>
  <c r="X114" i="5"/>
  <c r="W114" i="5"/>
  <c r="T114" i="5"/>
  <c r="S114" i="5"/>
  <c r="S119" i="5" s="1"/>
  <c r="Z89" i="5"/>
  <c r="Y89" i="5"/>
  <c r="X89" i="5"/>
  <c r="W89" i="5"/>
  <c r="T89" i="5"/>
  <c r="S89" i="5"/>
  <c r="P89" i="5"/>
  <c r="Z88" i="5"/>
  <c r="AB88" i="5" s="1"/>
  <c r="AF88" i="5" s="1"/>
  <c r="AL88" i="5" s="1"/>
  <c r="AH84" i="5"/>
  <c r="AA84" i="5"/>
  <c r="R84" i="5"/>
  <c r="Q84" i="5"/>
  <c r="P84" i="5"/>
  <c r="M84" i="5"/>
  <c r="L84" i="5"/>
  <c r="K84" i="5"/>
  <c r="J84" i="5"/>
  <c r="I84" i="5"/>
  <c r="H84" i="5"/>
  <c r="G84" i="5"/>
  <c r="F84" i="5"/>
  <c r="E84" i="5"/>
  <c r="D84" i="5"/>
  <c r="C84" i="5"/>
  <c r="Z62" i="5"/>
  <c r="Y62" i="5"/>
  <c r="X62" i="5"/>
  <c r="W62" i="5"/>
  <c r="T62" i="5"/>
  <c r="S62" i="5"/>
  <c r="S57" i="5"/>
  <c r="U57" i="5" s="1"/>
  <c r="Z56" i="5"/>
  <c r="Y56" i="5"/>
  <c r="X56" i="5"/>
  <c r="W56" i="5"/>
  <c r="S56" i="5"/>
  <c r="U56" i="5" s="1"/>
  <c r="Z52" i="5"/>
  <c r="AB52" i="5" s="1"/>
  <c r="AF52" i="5" s="1"/>
  <c r="AL52" i="5" s="1"/>
  <c r="AH50" i="5"/>
  <c r="W50" i="5"/>
  <c r="R50" i="5"/>
  <c r="Q50" i="5"/>
  <c r="P50" i="5"/>
  <c r="M50" i="5"/>
  <c r="L50" i="5"/>
  <c r="K50" i="5"/>
  <c r="J50" i="5"/>
  <c r="I50" i="5"/>
  <c r="H50" i="5"/>
  <c r="G50" i="5"/>
  <c r="F50" i="5"/>
  <c r="E50" i="5"/>
  <c r="D50" i="5"/>
  <c r="C50" i="5"/>
  <c r="Y48" i="5"/>
  <c r="AB48" i="5" s="1"/>
  <c r="T48" i="5"/>
  <c r="Z46" i="5"/>
  <c r="AB46" i="5" s="1"/>
  <c r="Z43" i="5"/>
  <c r="Y43" i="5"/>
  <c r="X43" i="5"/>
  <c r="Z36" i="5"/>
  <c r="Y36" i="5"/>
  <c r="X36" i="5"/>
  <c r="S36" i="5"/>
  <c r="Z33" i="5"/>
  <c r="Y33" i="5"/>
  <c r="X33" i="5"/>
  <c r="AA50" i="5"/>
  <c r="Z27" i="5"/>
  <c r="Y27" i="5"/>
  <c r="X27" i="5"/>
  <c r="Z24" i="5"/>
  <c r="AB24" i="5" s="1"/>
  <c r="S24" i="5"/>
  <c r="Z21" i="5"/>
  <c r="Y21" i="5"/>
  <c r="X21" i="5"/>
  <c r="T21" i="5"/>
  <c r="S21" i="5"/>
  <c r="Z18" i="5"/>
  <c r="Y18" i="5"/>
  <c r="X12" i="5"/>
  <c r="AB12" i="5" s="1"/>
  <c r="S12" i="5"/>
  <c r="U12" i="5" s="1"/>
  <c r="Z7" i="5"/>
  <c r="X7" i="5"/>
  <c r="S7" i="5"/>
  <c r="U21" i="5" l="1"/>
  <c r="U62" i="5"/>
  <c r="AF46" i="5"/>
  <c r="AL46" i="5" s="1"/>
  <c r="AF12" i="5"/>
  <c r="AL12" i="5" s="1"/>
  <c r="AF57" i="5"/>
  <c r="AL57" i="5" s="1"/>
  <c r="Y84" i="5"/>
  <c r="AB62" i="5"/>
  <c r="AB43" i="5"/>
  <c r="AF43" i="5" s="1"/>
  <c r="AL43" i="5" s="1"/>
  <c r="F86" i="5"/>
  <c r="F91" i="5" s="1"/>
  <c r="P86" i="5"/>
  <c r="P91" i="5" s="1"/>
  <c r="X119" i="5"/>
  <c r="U89" i="5"/>
  <c r="AB36" i="5"/>
  <c r="X84" i="5"/>
  <c r="AH86" i="5"/>
  <c r="AH91" i="5" s="1"/>
  <c r="AJ91" i="5" s="1"/>
  <c r="AB83" i="5"/>
  <c r="Y50" i="5"/>
  <c r="AB18" i="5"/>
  <c r="U24" i="5"/>
  <c r="AF24" i="5" s="1"/>
  <c r="AL24" i="5" s="1"/>
  <c r="U36" i="5"/>
  <c r="S50" i="5"/>
  <c r="U7" i="5"/>
  <c r="Z50" i="5"/>
  <c r="X50" i="5"/>
  <c r="AB7" i="5"/>
  <c r="U48" i="5"/>
  <c r="AF48" i="5" s="1"/>
  <c r="AL48" i="5" s="1"/>
  <c r="T50" i="5"/>
  <c r="AB89" i="5"/>
  <c r="Y119" i="5"/>
  <c r="AB21" i="5"/>
  <c r="S84" i="5"/>
  <c r="W84" i="5"/>
  <c r="W86" i="5" s="1"/>
  <c r="W91" i="5" s="1"/>
  <c r="AB56" i="5"/>
  <c r="AB27" i="5"/>
  <c r="AB33" i="5"/>
  <c r="T84" i="5"/>
  <c r="AA86" i="5"/>
  <c r="AA91" i="5" s="1"/>
  <c r="W119" i="5"/>
  <c r="AF114" i="5"/>
  <c r="AF119" i="5" s="1"/>
  <c r="AA119" i="5"/>
  <c r="J86" i="5"/>
  <c r="J91" i="5" s="1"/>
  <c r="M86" i="5"/>
  <c r="M91" i="5" s="1"/>
  <c r="T119" i="5"/>
  <c r="Z119" i="5"/>
  <c r="K86" i="5"/>
  <c r="K91" i="5" s="1"/>
  <c r="C86" i="5"/>
  <c r="C91" i="5" s="1"/>
  <c r="G86" i="5"/>
  <c r="G91" i="5" s="1"/>
  <c r="Q86" i="5"/>
  <c r="Q91" i="5" s="1"/>
  <c r="L86" i="5"/>
  <c r="L91" i="5" s="1"/>
  <c r="H86" i="5"/>
  <c r="H91" i="5" s="1"/>
  <c r="R86" i="5"/>
  <c r="R91" i="5" s="1"/>
  <c r="D86" i="5"/>
  <c r="D91" i="5" s="1"/>
  <c r="I86" i="5"/>
  <c r="I91" i="5" s="1"/>
  <c r="E86" i="5"/>
  <c r="E91" i="5" s="1"/>
  <c r="Z84" i="5"/>
  <c r="AF62" i="5" l="1"/>
  <c r="AL62" i="5" s="1"/>
  <c r="Y86" i="5"/>
  <c r="Y91" i="5" s="1"/>
  <c r="AF89" i="5"/>
  <c r="AL89" i="5" s="1"/>
  <c r="AF56" i="5"/>
  <c r="AL56" i="5" s="1"/>
  <c r="AF83" i="5"/>
  <c r="AL83" i="5" s="1"/>
  <c r="AF27" i="5"/>
  <c r="AL27" i="5" s="1"/>
  <c r="AF21" i="5"/>
  <c r="AL21" i="5" s="1"/>
  <c r="AF36" i="5"/>
  <c r="AL36" i="5" s="1"/>
  <c r="AF33" i="5"/>
  <c r="AL33" i="5" s="1"/>
  <c r="AF7" i="5"/>
  <c r="AL7" i="5" s="1"/>
  <c r="AF18" i="5"/>
  <c r="AL18" i="5" s="1"/>
  <c r="T86" i="5"/>
  <c r="T91" i="5" s="1"/>
  <c r="U84" i="5"/>
  <c r="Z86" i="5"/>
  <c r="Z91" i="5" s="1"/>
  <c r="X86" i="5"/>
  <c r="X91" i="5" s="1"/>
  <c r="AB84" i="5"/>
  <c r="AB50" i="5"/>
  <c r="U50" i="5"/>
  <c r="S86" i="5"/>
  <c r="S91" i="5" s="1"/>
  <c r="AF50" i="5" l="1"/>
  <c r="AL84" i="5"/>
  <c r="AF84" i="5"/>
  <c r="U86" i="5"/>
  <c r="U91" i="5" s="1"/>
  <c r="AL50" i="5"/>
  <c r="AB86" i="5"/>
  <c r="AB91" i="5" s="1"/>
  <c r="AL86" i="5" l="1"/>
  <c r="AF86" i="5"/>
  <c r="AF91" i="5" s="1"/>
  <c r="AL91" i="5" s="1"/>
</calcChain>
</file>

<file path=xl/sharedStrings.xml><?xml version="1.0" encoding="utf-8"?>
<sst xmlns="http://schemas.openxmlformats.org/spreadsheetml/2006/main" count="115" uniqueCount="102">
  <si>
    <t>Cash Received by Gavi</t>
  </si>
  <si>
    <t>in US$ millions</t>
  </si>
  <si>
    <t>Australia</t>
  </si>
  <si>
    <t>Canada</t>
  </si>
  <si>
    <t>China</t>
  </si>
  <si>
    <t>Denmark</t>
  </si>
  <si>
    <t>European Commission (EC)</t>
  </si>
  <si>
    <t>France</t>
  </si>
  <si>
    <t>Germany</t>
  </si>
  <si>
    <t>Iceland</t>
  </si>
  <si>
    <t>India</t>
  </si>
  <si>
    <t>Ireland</t>
  </si>
  <si>
    <t>Italy</t>
  </si>
  <si>
    <t>Japan</t>
  </si>
  <si>
    <t>Luxembourg</t>
  </si>
  <si>
    <t>Monaco</t>
  </si>
  <si>
    <t>Netherlands</t>
  </si>
  <si>
    <t xml:space="preserve">Norway </t>
  </si>
  <si>
    <t>Oman</t>
  </si>
  <si>
    <t>Qatar</t>
  </si>
  <si>
    <t>Republic of Korea</t>
  </si>
  <si>
    <t>Saudi Arabia</t>
  </si>
  <si>
    <t>Spain</t>
  </si>
  <si>
    <t xml:space="preserve">Sweden </t>
  </si>
  <si>
    <t>Switzerland</t>
  </si>
  <si>
    <t>United Kingdom</t>
  </si>
  <si>
    <t>United States</t>
  </si>
  <si>
    <t>Donor Governments and EC</t>
  </si>
  <si>
    <t>Alwaleed Philanthropies</t>
  </si>
  <si>
    <t>Bill &amp; Melinda Gates Foundation</t>
  </si>
  <si>
    <t>ELMA Vaccines and Immunization Foundation</t>
  </si>
  <si>
    <t>"la Caixa" Foundation</t>
  </si>
  <si>
    <t>OPEC Fund for International Development (OFID)</t>
  </si>
  <si>
    <t>Private Contributions</t>
  </si>
  <si>
    <t>Sub-total</t>
  </si>
  <si>
    <t>Total contributions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</si>
  <si>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</si>
  <si>
    <t>Al Ansari Exchange</t>
  </si>
  <si>
    <t>Kuwait</t>
  </si>
  <si>
    <t>Rockefeller Foundation</t>
  </si>
  <si>
    <t>His Highness Sheikh Mohamed bin Zayed Al Nahyan</t>
  </si>
  <si>
    <t>International Federation of Pharmaceutical Wholesalers (IFPW)</t>
  </si>
  <si>
    <t>Mauritius</t>
  </si>
  <si>
    <t>COVAX AMC</t>
  </si>
  <si>
    <t>Colombia</t>
  </si>
  <si>
    <t>TikTok</t>
  </si>
  <si>
    <t>2000-2010 TOTAL</t>
  </si>
  <si>
    <t>2011-2015 TOTAL</t>
  </si>
  <si>
    <t>2016-2020 TOTAL</t>
  </si>
  <si>
    <t>GRAND TOTAL</t>
  </si>
  <si>
    <t>DONOR</t>
  </si>
  <si>
    <r>
      <t xml:space="preserve">GRAND TOTAL 
</t>
    </r>
    <r>
      <rPr>
        <b/>
        <sz val="9"/>
        <rFont val="Arial"/>
        <family val="2"/>
      </rPr>
      <t>(incl. COVAX AMC)</t>
    </r>
  </si>
  <si>
    <t>Finland</t>
  </si>
  <si>
    <t>Estonia</t>
  </si>
  <si>
    <t>Transferwise</t>
  </si>
  <si>
    <t>New Zealand</t>
  </si>
  <si>
    <t>Shell International</t>
  </si>
  <si>
    <t>UPS</t>
  </si>
  <si>
    <t>Reed Hastings and Patty Quillin</t>
  </si>
  <si>
    <t>Austria</t>
  </si>
  <si>
    <t>TOTAL</t>
  </si>
  <si>
    <t>Niger</t>
  </si>
  <si>
    <t>Bhutan</t>
  </si>
  <si>
    <t>Thistledown Foundation</t>
  </si>
  <si>
    <t>Philippines</t>
  </si>
  <si>
    <t>Singapore</t>
  </si>
  <si>
    <t>Foundations, organisations and corporations</t>
  </si>
  <si>
    <t>Proceeds, as of 30 June 2021</t>
  </si>
  <si>
    <t>Burkina Faso</t>
  </si>
  <si>
    <t>Portugal</t>
  </si>
  <si>
    <t>Belgium</t>
  </si>
  <si>
    <t>Government of Catalonia</t>
  </si>
  <si>
    <t>Greece</t>
  </si>
  <si>
    <t>Liechtenstein</t>
  </si>
  <si>
    <t>Poland</t>
  </si>
  <si>
    <t>Anonymous Donor</t>
  </si>
  <si>
    <t>Asia Philanthropy Circle</t>
  </si>
  <si>
    <t>Google.org</t>
  </si>
  <si>
    <t>McHugh O'Donovan Foundation</t>
  </si>
  <si>
    <t>PagerDuty</t>
  </si>
  <si>
    <t>Salesforce</t>
  </si>
  <si>
    <t>Vaccine Forward Initiative</t>
  </si>
  <si>
    <t>Visa Foundation</t>
  </si>
  <si>
    <t>Proctor &amp; Gamble</t>
  </si>
  <si>
    <t>Seadream Family Foundation</t>
  </si>
  <si>
    <t>Vaccine Delivery and/or Logistics to Gavi COVAX AMC</t>
  </si>
  <si>
    <t>Portuguese Private Sector</t>
  </si>
  <si>
    <t>Gamers Without Borders</t>
  </si>
  <si>
    <t>Stanley Black &amp; Decker</t>
  </si>
  <si>
    <r>
      <t>Mastercard</t>
    </r>
    <r>
      <rPr>
        <vertAlign val="superscript"/>
        <sz val="10"/>
        <rFont val="Arial"/>
        <family val="2"/>
      </rPr>
      <t>1</t>
    </r>
  </si>
  <si>
    <t>1 - Mastercard has pledged US$25 million to support Covax AMC including support for equitable vaccine delivery and digital solutions related to COVID-19. In addition, MasterCard is also running a consumer based fundraising campaign through its donation platform aiming at raising $5 million in total with potential matches on top of MasterCard’s contribution of US$1 million to the Duke and Duchess of Sussex initiative.</t>
  </si>
  <si>
    <t>4 - Includes contributions from:  Absolute Return for Kids (US$ 1.6m), Anglo American plc (US$ 3.0m), Children’s Investment Fund Foundation - UK (US$ 31.8m), China Merchants Charitable Foundation (US$ 1.5m), Comic Relief (US$ 27.6m), Dutch Postcode Lottery (US$ 3.2m), International Federation of Pharmaceutical Wholesalers (US$ 1.7m), JP Morgan (US$ 2.4m), LDS Charities (US$ 11.2), Lions Club International (US$ 30m), Reckitt Benckiser Group (US$ 1.4m) and Red Nose Day Fund (US$7.2m), in addition to other private sector donors (some contributions were initially paid to the GAVI Campaign)</t>
  </si>
  <si>
    <r>
      <t>Toyota Tsusho</t>
    </r>
    <r>
      <rPr>
        <vertAlign val="superscript"/>
        <sz val="10"/>
        <rFont val="Arial"/>
        <family val="2"/>
      </rPr>
      <t>2</t>
    </r>
  </si>
  <si>
    <r>
      <t>Unilever</t>
    </r>
    <r>
      <rPr>
        <vertAlign val="superscript"/>
        <sz val="10"/>
        <rFont val="Arial"/>
        <family val="2"/>
      </rPr>
      <t>3</t>
    </r>
  </si>
  <si>
    <r>
      <t>Other private</t>
    </r>
    <r>
      <rPr>
        <vertAlign val="superscript"/>
        <sz val="10"/>
        <rFont val="Arial"/>
        <family val="2"/>
      </rPr>
      <t>4</t>
    </r>
  </si>
  <si>
    <r>
      <t>IFFIm Proceeds</t>
    </r>
    <r>
      <rPr>
        <b/>
        <vertAlign val="superscript"/>
        <sz val="10"/>
        <rFont val="Arial"/>
        <family val="2"/>
      </rPr>
      <t>5,6</t>
    </r>
  </si>
  <si>
    <r>
      <t>PCV AMC Proceeds</t>
    </r>
    <r>
      <rPr>
        <b/>
        <vertAlign val="superscript"/>
        <sz val="10"/>
        <rFont val="Arial"/>
        <family val="2"/>
      </rPr>
      <t>7</t>
    </r>
  </si>
  <si>
    <t>3 - Unilever provides resources to Gavi on a leveraged partnership project</t>
  </si>
  <si>
    <t>5 - IFFIm Proceeds:  cash disbursements from the World Bank: to the GFA (2006-2012), to Gavi (2013-2021)</t>
  </si>
  <si>
    <t>6 - In 2018, the Gavi Alliance Board approved Gavi supporting research and development of new vaccines by the Coalition for Epidemic Preparedness Innovations (CEPI) through an IFFIm transaction of NOK 600 million (US$ 66 million) to frontload an equivalent Norway grant for this purpose. Subsequently in 2020, the Gavi Alliance Board approved Gavi supporting research and development of new COVID-19 vaccines by CEPI, through a similar IFFIm arrangement. To date, IFFIm has raised US$ 206 million for this initiative supported by additional grants from Norway and Italy.</t>
  </si>
  <si>
    <t>7 - AMC Proceeds: cash transfers from the World Bank to Gavi</t>
  </si>
  <si>
    <t>2 - US$ 250,000 out of the contribution will be reserved for delivery support. In addition, Toyota Tsusho will donate five Vaccine Landcruisers to Gavi.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</si>
</sst>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  <numFmt numFmtId="167" formatCode="_-* #,##0_-;\-* #,##0_-;_-* &quot;-&quot;??_-;_-@_-"/>
    <numFmt numFmtId="168" formatCode="#,##0.0000"/>
    <numFmt numFmtId="169" formatCode="0.0000000"/>
    <numFmt numFmtId="170" formatCode="_(* #,##0.0_);_(* \(#,##0.0\);_(* &quot;-&quot;_);_(@_)"/>
    <numFmt numFmtId="171" formatCode="_(* #,##0.000000_);_(* \(#,##0.000000\);_(* &quot;-&quot;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</borders>
  <cellStyleXfs count="7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/>
    </xf>
    <xf numFmtId="165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5" fontId="7" fillId="0" borderId="3" xfId="0" applyNumberFormat="1" applyFont="1" applyFill="1" applyBorder="1" applyAlignment="1">
      <alignment horizontal="right" vertical="center"/>
    </xf>
    <xf numFmtId="165" fontId="0" fillId="0" borderId="0" xfId="0" applyNumberFormat="1"/>
    <xf numFmtId="3" fontId="3" fillId="0" borderId="3" xfId="0" applyNumberFormat="1" applyFont="1" applyFill="1" applyBorder="1" applyAlignment="1">
      <alignment horizontal="left" vertical="center"/>
    </xf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left" vertical="center" wrapText="1"/>
    </xf>
    <xf numFmtId="165" fontId="8" fillId="0" borderId="0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68" fontId="0" fillId="2" borderId="3" xfId="1" applyNumberFormat="1" applyFont="1" applyFill="1" applyBorder="1" applyAlignment="1">
      <alignment vertical="center"/>
    </xf>
    <xf numFmtId="3" fontId="0" fillId="0" borderId="12" xfId="0" applyNumberFormat="1" applyFont="1" applyBorder="1" applyAlignment="1">
      <alignment horizontal="left" vertical="center"/>
    </xf>
    <xf numFmtId="3" fontId="0" fillId="0" borderId="3" xfId="0" applyNumberFormat="1" applyFont="1" applyFill="1" applyBorder="1" applyAlignment="1">
      <alignment horizontal="left" vertical="center"/>
    </xf>
    <xf numFmtId="0" fontId="15" fillId="0" borderId="0" xfId="0" applyFont="1"/>
    <xf numFmtId="3" fontId="0" fillId="0" borderId="3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Fill="1" applyAlignment="1">
      <alignment horizontal="left" indent="1"/>
    </xf>
    <xf numFmtId="0" fontId="0" fillId="0" borderId="0" xfId="0"/>
    <xf numFmtId="165" fontId="7" fillId="0" borderId="6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0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165" fontId="7" fillId="2" borderId="3" xfId="1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169" fontId="0" fillId="0" borderId="0" xfId="0" applyNumberFormat="1"/>
    <xf numFmtId="3" fontId="0" fillId="0" borderId="4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NumberFormat="1" applyFont="1" applyFill="1" applyBorder="1" applyAlignment="1">
      <alignment horizontal="center" vertical="center" wrapText="1"/>
    </xf>
    <xf numFmtId="0" fontId="19" fillId="8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/>
    <xf numFmtId="3" fontId="7" fillId="0" borderId="6" xfId="0" applyNumberFormat="1" applyFont="1" applyFill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/>
    <xf numFmtId="3" fontId="7" fillId="0" borderId="9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41" fontId="6" fillId="7" borderId="4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/>
    <xf numFmtId="41" fontId="6" fillId="7" borderId="12" xfId="0" applyNumberFormat="1" applyFont="1" applyFill="1" applyBorder="1" applyAlignment="1">
      <alignment horizontal="right" vertical="center"/>
    </xf>
    <xf numFmtId="41" fontId="6" fillId="7" borderId="4" xfId="0" applyNumberFormat="1" applyFont="1" applyFill="1" applyBorder="1" applyAlignment="1">
      <alignment vertical="center"/>
    </xf>
    <xf numFmtId="41" fontId="6" fillId="7" borderId="3" xfId="0" applyNumberFormat="1" applyFont="1" applyFill="1" applyBorder="1" applyAlignment="1">
      <alignment vertical="center"/>
    </xf>
    <xf numFmtId="41" fontId="6" fillId="7" borderId="3" xfId="1" applyNumberFormat="1" applyFont="1" applyFill="1" applyBorder="1" applyAlignment="1">
      <alignment vertical="center"/>
    </xf>
    <xf numFmtId="41" fontId="6" fillId="3" borderId="1" xfId="2" applyNumberFormat="1" applyFont="1" applyFill="1" applyBorder="1" applyAlignment="1">
      <alignment vertical="center"/>
    </xf>
    <xf numFmtId="41" fontId="6" fillId="8" borderId="14" xfId="0" applyNumberFormat="1" applyFont="1" applyFill="1" applyBorder="1" applyAlignment="1">
      <alignment horizontal="right" vertical="center"/>
    </xf>
    <xf numFmtId="41" fontId="6" fillId="8" borderId="15" xfId="0" applyNumberFormat="1" applyFont="1" applyFill="1" applyBorder="1" applyAlignment="1">
      <alignment horizontal="right" vertical="center"/>
    </xf>
    <xf numFmtId="41" fontId="6" fillId="8" borderId="16" xfId="0" applyNumberFormat="1" applyFont="1" applyFill="1" applyBorder="1" applyAlignment="1">
      <alignment horizontal="right" vertical="center"/>
    </xf>
    <xf numFmtId="41" fontId="6" fillId="8" borderId="14" xfId="0" applyNumberFormat="1" applyFont="1" applyFill="1" applyBorder="1" applyAlignment="1">
      <alignment vertical="center"/>
    </xf>
    <xf numFmtId="41" fontId="6" fillId="8" borderId="15" xfId="0" applyNumberFormat="1" applyFont="1" applyFill="1" applyBorder="1" applyAlignment="1">
      <alignment vertical="center"/>
    </xf>
    <xf numFmtId="41" fontId="6" fillId="8" borderId="16" xfId="0" applyNumberFormat="1" applyFont="1" applyFill="1" applyBorder="1" applyAlignment="1">
      <alignment vertical="center"/>
    </xf>
    <xf numFmtId="41" fontId="6" fillId="8" borderId="4" xfId="0" applyNumberFormat="1" applyFont="1" applyFill="1" applyBorder="1" applyAlignment="1">
      <alignment horizontal="right" vertical="center"/>
    </xf>
    <xf numFmtId="41" fontId="6" fillId="8" borderId="4" xfId="0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right" vertical="center"/>
    </xf>
    <xf numFmtId="41" fontId="11" fillId="9" borderId="1" xfId="2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41" fontId="6" fillId="10" borderId="1" xfId="2" applyNumberFormat="1" applyFont="1" applyFill="1" applyBorder="1" applyAlignment="1">
      <alignment vertical="center"/>
    </xf>
    <xf numFmtId="171" fontId="8" fillId="0" borderId="0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41" fontId="7" fillId="5" borderId="21" xfId="0" applyNumberFormat="1" applyFont="1" applyFill="1" applyBorder="1" applyAlignment="1">
      <alignment horizontal="right" vertical="center"/>
    </xf>
    <xf numFmtId="41" fontId="7" fillId="5" borderId="22" xfId="0" applyNumberFormat="1" applyFont="1" applyFill="1" applyBorder="1" applyAlignment="1">
      <alignment horizontal="right" vertical="center"/>
    </xf>
    <xf numFmtId="170" fontId="7" fillId="5" borderId="22" xfId="0" applyNumberFormat="1" applyFont="1" applyFill="1" applyBorder="1" applyAlignment="1">
      <alignment horizontal="right" vertical="center"/>
    </xf>
    <xf numFmtId="41" fontId="6" fillId="6" borderId="19" xfId="0" applyNumberFormat="1" applyFont="1" applyFill="1" applyBorder="1" applyAlignment="1">
      <alignment horizontal="right" vertical="center"/>
    </xf>
    <xf numFmtId="41" fontId="7" fillId="5" borderId="23" xfId="0" applyNumberFormat="1" applyFont="1" applyFill="1" applyBorder="1" applyAlignment="1">
      <alignment horizontal="right" vertical="center"/>
    </xf>
    <xf numFmtId="41" fontId="6" fillId="6" borderId="20" xfId="0" applyNumberFormat="1" applyFont="1" applyFill="1" applyBorder="1" applyAlignment="1">
      <alignment horizontal="right" vertical="center"/>
    </xf>
    <xf numFmtId="0" fontId="6" fillId="5" borderId="23" xfId="0" applyNumberFormat="1" applyFont="1" applyFill="1" applyBorder="1" applyAlignment="1">
      <alignment horizontal="center" vertical="center" wrapText="1"/>
    </xf>
    <xf numFmtId="0" fontId="6" fillId="5" borderId="24" xfId="0" applyNumberFormat="1" applyFont="1" applyFill="1" applyBorder="1" applyAlignment="1">
      <alignment horizontal="center" vertical="center" wrapText="1"/>
    </xf>
    <xf numFmtId="41" fontId="8" fillId="5" borderId="25" xfId="0" applyNumberFormat="1" applyFont="1" applyFill="1" applyBorder="1" applyAlignment="1">
      <alignment horizontal="right" vertical="center"/>
    </xf>
    <xf numFmtId="41" fontId="8" fillId="5" borderId="26" xfId="0" applyNumberFormat="1" applyFont="1" applyFill="1" applyBorder="1" applyAlignment="1">
      <alignment horizontal="right" vertical="center"/>
    </xf>
    <xf numFmtId="170" fontId="8" fillId="5" borderId="26" xfId="0" applyNumberFormat="1" applyFont="1" applyFill="1" applyBorder="1" applyAlignment="1">
      <alignment horizontal="right" vertical="center"/>
    </xf>
    <xf numFmtId="41" fontId="8" fillId="5" borderId="24" xfId="0" applyNumberFormat="1" applyFont="1" applyFill="1" applyBorder="1" applyAlignment="1">
      <alignment horizontal="right" vertical="center"/>
    </xf>
    <xf numFmtId="0" fontId="19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20" fillId="0" borderId="0" xfId="0" applyFont="1"/>
    <xf numFmtId="3" fontId="0" fillId="0" borderId="3" xfId="0" applyNumberFormat="1" applyBorder="1" applyAlignment="1">
      <alignment horizontal="left" vertical="center" wrapText="1"/>
    </xf>
    <xf numFmtId="41" fontId="7" fillId="5" borderId="26" xfId="0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left" vertical="center" wrapText="1"/>
    </xf>
    <xf numFmtId="168" fontId="0" fillId="2" borderId="28" xfId="1" applyNumberFormat="1" applyFont="1" applyFill="1" applyBorder="1" applyAlignment="1">
      <alignment vertical="center"/>
    </xf>
    <xf numFmtId="41" fontId="7" fillId="5" borderId="25" xfId="0" applyNumberFormat="1" applyFont="1" applyFill="1" applyBorder="1" applyAlignment="1">
      <alignment horizontal="right" vertical="center"/>
    </xf>
    <xf numFmtId="41" fontId="7" fillId="5" borderId="24" xfId="0" applyNumberFormat="1" applyFont="1" applyFill="1" applyBorder="1" applyAlignment="1">
      <alignment horizontal="right" vertical="center"/>
    </xf>
    <xf numFmtId="41" fontId="0" fillId="0" borderId="0" xfId="0" applyNumberFormat="1"/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7">
    <cellStyle name="Comma" xfId="1" builtinId="3"/>
    <cellStyle name="Comma 2" xfId="3" xr:uid="{00000000-0005-0000-0000-000001000000}"/>
    <cellStyle name="Comma 2 2" xfId="5" xr:uid="{00000000-0005-0000-0000-000002000000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colors>
    <mruColors>
      <color rgb="FFE4E4E4"/>
      <color rgb="FFDEDAC4"/>
      <color rgb="FFEFEFE1"/>
      <color rgb="FFE4E4D2"/>
      <color rgb="FFD3CDB1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777974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N119"/>
  <sheetViews>
    <sheetView showGridLines="0" tabSelected="1" zoomScale="90" zoomScaleNormal="9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28515625" defaultRowHeight="12.75" outlineLevelCol="1" x14ac:dyDescent="0.2"/>
  <cols>
    <col min="1" max="1" width="32.7109375" style="38" customWidth="1"/>
    <col min="2" max="2" width="2.5703125" customWidth="1"/>
    <col min="3" max="13" width="7.7109375" style="38" hidden="1" customWidth="1" outlineLevel="1"/>
    <col min="14" max="14" width="11.85546875" style="38" customWidth="1" collapsed="1"/>
    <col min="15" max="15" width="2.5703125" customWidth="1"/>
    <col min="16" max="17" width="7.7109375" style="38" hidden="1" customWidth="1" outlineLevel="1"/>
    <col min="18" max="20" width="7.85546875" style="38" hidden="1" customWidth="1" outlineLevel="1"/>
    <col min="21" max="21" width="11.85546875" style="38" customWidth="1" collapsed="1"/>
    <col min="22" max="22" width="2.5703125" customWidth="1"/>
    <col min="23" max="23" width="7.85546875" style="38" hidden="1" customWidth="1" outlineLevel="1"/>
    <col min="24" max="24" width="8" style="38" hidden="1" customWidth="1" outlineLevel="1"/>
    <col min="25" max="25" width="7.85546875" style="38" hidden="1" customWidth="1" outlineLevel="1"/>
    <col min="26" max="27" width="8" style="38" hidden="1" customWidth="1" outlineLevel="1"/>
    <col min="28" max="28" width="11.85546875" style="38" customWidth="1" collapsed="1"/>
    <col min="29" max="29" width="2.5703125" customWidth="1"/>
    <col min="30" max="30" width="11.85546875" style="38" customWidth="1" outlineLevel="1"/>
    <col min="31" max="31" width="2.5703125" style="38" customWidth="1"/>
    <col min="32" max="32" width="13.42578125" style="38" customWidth="1"/>
    <col min="33" max="33" width="4.42578125" style="38" customWidth="1"/>
    <col min="34" max="34" width="7.85546875" style="38" customWidth="1"/>
    <col min="35" max="35" width="8.140625" style="38" customWidth="1"/>
    <col min="36" max="36" width="11.85546875" style="38" customWidth="1"/>
    <col min="37" max="37" width="2.5703125" style="38" customWidth="1"/>
    <col min="38" max="38" width="13.42578125" style="38" customWidth="1"/>
    <col min="39" max="39" width="2.7109375" style="38" customWidth="1"/>
    <col min="40" max="40" width="13.28515625" style="38" bestFit="1" customWidth="1"/>
    <col min="41" max="41" width="12.7109375" style="38" bestFit="1" customWidth="1"/>
    <col min="42" max="16384" width="10.28515625" style="38"/>
  </cols>
  <sheetData>
    <row r="1" spans="1:38" ht="70.5" customHeight="1" x14ac:dyDescent="0.2"/>
    <row r="2" spans="1:38" ht="23.25" customHeight="1" x14ac:dyDescent="0.45">
      <c r="A2" s="32" t="s">
        <v>0</v>
      </c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D2" s="1"/>
    </row>
    <row r="3" spans="1:38" ht="15.75" x14ac:dyDescent="0.25">
      <c r="A3" s="2" t="s">
        <v>67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D3" s="1"/>
    </row>
    <row r="4" spans="1:38" ht="16.5" thickBot="1" x14ac:dyDescent="0.3">
      <c r="A4" s="3" t="s">
        <v>1</v>
      </c>
      <c r="C4" s="4"/>
      <c r="D4" s="4"/>
      <c r="E4" s="4"/>
      <c r="F4" s="4"/>
      <c r="G4" s="4"/>
      <c r="H4" s="4"/>
      <c r="I4" s="4"/>
      <c r="J4" s="4"/>
      <c r="W4" s="13"/>
      <c r="X4" s="13"/>
      <c r="Y4" s="13"/>
      <c r="Z4" s="13"/>
      <c r="AA4" s="13"/>
    </row>
    <row r="5" spans="1:38" ht="33" customHeight="1" thickBot="1" x14ac:dyDescent="0.3">
      <c r="A5" s="36"/>
      <c r="C5" s="4"/>
      <c r="D5" s="4"/>
      <c r="E5" s="4"/>
      <c r="F5" s="4"/>
      <c r="G5" s="4"/>
      <c r="H5" s="4"/>
      <c r="I5" s="4"/>
      <c r="J5" s="4"/>
      <c r="AH5" s="146" t="s">
        <v>43</v>
      </c>
      <c r="AI5" s="147"/>
      <c r="AJ5" s="148"/>
      <c r="AL5" s="142" t="s">
        <v>51</v>
      </c>
    </row>
    <row r="6" spans="1:38" ht="30.75" thickBot="1" x14ac:dyDescent="0.25">
      <c r="A6" s="47" t="s">
        <v>50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8">
        <v>2006</v>
      </c>
      <c r="J6" s="7">
        <v>2007</v>
      </c>
      <c r="K6" s="8">
        <v>2008</v>
      </c>
      <c r="L6" s="7">
        <v>2009</v>
      </c>
      <c r="M6" s="7">
        <v>2010</v>
      </c>
      <c r="N6" s="48" t="s">
        <v>46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8" t="s">
        <v>47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8" t="s">
        <v>48</v>
      </c>
      <c r="AD6" s="7">
        <v>2021</v>
      </c>
      <c r="AF6" s="49" t="s">
        <v>49</v>
      </c>
      <c r="AH6" s="125">
        <v>2020</v>
      </c>
      <c r="AI6" s="126">
        <v>2021</v>
      </c>
      <c r="AJ6" s="131" t="s">
        <v>60</v>
      </c>
      <c r="AL6" s="143"/>
    </row>
    <row r="7" spans="1:38" ht="13.5" thickBot="1" x14ac:dyDescent="0.25">
      <c r="A7" s="9" t="s">
        <v>2</v>
      </c>
      <c r="C7" s="50"/>
      <c r="D7" s="50"/>
      <c r="E7" s="50"/>
      <c r="F7" s="50"/>
      <c r="G7" s="50"/>
      <c r="H7" s="51"/>
      <c r="I7" s="52">
        <v>5</v>
      </c>
      <c r="J7" s="53">
        <v>5</v>
      </c>
      <c r="K7" s="54">
        <v>5</v>
      </c>
      <c r="L7" s="52">
        <v>5</v>
      </c>
      <c r="M7" s="52">
        <v>8.6</v>
      </c>
      <c r="N7" s="96">
        <f>SUM(C7:M7)</f>
        <v>28.6</v>
      </c>
      <c r="P7" s="52">
        <v>48.844000000000001</v>
      </c>
      <c r="Q7" s="52">
        <v>56.485500000000002</v>
      </c>
      <c r="R7" s="52">
        <v>48.277250000000002</v>
      </c>
      <c r="S7" s="52">
        <f>45.79575+42.825</f>
        <v>88.620750000000001</v>
      </c>
      <c r="T7" s="52"/>
      <c r="U7" s="96">
        <f>SUM(P7:T7)</f>
        <v>242.22750000000002</v>
      </c>
      <c r="W7" s="52">
        <v>37.579124999999998</v>
      </c>
      <c r="X7" s="52">
        <f>1.852+13.65175</f>
        <v>15.50375</v>
      </c>
      <c r="Y7" s="52"/>
      <c r="Z7" s="52">
        <f>22.31575+20.4070375+24.071875</f>
        <v>66.794662500000001</v>
      </c>
      <c r="AA7" s="52">
        <f>7.665+29.44425</f>
        <v>37.109250000000003</v>
      </c>
      <c r="AB7" s="96">
        <f>SUM(W7:AA7)</f>
        <v>156.98678749999999</v>
      </c>
      <c r="AD7" s="52"/>
      <c r="AF7" s="104">
        <f>SUM(AB7,U7,N7,AD7)</f>
        <v>427.81428750000003</v>
      </c>
      <c r="AG7" s="42"/>
      <c r="AH7" s="119">
        <v>28.511231739999999</v>
      </c>
      <c r="AI7" s="139">
        <f>1.90273211+3.09078161</f>
        <v>4.9935137200000002</v>
      </c>
      <c r="AJ7" s="127">
        <f>SUM(AH7:AI7)</f>
        <v>33.504745460000002</v>
      </c>
      <c r="AL7" s="104">
        <f>SUM(AF7,AJ7)</f>
        <v>461.31903296000002</v>
      </c>
    </row>
    <row r="8" spans="1:38" ht="13.5" thickBot="1" x14ac:dyDescent="0.25">
      <c r="A8" s="33" t="s">
        <v>59</v>
      </c>
      <c r="B8" s="38"/>
      <c r="C8" s="50"/>
      <c r="D8" s="59"/>
      <c r="E8" s="50"/>
      <c r="F8" s="50"/>
      <c r="G8" s="59"/>
      <c r="H8" s="55"/>
      <c r="I8" s="56"/>
      <c r="J8" s="56"/>
      <c r="K8" s="57"/>
      <c r="L8" s="56"/>
      <c r="M8" s="56"/>
      <c r="N8" s="97">
        <f t="shared" ref="N8:N10" si="0">SUM(C8:M8)</f>
        <v>0</v>
      </c>
      <c r="O8" s="38"/>
      <c r="P8" s="56"/>
      <c r="Q8" s="58"/>
      <c r="R8" s="58"/>
      <c r="S8" s="58"/>
      <c r="T8" s="58"/>
      <c r="U8" s="97">
        <f t="shared" ref="U8:U10" si="1">SUM(P8:T8)</f>
        <v>0</v>
      </c>
      <c r="V8" s="38"/>
      <c r="W8" s="58"/>
      <c r="X8" s="58"/>
      <c r="Y8" s="58"/>
      <c r="Z8" s="58"/>
      <c r="AA8" s="58"/>
      <c r="AB8" s="97">
        <f t="shared" ref="AB8:AB10" si="2">SUM(W8:AA8)</f>
        <v>0</v>
      </c>
      <c r="AC8" s="38"/>
      <c r="AD8" s="58"/>
      <c r="AF8" s="105">
        <f t="shared" ref="AF8:AF10" si="3">SUM(AB8,U8,N8,AD8)</f>
        <v>0</v>
      </c>
      <c r="AG8" s="42"/>
      <c r="AH8" s="120"/>
      <c r="AI8" s="136">
        <v>2.8351199999999999</v>
      </c>
      <c r="AJ8" s="128">
        <f t="shared" ref="AJ8:AJ49" si="4">SUM(AH8:AI8)</f>
        <v>2.8351199999999999</v>
      </c>
      <c r="AL8" s="105">
        <f t="shared" ref="AL8:AL49" si="5">SUM(AF8,AJ8)</f>
        <v>2.8351199999999999</v>
      </c>
    </row>
    <row r="9" spans="1:38" ht="13.5" thickBot="1" x14ac:dyDescent="0.25">
      <c r="A9" s="33" t="s">
        <v>70</v>
      </c>
      <c r="B9" s="38"/>
      <c r="C9" s="50"/>
      <c r="D9" s="59"/>
      <c r="E9" s="50"/>
      <c r="F9" s="50"/>
      <c r="G9" s="59"/>
      <c r="H9" s="55"/>
      <c r="I9" s="56"/>
      <c r="J9" s="56"/>
      <c r="K9" s="57"/>
      <c r="L9" s="56"/>
      <c r="M9" s="56"/>
      <c r="N9" s="97">
        <f t="shared" ref="N9" si="6">SUM(C9:M9)</f>
        <v>0</v>
      </c>
      <c r="O9" s="38"/>
      <c r="P9" s="56"/>
      <c r="Q9" s="58"/>
      <c r="R9" s="58"/>
      <c r="S9" s="58"/>
      <c r="T9" s="58"/>
      <c r="U9" s="97">
        <f t="shared" ref="U9" si="7">SUM(P9:T9)</f>
        <v>0</v>
      </c>
      <c r="V9" s="38"/>
      <c r="W9" s="58"/>
      <c r="X9" s="58"/>
      <c r="Y9" s="58"/>
      <c r="Z9" s="58"/>
      <c r="AA9" s="58"/>
      <c r="AB9" s="97">
        <f t="shared" ref="AB9" si="8">SUM(W9:AA9)</f>
        <v>0</v>
      </c>
      <c r="AC9" s="38"/>
      <c r="AD9" s="58"/>
      <c r="AF9" s="105">
        <f t="shared" ref="AF9" si="9">SUM(AB9,U9,N9,AD9)</f>
        <v>0</v>
      </c>
      <c r="AG9" s="42"/>
      <c r="AH9" s="120"/>
      <c r="AI9" s="136">
        <v>4.8844000000000003</v>
      </c>
      <c r="AJ9" s="128">
        <f t="shared" ref="AJ9" si="10">SUM(AH9:AI9)</f>
        <v>4.8844000000000003</v>
      </c>
      <c r="AL9" s="105">
        <f t="shared" ref="AL9" si="11">SUM(AF9,AJ9)</f>
        <v>4.8844000000000003</v>
      </c>
    </row>
    <row r="10" spans="1:38" ht="13.5" thickBot="1" x14ac:dyDescent="0.25">
      <c r="A10" s="33" t="s">
        <v>62</v>
      </c>
      <c r="B10" s="38"/>
      <c r="C10" s="50"/>
      <c r="D10" s="59"/>
      <c r="E10" s="50"/>
      <c r="F10" s="50"/>
      <c r="G10" s="59"/>
      <c r="H10" s="55"/>
      <c r="I10" s="56"/>
      <c r="J10" s="56"/>
      <c r="K10" s="57"/>
      <c r="L10" s="56"/>
      <c r="M10" s="56"/>
      <c r="N10" s="97">
        <f t="shared" si="0"/>
        <v>0</v>
      </c>
      <c r="O10" s="38"/>
      <c r="P10" s="56"/>
      <c r="Q10" s="58"/>
      <c r="R10" s="58"/>
      <c r="S10" s="58"/>
      <c r="T10" s="58"/>
      <c r="U10" s="97">
        <f t="shared" si="1"/>
        <v>0</v>
      </c>
      <c r="V10" s="38"/>
      <c r="W10" s="58"/>
      <c r="X10" s="58"/>
      <c r="Y10" s="58"/>
      <c r="Z10" s="58"/>
      <c r="AA10" s="58"/>
      <c r="AB10" s="97">
        <f t="shared" si="2"/>
        <v>0</v>
      </c>
      <c r="AC10" s="38"/>
      <c r="AD10" s="58"/>
      <c r="AF10" s="105">
        <f t="shared" si="3"/>
        <v>0</v>
      </c>
      <c r="AG10" s="42"/>
      <c r="AH10" s="120"/>
      <c r="AI10" s="136">
        <v>5.0000000000000001E-3</v>
      </c>
      <c r="AJ10" s="128">
        <f t="shared" si="4"/>
        <v>5.0000000000000001E-3</v>
      </c>
      <c r="AL10" s="105">
        <f t="shared" si="5"/>
        <v>5.0000000000000001E-3</v>
      </c>
    </row>
    <row r="11" spans="1:38" ht="13.5" thickBot="1" x14ac:dyDescent="0.25">
      <c r="A11" s="33" t="s">
        <v>68</v>
      </c>
      <c r="B11" s="38"/>
      <c r="C11" s="50"/>
      <c r="D11" s="59"/>
      <c r="E11" s="50"/>
      <c r="F11" s="50"/>
      <c r="G11" s="59"/>
      <c r="H11" s="55"/>
      <c r="I11" s="56"/>
      <c r="J11" s="56"/>
      <c r="K11" s="57"/>
      <c r="L11" s="56"/>
      <c r="M11" s="56"/>
      <c r="N11" s="97">
        <f t="shared" ref="N11" si="12">SUM(C11:M11)</f>
        <v>0</v>
      </c>
      <c r="O11" s="38"/>
      <c r="P11" s="56"/>
      <c r="Q11" s="58"/>
      <c r="R11" s="58"/>
      <c r="S11" s="58"/>
      <c r="T11" s="58"/>
      <c r="U11" s="97">
        <f t="shared" ref="U11" si="13">SUM(P11:T11)</f>
        <v>0</v>
      </c>
      <c r="V11" s="38"/>
      <c r="W11" s="58"/>
      <c r="X11" s="58"/>
      <c r="Y11" s="58"/>
      <c r="Z11" s="58"/>
      <c r="AA11" s="58"/>
      <c r="AB11" s="97">
        <f t="shared" ref="AB11" si="14">SUM(W11:AA11)</f>
        <v>0</v>
      </c>
      <c r="AC11" s="38"/>
      <c r="AD11" s="58">
        <v>1</v>
      </c>
      <c r="AF11" s="105">
        <f t="shared" ref="AF11" si="15">SUM(AB11,U11,N11,AD11)</f>
        <v>1</v>
      </c>
      <c r="AG11" s="42"/>
      <c r="AH11" s="120"/>
      <c r="AI11" s="136"/>
      <c r="AJ11" s="128">
        <f t="shared" ref="AJ11" si="16">SUM(AH11:AI11)</f>
        <v>0</v>
      </c>
      <c r="AL11" s="105">
        <f t="shared" ref="AL11" si="17">SUM(AF11,AJ11)</f>
        <v>1</v>
      </c>
    </row>
    <row r="12" spans="1:38" ht="13.5" thickBot="1" x14ac:dyDescent="0.25">
      <c r="A12" s="11" t="s">
        <v>3</v>
      </c>
      <c r="C12" s="50"/>
      <c r="D12" s="50"/>
      <c r="E12" s="50">
        <v>1.88035602</v>
      </c>
      <c r="F12" s="50">
        <v>4.7554213499999998</v>
      </c>
      <c r="G12" s="50">
        <v>9.0627342500000001</v>
      </c>
      <c r="H12" s="55">
        <v>130.86864059999999</v>
      </c>
      <c r="I12" s="56">
        <v>5.1903114199999996</v>
      </c>
      <c r="J12" s="56"/>
      <c r="K12" s="57"/>
      <c r="L12" s="56"/>
      <c r="M12" s="56"/>
      <c r="N12" s="97">
        <f t="shared" ref="N12:N49" si="18">SUM(C12:M12)</f>
        <v>151.75746364</v>
      </c>
      <c r="P12" s="56">
        <v>20.736000000000001</v>
      </c>
      <c r="Q12" s="58">
        <v>15.128593039999998</v>
      </c>
      <c r="R12" s="58">
        <v>38.974714310000003</v>
      </c>
      <c r="S12" s="58">
        <f>18.32844575+18.32844575</f>
        <v>36.6568915</v>
      </c>
      <c r="T12" s="58">
        <v>8.0340000000000007</v>
      </c>
      <c r="U12" s="97">
        <f t="shared" ref="U12:U49" si="19">SUM(P12:T12)</f>
        <v>119.53019885000002</v>
      </c>
      <c r="W12" s="58">
        <v>77.10330716</v>
      </c>
      <c r="X12" s="58">
        <f>76.26582082+16.27927621</f>
        <v>92.545097029999994</v>
      </c>
      <c r="Y12" s="58">
        <v>76.86314084</v>
      </c>
      <c r="Z12" s="58">
        <v>94.881251149999997</v>
      </c>
      <c r="AA12" s="58">
        <v>68.355820251599994</v>
      </c>
      <c r="AB12" s="97">
        <f t="shared" ref="AB12:AB49" si="20">SUM(W12:AA12)</f>
        <v>409.7486164316</v>
      </c>
      <c r="AD12" s="58">
        <v>73.72460212</v>
      </c>
      <c r="AF12" s="105">
        <f t="shared" ref="AF12:AF49" si="21">SUM(AB12,U12,N12,AD12)</f>
        <v>754.76088104159999</v>
      </c>
      <c r="AG12" s="42"/>
      <c r="AH12" s="120"/>
      <c r="AI12" s="136">
        <f>25+86.17988092+87.97184901</f>
        <v>199.15172992999999</v>
      </c>
      <c r="AJ12" s="128">
        <f t="shared" si="4"/>
        <v>199.15172992999999</v>
      </c>
      <c r="AL12" s="105">
        <f t="shared" si="5"/>
        <v>953.91261097159997</v>
      </c>
    </row>
    <row r="13" spans="1:38" ht="13.5" thickBot="1" x14ac:dyDescent="0.25">
      <c r="A13" s="33" t="s">
        <v>71</v>
      </c>
      <c r="B13" s="38"/>
      <c r="C13" s="50"/>
      <c r="D13" s="59"/>
      <c r="E13" s="50"/>
      <c r="F13" s="50"/>
      <c r="G13" s="59"/>
      <c r="H13" s="55"/>
      <c r="I13" s="56"/>
      <c r="J13" s="56"/>
      <c r="K13" s="57"/>
      <c r="L13" s="56"/>
      <c r="M13" s="56"/>
      <c r="N13" s="97">
        <f t="shared" si="18"/>
        <v>0</v>
      </c>
      <c r="O13" s="38"/>
      <c r="P13" s="56"/>
      <c r="Q13" s="58"/>
      <c r="R13" s="58"/>
      <c r="S13" s="58"/>
      <c r="T13" s="58"/>
      <c r="U13" s="97">
        <f t="shared" ref="U13" si="22">SUM(P13:T13)</f>
        <v>0</v>
      </c>
      <c r="V13" s="38"/>
      <c r="W13" s="58"/>
      <c r="X13" s="58"/>
      <c r="Y13" s="58"/>
      <c r="Z13" s="58"/>
      <c r="AA13" s="58"/>
      <c r="AB13" s="97">
        <f t="shared" ref="AB13" si="23">SUM(W13:AA13)</f>
        <v>0</v>
      </c>
      <c r="AC13" s="38"/>
      <c r="AD13" s="58"/>
      <c r="AF13" s="105">
        <f t="shared" si="21"/>
        <v>0</v>
      </c>
      <c r="AG13" s="42"/>
      <c r="AH13" s="120"/>
      <c r="AI13" s="136">
        <v>0.3478405</v>
      </c>
      <c r="AJ13" s="128">
        <f t="shared" ref="AJ13" si="24">SUM(AH13:AI13)</f>
        <v>0.3478405</v>
      </c>
      <c r="AL13" s="105">
        <f t="shared" ref="AL13" si="25">SUM(AF13,AJ13)</f>
        <v>0.3478405</v>
      </c>
    </row>
    <row r="14" spans="1:38" ht="13.5" thickBot="1" x14ac:dyDescent="0.25">
      <c r="A14" s="33" t="s">
        <v>4</v>
      </c>
      <c r="C14" s="50"/>
      <c r="D14" s="59"/>
      <c r="E14" s="50"/>
      <c r="F14" s="50"/>
      <c r="G14" s="59"/>
      <c r="H14" s="55"/>
      <c r="I14" s="56"/>
      <c r="J14" s="56"/>
      <c r="K14" s="57"/>
      <c r="L14" s="56"/>
      <c r="M14" s="56"/>
      <c r="N14" s="97">
        <f t="shared" si="18"/>
        <v>0</v>
      </c>
      <c r="P14" s="56"/>
      <c r="Q14" s="58"/>
      <c r="R14" s="58"/>
      <c r="S14" s="58"/>
      <c r="T14" s="58"/>
      <c r="U14" s="97">
        <f t="shared" si="19"/>
        <v>0</v>
      </c>
      <c r="W14" s="58">
        <v>2</v>
      </c>
      <c r="X14" s="58">
        <v>1</v>
      </c>
      <c r="Y14" s="58">
        <v>0.5</v>
      </c>
      <c r="Z14" s="58">
        <v>0.5</v>
      </c>
      <c r="AA14" s="58">
        <v>1</v>
      </c>
      <c r="AB14" s="97">
        <f t="shared" si="20"/>
        <v>5</v>
      </c>
      <c r="AD14" s="58"/>
      <c r="AF14" s="105">
        <f t="shared" si="21"/>
        <v>5</v>
      </c>
      <c r="AG14" s="42"/>
      <c r="AH14" s="120"/>
      <c r="AI14" s="136"/>
      <c r="AJ14" s="128">
        <f t="shared" si="4"/>
        <v>0</v>
      </c>
      <c r="AL14" s="105">
        <f t="shared" si="5"/>
        <v>5</v>
      </c>
    </row>
    <row r="15" spans="1:38" ht="13.5" thickBot="1" x14ac:dyDescent="0.25">
      <c r="A15" s="33" t="s">
        <v>44</v>
      </c>
      <c r="C15" s="50"/>
      <c r="D15" s="59"/>
      <c r="E15" s="50"/>
      <c r="F15" s="50"/>
      <c r="G15" s="59"/>
      <c r="H15" s="55"/>
      <c r="I15" s="56"/>
      <c r="J15" s="56"/>
      <c r="K15" s="57"/>
      <c r="L15" s="56"/>
      <c r="M15" s="56"/>
      <c r="N15" s="97">
        <f t="shared" si="18"/>
        <v>0</v>
      </c>
      <c r="P15" s="56"/>
      <c r="Q15" s="58"/>
      <c r="R15" s="58"/>
      <c r="S15" s="58"/>
      <c r="T15" s="58"/>
      <c r="U15" s="97">
        <f t="shared" si="19"/>
        <v>0</v>
      </c>
      <c r="W15" s="58"/>
      <c r="X15" s="58"/>
      <c r="Y15" s="58"/>
      <c r="Z15" s="58"/>
      <c r="AA15" s="58"/>
      <c r="AB15" s="97">
        <f t="shared" si="20"/>
        <v>0</v>
      </c>
      <c r="AD15" s="58"/>
      <c r="AF15" s="105">
        <f t="shared" si="21"/>
        <v>0</v>
      </c>
      <c r="AG15" s="42"/>
      <c r="AH15" s="120">
        <v>0.5</v>
      </c>
      <c r="AI15" s="136"/>
      <c r="AJ15" s="128">
        <f t="shared" si="4"/>
        <v>0.5</v>
      </c>
      <c r="AL15" s="105">
        <f t="shared" si="5"/>
        <v>0.5</v>
      </c>
    </row>
    <row r="16" spans="1:38" ht="13.5" thickBot="1" x14ac:dyDescent="0.25">
      <c r="A16" s="11" t="s">
        <v>5</v>
      </c>
      <c r="C16" s="50"/>
      <c r="D16" s="59">
        <v>1.1474074299999999</v>
      </c>
      <c r="E16" s="50"/>
      <c r="F16" s="50"/>
      <c r="G16" s="59">
        <v>3.3388792199999999</v>
      </c>
      <c r="H16" s="60">
        <v>3.4161073900000001</v>
      </c>
      <c r="I16" s="56">
        <v>4.4112623400000004</v>
      </c>
      <c r="J16" s="56">
        <v>4.7375400000000001</v>
      </c>
      <c r="K16" s="57"/>
      <c r="L16" s="56">
        <v>9.0983955899999991</v>
      </c>
      <c r="M16" s="56">
        <v>1.807207</v>
      </c>
      <c r="N16" s="97">
        <f t="shared" si="18"/>
        <v>27.956798970000001</v>
      </c>
      <c r="P16" s="56">
        <v>8.798</v>
      </c>
      <c r="Q16" s="58">
        <v>4.3516250000000003</v>
      </c>
      <c r="R16" s="58">
        <v>4.5993378800000002</v>
      </c>
      <c r="S16" s="58"/>
      <c r="T16" s="58"/>
      <c r="U16" s="97">
        <f t="shared" si="19"/>
        <v>17.748962880000001</v>
      </c>
      <c r="W16" s="58"/>
      <c r="X16" s="58"/>
      <c r="Y16" s="58">
        <v>3.8159674899999998</v>
      </c>
      <c r="Z16" s="58">
        <v>3.6509349800000002</v>
      </c>
      <c r="AA16" s="58">
        <v>7.8875910999999999</v>
      </c>
      <c r="AB16" s="97">
        <f t="shared" si="20"/>
        <v>15.354493569999999</v>
      </c>
      <c r="AD16" s="58"/>
      <c r="AF16" s="105">
        <f t="shared" si="21"/>
        <v>61.060255419999997</v>
      </c>
      <c r="AG16" s="42"/>
      <c r="AH16" s="120"/>
      <c r="AI16" s="136">
        <f>7.91851255+7.99475263</f>
        <v>15.91326518</v>
      </c>
      <c r="AJ16" s="128">
        <f t="shared" si="4"/>
        <v>15.91326518</v>
      </c>
      <c r="AL16" s="105">
        <f t="shared" si="5"/>
        <v>76.973520600000001</v>
      </c>
    </row>
    <row r="17" spans="1:38" ht="13.5" thickBot="1" x14ac:dyDescent="0.25">
      <c r="A17" s="11" t="s">
        <v>53</v>
      </c>
      <c r="B17" s="38"/>
      <c r="C17" s="50"/>
      <c r="D17" s="59"/>
      <c r="E17" s="50"/>
      <c r="F17" s="59"/>
      <c r="G17" s="59"/>
      <c r="H17" s="60"/>
      <c r="I17" s="56"/>
      <c r="J17" s="56"/>
      <c r="K17" s="57"/>
      <c r="L17" s="56"/>
      <c r="M17" s="56"/>
      <c r="N17" s="97">
        <f t="shared" si="18"/>
        <v>0</v>
      </c>
      <c r="O17" s="38"/>
      <c r="P17" s="56"/>
      <c r="Q17" s="58"/>
      <c r="R17" s="58"/>
      <c r="S17" s="58"/>
      <c r="T17" s="58"/>
      <c r="U17" s="97">
        <f t="shared" si="19"/>
        <v>0</v>
      </c>
      <c r="V17" s="38"/>
      <c r="W17" s="58"/>
      <c r="X17" s="58"/>
      <c r="Y17" s="58"/>
      <c r="Z17" s="58"/>
      <c r="AA17" s="58"/>
      <c r="AB17" s="97">
        <f t="shared" si="20"/>
        <v>0</v>
      </c>
      <c r="AC17" s="38"/>
      <c r="AD17" s="58"/>
      <c r="AF17" s="105">
        <f t="shared" si="21"/>
        <v>0</v>
      </c>
      <c r="AG17" s="42"/>
      <c r="AH17" s="121">
        <v>8.5266999999999996E-2</v>
      </c>
      <c r="AI17" s="136"/>
      <c r="AJ17" s="129">
        <f t="shared" si="4"/>
        <v>8.5266999999999996E-2</v>
      </c>
      <c r="AL17" s="105">
        <f t="shared" si="5"/>
        <v>8.5266999999999996E-2</v>
      </c>
    </row>
    <row r="18" spans="1:38" ht="13.5" thickBot="1" x14ac:dyDescent="0.25">
      <c r="A18" s="11" t="s">
        <v>6</v>
      </c>
      <c r="C18" s="50"/>
      <c r="D18" s="50"/>
      <c r="E18" s="50"/>
      <c r="F18" s="59">
        <v>1.26</v>
      </c>
      <c r="G18" s="50"/>
      <c r="H18" s="60"/>
      <c r="I18" s="56"/>
      <c r="J18" s="56">
        <v>4.84964</v>
      </c>
      <c r="K18" s="57">
        <v>23.129114000000001</v>
      </c>
      <c r="L18" s="56">
        <v>28.630130000000001</v>
      </c>
      <c r="M18" s="56"/>
      <c r="N18" s="97">
        <f t="shared" si="18"/>
        <v>57.868884000000001</v>
      </c>
      <c r="P18" s="61"/>
      <c r="Q18" s="58">
        <v>12.54732252</v>
      </c>
      <c r="R18" s="58"/>
      <c r="S18" s="58"/>
      <c r="T18" s="58">
        <v>22.27009</v>
      </c>
      <c r="U18" s="97">
        <f t="shared" si="19"/>
        <v>34.817412519999998</v>
      </c>
      <c r="W18" s="58">
        <v>14.401260000000001</v>
      </c>
      <c r="X18" s="58">
        <v>7.8138899999999998</v>
      </c>
      <c r="Y18" s="58">
        <f>30.83275+22.80911886</f>
        <v>53.641868860000002</v>
      </c>
      <c r="Z18" s="58">
        <f>9.8694+80.7264</f>
        <v>90.595799999999997</v>
      </c>
      <c r="AA18" s="58">
        <v>16.350000000000001</v>
      </c>
      <c r="AB18" s="97">
        <f t="shared" si="20"/>
        <v>182.80281886</v>
      </c>
      <c r="AD18" s="58">
        <v>30.832750000000001</v>
      </c>
      <c r="AF18" s="105">
        <f t="shared" si="21"/>
        <v>306.32186537999996</v>
      </c>
      <c r="AG18" s="42"/>
      <c r="AH18" s="120"/>
      <c r="AI18" s="136"/>
      <c r="AJ18" s="128">
        <f t="shared" si="4"/>
        <v>0</v>
      </c>
      <c r="AL18" s="105">
        <f t="shared" si="5"/>
        <v>306.32186537999996</v>
      </c>
    </row>
    <row r="19" spans="1:38" ht="13.5" thickBot="1" x14ac:dyDescent="0.25">
      <c r="A19" s="11" t="s">
        <v>52</v>
      </c>
      <c r="B19" s="38"/>
      <c r="C19" s="50"/>
      <c r="D19" s="50"/>
      <c r="E19" s="50"/>
      <c r="F19" s="59"/>
      <c r="G19" s="59"/>
      <c r="H19" s="60"/>
      <c r="I19" s="56"/>
      <c r="J19" s="56"/>
      <c r="K19" s="57"/>
      <c r="L19" s="56"/>
      <c r="M19" s="56"/>
      <c r="N19" s="97">
        <f t="shared" si="18"/>
        <v>0</v>
      </c>
      <c r="O19" s="38"/>
      <c r="P19" s="61"/>
      <c r="Q19" s="58"/>
      <c r="R19" s="58"/>
      <c r="S19" s="58"/>
      <c r="T19" s="58"/>
      <c r="U19" s="97">
        <f t="shared" si="19"/>
        <v>0</v>
      </c>
      <c r="V19" s="38"/>
      <c r="W19" s="58"/>
      <c r="X19" s="58"/>
      <c r="Y19" s="58"/>
      <c r="Z19" s="58"/>
      <c r="AA19" s="58">
        <v>3.0407500000000001</v>
      </c>
      <c r="AB19" s="97">
        <f t="shared" si="20"/>
        <v>3.0407500000000001</v>
      </c>
      <c r="AC19" s="38"/>
      <c r="AD19" s="58"/>
      <c r="AF19" s="105">
        <f t="shared" si="21"/>
        <v>3.0407500000000001</v>
      </c>
      <c r="AG19" s="42"/>
      <c r="AH19" s="120"/>
      <c r="AI19" s="136"/>
      <c r="AJ19" s="128">
        <f t="shared" si="4"/>
        <v>0</v>
      </c>
      <c r="AL19" s="105">
        <f t="shared" si="5"/>
        <v>3.0407500000000001</v>
      </c>
    </row>
    <row r="20" spans="1:38" ht="13.5" thickBot="1" x14ac:dyDescent="0.25">
      <c r="A20" s="33" t="s">
        <v>7</v>
      </c>
      <c r="C20" s="50"/>
      <c r="D20" s="50"/>
      <c r="E20" s="50"/>
      <c r="F20" s="50"/>
      <c r="G20" s="59">
        <v>6.0291139200000003</v>
      </c>
      <c r="H20" s="60"/>
      <c r="I20" s="56">
        <v>12.63</v>
      </c>
      <c r="J20" s="56"/>
      <c r="K20" s="57"/>
      <c r="L20" s="56"/>
      <c r="M20" s="56"/>
      <c r="N20" s="97">
        <f t="shared" si="18"/>
        <v>18.659113920000003</v>
      </c>
      <c r="P20" s="56">
        <v>34.5</v>
      </c>
      <c r="Q20" s="58">
        <v>20.102150000000002</v>
      </c>
      <c r="R20" s="58">
        <v>34.93515</v>
      </c>
      <c r="S20" s="58">
        <v>6.8425500000000001</v>
      </c>
      <c r="T20" s="58">
        <v>5.8586</v>
      </c>
      <c r="U20" s="97">
        <f t="shared" si="19"/>
        <v>102.23845</v>
      </c>
      <c r="W20" s="58">
        <v>134.53778</v>
      </c>
      <c r="X20" s="58"/>
      <c r="Y20" s="58"/>
      <c r="Z20" s="58"/>
      <c r="AA20" s="58">
        <v>18.169499999999999</v>
      </c>
      <c r="AB20" s="97">
        <f t="shared" si="20"/>
        <v>152.70728</v>
      </c>
      <c r="AD20" s="58"/>
      <c r="AF20" s="105">
        <f t="shared" si="21"/>
        <v>273.60484392000001</v>
      </c>
      <c r="AG20" s="42"/>
      <c r="AH20" s="120"/>
      <c r="AI20" s="136">
        <v>42.845543999999997</v>
      </c>
      <c r="AJ20" s="128">
        <f t="shared" si="4"/>
        <v>42.845543999999997</v>
      </c>
      <c r="AL20" s="105">
        <f t="shared" si="5"/>
        <v>316.45038792000003</v>
      </c>
    </row>
    <row r="21" spans="1:38" ht="13.5" thickBot="1" x14ac:dyDescent="0.25">
      <c r="A21" s="14" t="s">
        <v>8</v>
      </c>
      <c r="C21" s="50"/>
      <c r="D21" s="50"/>
      <c r="E21" s="50"/>
      <c r="F21" s="50"/>
      <c r="G21" s="50"/>
      <c r="H21" s="60"/>
      <c r="I21" s="56">
        <v>5.2603999999999997</v>
      </c>
      <c r="J21" s="56">
        <v>5.9480000000000004</v>
      </c>
      <c r="K21" s="57"/>
      <c r="L21" s="56">
        <v>5.7213799999999999</v>
      </c>
      <c r="M21" s="56">
        <v>5.13598</v>
      </c>
      <c r="N21" s="97">
        <f t="shared" si="18"/>
        <v>22.065760000000001</v>
      </c>
      <c r="P21" s="56">
        <v>8.5</v>
      </c>
      <c r="Q21" s="58">
        <v>34.692483279999998</v>
      </c>
      <c r="R21" s="58">
        <v>35.390059999999998</v>
      </c>
      <c r="S21" s="58">
        <f>11.6316+27.47318393+11.2563+9.96968308</f>
        <v>60.330767010000002</v>
      </c>
      <c r="T21" s="58">
        <f>13.6327654+11.148+11.243+11.265+10.744+5.26329122</f>
        <v>63.296056620000002</v>
      </c>
      <c r="U21" s="97">
        <f t="shared" si="19"/>
        <v>202.20936691</v>
      </c>
      <c r="W21" s="58">
        <v>115.24406384</v>
      </c>
      <c r="X21" s="58">
        <f>6.73968835+4.13493716+21.6599+11.2108+11.82085255+6.98574453+23.50283884+11.75141942+11.77411421+6.99919409+21.38212304+11.7821</f>
        <v>149.74371219</v>
      </c>
      <c r="Y21" s="58">
        <f>12.1637438+3.0409359375+9.1228078125+48.654975+34.1016+22.6642+28.33025</f>
        <v>158.07851255</v>
      </c>
      <c r="Z21" s="58">
        <f>18.67846875+18.69210195+18.66483555+18.67846875+77.91</f>
        <v>152.623875</v>
      </c>
      <c r="AA21" s="58">
        <f>18.962625+37.92525+18.962625</f>
        <v>75.850499999999997</v>
      </c>
      <c r="AB21" s="97">
        <f t="shared" si="20"/>
        <v>651.54066358</v>
      </c>
      <c r="AD21" s="58">
        <f>34.25025+34.25025</f>
        <v>68.500500000000002</v>
      </c>
      <c r="AF21" s="105">
        <f t="shared" si="21"/>
        <v>944.31629048999991</v>
      </c>
      <c r="AG21" s="42"/>
      <c r="AH21" s="120">
        <v>121.14499313</v>
      </c>
      <c r="AI21" s="136"/>
      <c r="AJ21" s="128">
        <f t="shared" si="4"/>
        <v>121.14499313</v>
      </c>
      <c r="AL21" s="105">
        <f t="shared" si="5"/>
        <v>1065.4612836199999</v>
      </c>
    </row>
    <row r="22" spans="1:38" ht="13.5" thickBot="1" x14ac:dyDescent="0.25">
      <c r="A22" s="33" t="s">
        <v>72</v>
      </c>
      <c r="B22" s="38"/>
      <c r="C22" s="50"/>
      <c r="D22" s="59"/>
      <c r="E22" s="50"/>
      <c r="F22" s="50"/>
      <c r="G22" s="59"/>
      <c r="H22" s="55"/>
      <c r="I22" s="56"/>
      <c r="J22" s="56"/>
      <c r="K22" s="57"/>
      <c r="L22" s="56"/>
      <c r="M22" s="56"/>
      <c r="N22" s="97">
        <f t="shared" si="18"/>
        <v>0</v>
      </c>
      <c r="O22" s="38"/>
      <c r="P22" s="56"/>
      <c r="Q22" s="58"/>
      <c r="R22" s="58"/>
      <c r="S22" s="58"/>
      <c r="T22" s="58"/>
      <c r="U22" s="97">
        <f t="shared" ref="U22" si="26">SUM(P22:T22)</f>
        <v>0</v>
      </c>
      <c r="V22" s="38"/>
      <c r="W22" s="58"/>
      <c r="X22" s="58"/>
      <c r="Y22" s="58"/>
      <c r="Z22" s="58"/>
      <c r="AA22" s="58"/>
      <c r="AB22" s="97">
        <f t="shared" ref="AB22" si="27">SUM(W22:AA22)</f>
        <v>0</v>
      </c>
      <c r="AC22" s="38"/>
      <c r="AD22" s="58"/>
      <c r="AF22" s="105">
        <f t="shared" si="21"/>
        <v>0</v>
      </c>
      <c r="AG22" s="42"/>
      <c r="AH22" s="120"/>
      <c r="AI22" s="136">
        <v>1.80585</v>
      </c>
      <c r="AJ22" s="128">
        <f t="shared" ref="AJ22" si="28">SUM(AH22:AI22)</f>
        <v>1.80585</v>
      </c>
      <c r="AL22" s="105">
        <f t="shared" ref="AL22" si="29">SUM(AF22,AJ22)</f>
        <v>1.80585</v>
      </c>
    </row>
    <row r="23" spans="1:38" ht="13.5" thickBot="1" x14ac:dyDescent="0.25">
      <c r="A23" s="31" t="s">
        <v>9</v>
      </c>
      <c r="C23" s="50"/>
      <c r="D23" s="50"/>
      <c r="E23" s="59"/>
      <c r="F23" s="59"/>
      <c r="G23" s="59"/>
      <c r="H23" s="60"/>
      <c r="I23" s="56"/>
      <c r="J23" s="56"/>
      <c r="K23" s="57"/>
      <c r="L23" s="56"/>
      <c r="M23" s="56"/>
      <c r="N23" s="97">
        <f t="shared" si="18"/>
        <v>0</v>
      </c>
      <c r="P23" s="56"/>
      <c r="Q23" s="58"/>
      <c r="R23" s="58"/>
      <c r="S23" s="58"/>
      <c r="T23" s="58"/>
      <c r="U23" s="97">
        <f t="shared" si="19"/>
        <v>0</v>
      </c>
      <c r="W23" s="58"/>
      <c r="X23" s="58"/>
      <c r="Y23" s="58">
        <v>1</v>
      </c>
      <c r="Z23" s="58"/>
      <c r="AA23" s="58"/>
      <c r="AB23" s="97">
        <f t="shared" si="20"/>
        <v>1</v>
      </c>
      <c r="AD23" s="58"/>
      <c r="AF23" s="105">
        <f t="shared" si="21"/>
        <v>1</v>
      </c>
      <c r="AG23" s="42"/>
      <c r="AH23" s="120"/>
      <c r="AI23" s="136">
        <f>1.92337283+4.12473189</f>
        <v>6.0481047199999995</v>
      </c>
      <c r="AJ23" s="128">
        <f t="shared" si="4"/>
        <v>6.0481047199999995</v>
      </c>
      <c r="AL23" s="105">
        <f t="shared" si="5"/>
        <v>7.0481047199999995</v>
      </c>
    </row>
    <row r="24" spans="1:38" ht="13.5" thickBot="1" x14ac:dyDescent="0.25">
      <c r="A24" s="31" t="s">
        <v>10</v>
      </c>
      <c r="C24" s="50"/>
      <c r="D24" s="50"/>
      <c r="E24" s="59"/>
      <c r="F24" s="59"/>
      <c r="G24" s="59"/>
      <c r="H24" s="60"/>
      <c r="I24" s="56"/>
      <c r="J24" s="56"/>
      <c r="K24" s="57"/>
      <c r="L24" s="56"/>
      <c r="M24" s="56"/>
      <c r="N24" s="97">
        <f t="shared" si="18"/>
        <v>0</v>
      </c>
      <c r="P24" s="56"/>
      <c r="Q24" s="58"/>
      <c r="R24" s="58"/>
      <c r="S24" s="58">
        <f>1+1</f>
        <v>2</v>
      </c>
      <c r="T24" s="58">
        <v>1</v>
      </c>
      <c r="U24" s="97">
        <f t="shared" si="19"/>
        <v>3</v>
      </c>
      <c r="W24" s="58">
        <v>1</v>
      </c>
      <c r="X24" s="58"/>
      <c r="Y24" s="58">
        <v>2</v>
      </c>
      <c r="Z24" s="58">
        <f>2+2</f>
        <v>4</v>
      </c>
      <c r="AA24" s="58"/>
      <c r="AB24" s="97">
        <f t="shared" si="20"/>
        <v>7</v>
      </c>
      <c r="AD24" s="58">
        <v>2</v>
      </c>
      <c r="AF24" s="105">
        <f t="shared" si="21"/>
        <v>12</v>
      </c>
      <c r="AG24" s="42"/>
      <c r="AH24" s="120"/>
      <c r="AI24" s="136"/>
      <c r="AJ24" s="128">
        <f t="shared" si="4"/>
        <v>0</v>
      </c>
      <c r="AL24" s="105">
        <f t="shared" si="5"/>
        <v>12</v>
      </c>
    </row>
    <row r="25" spans="1:38" ht="13.5" thickBot="1" x14ac:dyDescent="0.25">
      <c r="A25" s="11" t="s">
        <v>11</v>
      </c>
      <c r="C25" s="50"/>
      <c r="D25" s="50"/>
      <c r="E25" s="59">
        <v>0.51075000000000004</v>
      </c>
      <c r="F25" s="59">
        <v>0.62375000000000003</v>
      </c>
      <c r="G25" s="59">
        <v>0.65</v>
      </c>
      <c r="H25" s="60">
        <v>0.83145999999999998</v>
      </c>
      <c r="I25" s="56">
        <v>7.9020000000000001</v>
      </c>
      <c r="J25" s="62">
        <v>8.3111999999999995</v>
      </c>
      <c r="K25" s="57">
        <v>3.8413200000000001</v>
      </c>
      <c r="L25" s="56">
        <v>3.54</v>
      </c>
      <c r="M25" s="56">
        <v>3.6308630000000002</v>
      </c>
      <c r="N25" s="97">
        <f t="shared" si="18"/>
        <v>29.841343000000002</v>
      </c>
      <c r="P25" s="56">
        <v>4.9130000000000003</v>
      </c>
      <c r="Q25" s="58">
        <v>3.4915850000000002</v>
      </c>
      <c r="R25" s="58">
        <v>2.9849399999999999</v>
      </c>
      <c r="S25" s="58">
        <v>0.74670000000000003</v>
      </c>
      <c r="T25" s="58">
        <v>3.2814000000000001</v>
      </c>
      <c r="U25" s="97">
        <f t="shared" si="19"/>
        <v>15.417625000000001</v>
      </c>
      <c r="W25" s="58">
        <v>3.20139</v>
      </c>
      <c r="X25" s="58">
        <v>3.53277749</v>
      </c>
      <c r="Y25" s="58">
        <v>3.4058999999999999</v>
      </c>
      <c r="Z25" s="58">
        <v>3.3682799999999999</v>
      </c>
      <c r="AA25" s="58">
        <v>3.2463000000000002</v>
      </c>
      <c r="AB25" s="97">
        <f t="shared" si="20"/>
        <v>16.75464749</v>
      </c>
      <c r="AD25" s="58">
        <v>3.5190000000000001</v>
      </c>
      <c r="AF25" s="105">
        <f t="shared" si="21"/>
        <v>65.532615489999998</v>
      </c>
      <c r="AG25" s="42"/>
      <c r="AH25" s="120"/>
      <c r="AI25" s="136">
        <v>4.7720000000000002</v>
      </c>
      <c r="AJ25" s="128">
        <f t="shared" si="4"/>
        <v>4.7720000000000002</v>
      </c>
      <c r="AL25" s="105">
        <f t="shared" si="5"/>
        <v>70.304615490000003</v>
      </c>
    </row>
    <row r="26" spans="1:38" ht="13.5" thickBot="1" x14ac:dyDescent="0.25">
      <c r="A26" s="33" t="s">
        <v>12</v>
      </c>
      <c r="C26" s="50"/>
      <c r="D26" s="50"/>
      <c r="E26" s="59"/>
      <c r="F26" s="59"/>
      <c r="G26" s="59"/>
      <c r="H26" s="60"/>
      <c r="I26" s="56"/>
      <c r="J26" s="62"/>
      <c r="K26" s="57"/>
      <c r="L26" s="56"/>
      <c r="M26" s="56"/>
      <c r="N26" s="97">
        <f t="shared" si="18"/>
        <v>0</v>
      </c>
      <c r="P26" s="56"/>
      <c r="Q26" s="58"/>
      <c r="R26" s="58"/>
      <c r="S26" s="58"/>
      <c r="T26" s="58"/>
      <c r="U26" s="97">
        <f t="shared" si="19"/>
        <v>0</v>
      </c>
      <c r="W26" s="58">
        <v>4.2531999999999996</v>
      </c>
      <c r="X26" s="58">
        <v>14.32920461</v>
      </c>
      <c r="Y26" s="58">
        <v>32.418120000000002</v>
      </c>
      <c r="Z26" s="58">
        <v>31.113600000000002</v>
      </c>
      <c r="AA26" s="58">
        <v>32.569600000000001</v>
      </c>
      <c r="AB26" s="97">
        <f t="shared" si="20"/>
        <v>114.68372461000001</v>
      </c>
      <c r="AD26" s="58">
        <v>4.7977999999999996</v>
      </c>
      <c r="AF26" s="105">
        <f t="shared" si="21"/>
        <v>119.48152461000001</v>
      </c>
      <c r="AG26" s="42"/>
      <c r="AH26" s="120"/>
      <c r="AI26" s="136">
        <f>79.375+24.492</f>
        <v>103.867</v>
      </c>
      <c r="AJ26" s="128">
        <f t="shared" si="4"/>
        <v>103.867</v>
      </c>
      <c r="AL26" s="105">
        <f t="shared" si="5"/>
        <v>223.34852461000003</v>
      </c>
    </row>
    <row r="27" spans="1:38" ht="13.5" thickBot="1" x14ac:dyDescent="0.25">
      <c r="A27" s="11" t="s">
        <v>13</v>
      </c>
      <c r="C27" s="50"/>
      <c r="D27" s="50"/>
      <c r="E27" s="59"/>
      <c r="F27" s="59"/>
      <c r="G27" s="59"/>
      <c r="H27" s="60"/>
      <c r="I27" s="56"/>
      <c r="J27" s="62"/>
      <c r="K27" s="57"/>
      <c r="L27" s="56"/>
      <c r="M27" s="56"/>
      <c r="N27" s="97">
        <f t="shared" si="18"/>
        <v>0</v>
      </c>
      <c r="P27" s="56">
        <v>9.3480000000000008</v>
      </c>
      <c r="Q27" s="58">
        <v>9.0673919999999999</v>
      </c>
      <c r="R27" s="58">
        <v>9.0673919999999999</v>
      </c>
      <c r="S27" s="58">
        <v>8.6844629999999992</v>
      </c>
      <c r="T27" s="58">
        <v>17.368928</v>
      </c>
      <c r="U27" s="97">
        <f t="shared" si="19"/>
        <v>53.536175</v>
      </c>
      <c r="W27" s="58">
        <v>18.759418</v>
      </c>
      <c r="X27" s="58">
        <f>0.166666+19</f>
        <v>19.166665999999999</v>
      </c>
      <c r="Y27" s="58">
        <f>0.181818+18.818181+0.178571</f>
        <v>19.178570000000001</v>
      </c>
      <c r="Z27" s="58">
        <f>18.85+0.160714</f>
        <v>19.010714</v>
      </c>
      <c r="AA27" s="58">
        <f>18.6881+35+35-30</f>
        <v>58.688099999999991</v>
      </c>
      <c r="AB27" s="97">
        <f t="shared" si="20"/>
        <v>134.80346800000001</v>
      </c>
      <c r="AD27" s="58">
        <v>0.122627</v>
      </c>
      <c r="AF27" s="105">
        <f t="shared" si="21"/>
        <v>188.46227000000002</v>
      </c>
      <c r="AG27" s="42"/>
      <c r="AH27" s="120">
        <f>15+15+30</f>
        <v>60</v>
      </c>
      <c r="AI27" s="136">
        <v>140</v>
      </c>
      <c r="AJ27" s="128">
        <f t="shared" si="4"/>
        <v>200</v>
      </c>
      <c r="AL27" s="105">
        <f t="shared" si="5"/>
        <v>388.46226999999999</v>
      </c>
    </row>
    <row r="28" spans="1:38" ht="13.5" thickBot="1" x14ac:dyDescent="0.25">
      <c r="A28" s="33" t="s">
        <v>38</v>
      </c>
      <c r="C28" s="50"/>
      <c r="D28" s="50"/>
      <c r="E28" s="59"/>
      <c r="F28" s="59"/>
      <c r="G28" s="59"/>
      <c r="H28" s="60"/>
      <c r="I28" s="56"/>
      <c r="J28" s="62"/>
      <c r="K28" s="57"/>
      <c r="L28" s="56"/>
      <c r="M28" s="56"/>
      <c r="N28" s="97">
        <f t="shared" si="18"/>
        <v>0</v>
      </c>
      <c r="P28" s="56"/>
      <c r="Q28" s="58"/>
      <c r="R28" s="58"/>
      <c r="S28" s="58"/>
      <c r="T28" s="58"/>
      <c r="U28" s="97">
        <f t="shared" si="19"/>
        <v>0</v>
      </c>
      <c r="W28" s="58"/>
      <c r="X28" s="58"/>
      <c r="Y28" s="58"/>
      <c r="Z28" s="58">
        <v>0.5</v>
      </c>
      <c r="AA28" s="58">
        <v>0.5</v>
      </c>
      <c r="AB28" s="97">
        <f t="shared" si="20"/>
        <v>1</v>
      </c>
      <c r="AD28" s="58"/>
      <c r="AF28" s="105">
        <f t="shared" si="21"/>
        <v>1</v>
      </c>
      <c r="AG28" s="42"/>
      <c r="AH28" s="120">
        <v>10</v>
      </c>
      <c r="AI28" s="136"/>
      <c r="AJ28" s="128">
        <f t="shared" si="4"/>
        <v>10</v>
      </c>
      <c r="AL28" s="105">
        <f t="shared" si="5"/>
        <v>11</v>
      </c>
    </row>
    <row r="29" spans="1:38" ht="13.5" thickBot="1" x14ac:dyDescent="0.25">
      <c r="A29" s="33" t="s">
        <v>73</v>
      </c>
      <c r="B29" s="38"/>
      <c r="C29" s="50"/>
      <c r="D29" s="59"/>
      <c r="E29" s="50"/>
      <c r="F29" s="50"/>
      <c r="G29" s="59"/>
      <c r="H29" s="55"/>
      <c r="I29" s="56"/>
      <c r="J29" s="56"/>
      <c r="K29" s="57"/>
      <c r="L29" s="56"/>
      <c r="M29" s="56"/>
      <c r="N29" s="97">
        <f t="shared" si="18"/>
        <v>0</v>
      </c>
      <c r="O29" s="38"/>
      <c r="P29" s="56"/>
      <c r="Q29" s="58"/>
      <c r="R29" s="58"/>
      <c r="S29" s="58"/>
      <c r="T29" s="58"/>
      <c r="U29" s="97">
        <f t="shared" ref="U29" si="30">SUM(P29:T29)</f>
        <v>0</v>
      </c>
      <c r="V29" s="38"/>
      <c r="W29" s="58"/>
      <c r="X29" s="58"/>
      <c r="Y29" s="58"/>
      <c r="Z29" s="58"/>
      <c r="AA29" s="58"/>
      <c r="AB29" s="97">
        <f t="shared" ref="AB29" si="31">SUM(W29:AA29)</f>
        <v>0</v>
      </c>
      <c r="AC29" s="38"/>
      <c r="AD29" s="58"/>
      <c r="AF29" s="105">
        <f t="shared" si="21"/>
        <v>0</v>
      </c>
      <c r="AG29" s="42"/>
      <c r="AH29" s="120"/>
      <c r="AI29" s="136">
        <v>0.10950819000000001</v>
      </c>
      <c r="AJ29" s="128">
        <f t="shared" ref="AJ29" si="32">SUM(AH29:AI29)</f>
        <v>0.10950819000000001</v>
      </c>
      <c r="AL29" s="105">
        <f t="shared" ref="AL29" si="33">SUM(AF29,AJ29)</f>
        <v>0.10950819000000001</v>
      </c>
    </row>
    <row r="30" spans="1:38" ht="13.5" thickBot="1" x14ac:dyDescent="0.25">
      <c r="A30" s="11" t="s">
        <v>14</v>
      </c>
      <c r="C30" s="50"/>
      <c r="D30" s="50"/>
      <c r="E30" s="59"/>
      <c r="F30" s="59"/>
      <c r="G30" s="63"/>
      <c r="H30" s="64">
        <v>0.64515</v>
      </c>
      <c r="I30" s="56">
        <v>1.318775</v>
      </c>
      <c r="J30" s="62">
        <v>0.81184000000000001</v>
      </c>
      <c r="K30" s="57">
        <v>1.4229000000000001</v>
      </c>
      <c r="L30" s="56">
        <v>1.1912400000000001</v>
      </c>
      <c r="M30" s="56">
        <v>1.1004400000000001</v>
      </c>
      <c r="N30" s="97">
        <f t="shared" si="18"/>
        <v>6.4903450000000005</v>
      </c>
      <c r="P30" s="56">
        <v>1.1859999999999999</v>
      </c>
      <c r="Q30" s="58">
        <v>1.0752701</v>
      </c>
      <c r="R30" s="58">
        <v>1.0590259</v>
      </c>
      <c r="S30" s="58">
        <v>1.1205940000000001</v>
      </c>
      <c r="T30" s="58">
        <v>0.92074765999999997</v>
      </c>
      <c r="U30" s="97">
        <f t="shared" si="19"/>
        <v>5.3616376599999995</v>
      </c>
      <c r="W30" s="58">
        <v>0.89615856999999999</v>
      </c>
      <c r="X30" s="58">
        <v>0.863788</v>
      </c>
      <c r="Y30" s="58">
        <v>0.91593999999999998</v>
      </c>
      <c r="Z30" s="58">
        <v>0.88240200000000002</v>
      </c>
      <c r="AA30" s="58">
        <v>0.94431200000000004</v>
      </c>
      <c r="AB30" s="97">
        <f t="shared" si="20"/>
        <v>4.5026005700000002</v>
      </c>
      <c r="AD30" s="58">
        <v>1.1918</v>
      </c>
      <c r="AF30" s="105">
        <f t="shared" si="21"/>
        <v>17.54638323</v>
      </c>
      <c r="AG30" s="42"/>
      <c r="AH30" s="120"/>
      <c r="AI30" s="136">
        <f>0.60715+0.60125</f>
        <v>1.2083999999999999</v>
      </c>
      <c r="AJ30" s="128">
        <f t="shared" si="4"/>
        <v>1.2083999999999999</v>
      </c>
      <c r="AL30" s="105">
        <f t="shared" si="5"/>
        <v>18.754783230000001</v>
      </c>
    </row>
    <row r="31" spans="1:38" ht="13.5" thickBot="1" x14ac:dyDescent="0.25">
      <c r="A31" s="11" t="s">
        <v>42</v>
      </c>
      <c r="C31" s="50"/>
      <c r="D31" s="50"/>
      <c r="E31" s="59"/>
      <c r="F31" s="59"/>
      <c r="G31" s="63"/>
      <c r="H31" s="64"/>
      <c r="I31" s="56"/>
      <c r="J31" s="62"/>
      <c r="K31" s="57"/>
      <c r="L31" s="56"/>
      <c r="M31" s="56"/>
      <c r="N31" s="97">
        <f t="shared" si="18"/>
        <v>0</v>
      </c>
      <c r="P31" s="56"/>
      <c r="Q31" s="58"/>
      <c r="R31" s="58"/>
      <c r="S31" s="58"/>
      <c r="T31" s="58"/>
      <c r="U31" s="97">
        <f t="shared" si="19"/>
        <v>0</v>
      </c>
      <c r="W31" s="58"/>
      <c r="X31" s="58"/>
      <c r="Y31" s="58"/>
      <c r="Z31" s="58"/>
      <c r="AA31" s="58">
        <v>2.5000000000000001E-3</v>
      </c>
      <c r="AB31" s="97">
        <f t="shared" si="20"/>
        <v>2.5000000000000001E-3</v>
      </c>
      <c r="AD31" s="58"/>
      <c r="AF31" s="105">
        <f t="shared" si="21"/>
        <v>2.5000000000000001E-3</v>
      </c>
      <c r="AG31" s="42"/>
      <c r="AH31" s="120"/>
      <c r="AI31" s="136"/>
      <c r="AJ31" s="128">
        <f t="shared" si="4"/>
        <v>0</v>
      </c>
      <c r="AL31" s="105">
        <f t="shared" si="5"/>
        <v>2.5000000000000001E-3</v>
      </c>
    </row>
    <row r="32" spans="1:38" ht="13.5" thickBot="1" x14ac:dyDescent="0.25">
      <c r="A32" s="33" t="s">
        <v>15</v>
      </c>
      <c r="C32" s="50"/>
      <c r="D32" s="50"/>
      <c r="E32" s="59"/>
      <c r="F32" s="59"/>
      <c r="G32" s="63"/>
      <c r="H32" s="64"/>
      <c r="I32" s="56"/>
      <c r="J32" s="62"/>
      <c r="K32" s="57"/>
      <c r="L32" s="56"/>
      <c r="M32" s="56"/>
      <c r="N32" s="97">
        <f t="shared" si="18"/>
        <v>0</v>
      </c>
      <c r="P32" s="56"/>
      <c r="Q32" s="58"/>
      <c r="R32" s="58"/>
      <c r="S32" s="58"/>
      <c r="T32" s="58"/>
      <c r="U32" s="97">
        <f t="shared" si="19"/>
        <v>0</v>
      </c>
      <c r="W32" s="58"/>
      <c r="X32" s="39">
        <v>0.107821</v>
      </c>
      <c r="Y32" s="39">
        <v>0.18451200000000001</v>
      </c>
      <c r="Z32" s="39">
        <v>0.16945199999999999</v>
      </c>
      <c r="AA32" s="58">
        <f>0.168615+0.65088</f>
        <v>0.81949499999999997</v>
      </c>
      <c r="AB32" s="97">
        <f t="shared" si="20"/>
        <v>1.28128</v>
      </c>
      <c r="AD32" s="58">
        <v>0.11917999999999999</v>
      </c>
      <c r="AF32" s="105">
        <f t="shared" si="21"/>
        <v>1.40046</v>
      </c>
      <c r="AG32" s="42"/>
      <c r="AH32" s="121">
        <f>0.023876+0.03648861</f>
        <v>6.0364609999999999E-2</v>
      </c>
      <c r="AI32" s="136"/>
      <c r="AJ32" s="129">
        <f t="shared" si="4"/>
        <v>6.0364609999999999E-2</v>
      </c>
      <c r="AL32" s="105">
        <f t="shared" si="5"/>
        <v>1.46082461</v>
      </c>
    </row>
    <row r="33" spans="1:38" ht="13.5" thickBot="1" x14ac:dyDescent="0.25">
      <c r="A33" s="11" t="s">
        <v>16</v>
      </c>
      <c r="C33" s="50"/>
      <c r="D33" s="50">
        <v>24.060334619999999</v>
      </c>
      <c r="E33" s="50">
        <v>13.375171870000001</v>
      </c>
      <c r="F33" s="50">
        <v>16.492641949999999</v>
      </c>
      <c r="G33" s="59">
        <v>17.329866450000001</v>
      </c>
      <c r="H33" s="60">
        <v>15.85941435</v>
      </c>
      <c r="I33" s="56"/>
      <c r="J33" s="62">
        <v>33.547469</v>
      </c>
      <c r="K33" s="57">
        <v>38.885300999999998</v>
      </c>
      <c r="L33" s="56">
        <v>31.20579</v>
      </c>
      <c r="M33" s="56">
        <v>25.1113845</v>
      </c>
      <c r="N33" s="97">
        <f t="shared" si="18"/>
        <v>215.86737374000001</v>
      </c>
      <c r="P33" s="56">
        <v>26.3</v>
      </c>
      <c r="Q33" s="58">
        <v>14.2065</v>
      </c>
      <c r="R33" s="58">
        <v>34.427500000000002</v>
      </c>
      <c r="S33" s="58">
        <v>39.8048</v>
      </c>
      <c r="T33" s="58">
        <v>33.945599999999999</v>
      </c>
      <c r="U33" s="97">
        <f t="shared" si="19"/>
        <v>148.68439999999998</v>
      </c>
      <c r="W33" s="58">
        <v>38.309967</v>
      </c>
      <c r="X33" s="58">
        <f>0.68127625+1.17542486+57.47701758</f>
        <v>59.333718690000005</v>
      </c>
      <c r="Y33" s="58">
        <f>1.48437318+0.11609+1.102855+25.4222244375+18.245615625</f>
        <v>46.371158242500002</v>
      </c>
      <c r="Z33" s="58">
        <f>42.96047813+4.05511412</f>
        <v>47.015592249999997</v>
      </c>
      <c r="AA33" s="58">
        <f>28.1911025+2.8549211</f>
        <v>31.046023599999998</v>
      </c>
      <c r="AB33" s="97">
        <f t="shared" si="20"/>
        <v>222.07645978250002</v>
      </c>
      <c r="AD33" s="58"/>
      <c r="AF33" s="105">
        <f t="shared" si="21"/>
        <v>586.62823352250007</v>
      </c>
      <c r="AG33" s="42"/>
      <c r="AH33" s="120">
        <v>6.0685000000000002</v>
      </c>
      <c r="AI33" s="136">
        <f>29.655+47.644</f>
        <v>77.299000000000007</v>
      </c>
      <c r="AJ33" s="128">
        <f t="shared" si="4"/>
        <v>83.367500000000007</v>
      </c>
      <c r="AL33" s="105">
        <f t="shared" si="5"/>
        <v>669.99573352250013</v>
      </c>
    </row>
    <row r="34" spans="1:38" ht="13.5" thickBot="1" x14ac:dyDescent="0.25">
      <c r="A34" s="33" t="s">
        <v>55</v>
      </c>
      <c r="B34" s="38"/>
      <c r="C34" s="50"/>
      <c r="D34" s="59"/>
      <c r="E34" s="59"/>
      <c r="F34" s="59"/>
      <c r="G34" s="59"/>
      <c r="H34" s="60"/>
      <c r="I34" s="56"/>
      <c r="J34" s="65"/>
      <c r="K34" s="57"/>
      <c r="L34" s="56"/>
      <c r="M34" s="56"/>
      <c r="N34" s="97">
        <f t="shared" ref="N34" si="34">SUM(C34:M34)</f>
        <v>0</v>
      </c>
      <c r="O34" s="38"/>
      <c r="P34" s="56"/>
      <c r="Q34" s="58"/>
      <c r="R34" s="58"/>
      <c r="S34" s="58"/>
      <c r="T34" s="58"/>
      <c r="U34" s="97">
        <f t="shared" ref="U34" si="35">SUM(P34:T34)</f>
        <v>0</v>
      </c>
      <c r="V34" s="38"/>
      <c r="W34" s="58"/>
      <c r="X34" s="58"/>
      <c r="Y34" s="58"/>
      <c r="Z34" s="58"/>
      <c r="AA34" s="58"/>
      <c r="AB34" s="97">
        <f t="shared" ref="AB34" si="36">SUM(W34:AA34)</f>
        <v>0</v>
      </c>
      <c r="AC34" s="38"/>
      <c r="AD34" s="58"/>
      <c r="AF34" s="105">
        <f t="shared" si="21"/>
        <v>0</v>
      </c>
      <c r="AG34" s="42"/>
      <c r="AH34" s="120">
        <v>4.9181999999999997</v>
      </c>
      <c r="AI34" s="136">
        <v>7.3170000000000002</v>
      </c>
      <c r="AJ34" s="128">
        <f t="shared" si="4"/>
        <v>12.235199999999999</v>
      </c>
      <c r="AL34" s="105">
        <f t="shared" si="5"/>
        <v>12.235199999999999</v>
      </c>
    </row>
    <row r="35" spans="1:38" ht="13.5" thickBot="1" x14ac:dyDescent="0.25">
      <c r="A35" s="33" t="s">
        <v>61</v>
      </c>
      <c r="B35" s="38"/>
      <c r="C35" s="50"/>
      <c r="D35" s="59"/>
      <c r="E35" s="50"/>
      <c r="F35" s="50"/>
      <c r="G35" s="59"/>
      <c r="H35" s="55"/>
      <c r="I35" s="56"/>
      <c r="J35" s="56"/>
      <c r="K35" s="57"/>
      <c r="L35" s="56"/>
      <c r="M35" s="56"/>
      <c r="N35" s="97">
        <f t="shared" ref="N35" si="37">SUM(C35:M35)</f>
        <v>0</v>
      </c>
      <c r="O35" s="38"/>
      <c r="P35" s="56"/>
      <c r="Q35" s="58"/>
      <c r="R35" s="58"/>
      <c r="S35" s="58"/>
      <c r="T35" s="58"/>
      <c r="U35" s="97">
        <f t="shared" ref="U35" si="38">SUM(P35:T35)</f>
        <v>0</v>
      </c>
      <c r="V35" s="38"/>
      <c r="W35" s="58"/>
      <c r="X35" s="58"/>
      <c r="Y35" s="58"/>
      <c r="Z35" s="58"/>
      <c r="AA35" s="58"/>
      <c r="AB35" s="97">
        <f t="shared" ref="AB35" si="39">SUM(W35:AA35)</f>
        <v>0</v>
      </c>
      <c r="AC35" s="38"/>
      <c r="AD35" s="58">
        <v>0.92887123000000005</v>
      </c>
      <c r="AF35" s="105">
        <f t="shared" si="21"/>
        <v>0.92887123000000005</v>
      </c>
      <c r="AG35" s="42"/>
      <c r="AH35" s="120"/>
      <c r="AI35" s="136"/>
      <c r="AJ35" s="128">
        <f t="shared" ref="AJ35" si="40">SUM(AH35:AI35)</f>
        <v>0</v>
      </c>
      <c r="AL35" s="105">
        <f t="shared" ref="AL35" si="41">SUM(AF35,AJ35)</f>
        <v>0.92887123000000005</v>
      </c>
    </row>
    <row r="36" spans="1:38" ht="13.5" thickBot="1" x14ac:dyDescent="0.25">
      <c r="A36" s="11" t="s">
        <v>17</v>
      </c>
      <c r="C36" s="50"/>
      <c r="D36" s="59">
        <v>17.894689750000001</v>
      </c>
      <c r="E36" s="59">
        <v>21.325656089999999</v>
      </c>
      <c r="F36" s="59">
        <v>21.791086740000001</v>
      </c>
      <c r="G36" s="59">
        <v>40.92459264</v>
      </c>
      <c r="H36" s="60">
        <v>39.53459411</v>
      </c>
      <c r="I36" s="56">
        <v>67.379313700000012</v>
      </c>
      <c r="J36" s="65">
        <v>86.156761000000003</v>
      </c>
      <c r="K36" s="57">
        <v>65.449483259999994</v>
      </c>
      <c r="L36" s="56">
        <v>82.800324709999998</v>
      </c>
      <c r="M36" s="56">
        <v>76.483608000000004</v>
      </c>
      <c r="N36" s="97">
        <f t="shared" si="18"/>
        <v>519.74010999999996</v>
      </c>
      <c r="P36" s="56">
        <v>79.2</v>
      </c>
      <c r="Q36" s="58">
        <v>106.8762334</v>
      </c>
      <c r="R36" s="58">
        <v>126.86237634</v>
      </c>
      <c r="S36" s="58">
        <f>119.73607283+27.869</f>
        <v>147.60507282999998</v>
      </c>
      <c r="T36" s="58">
        <v>157.46568500000001</v>
      </c>
      <c r="U36" s="97">
        <f t="shared" si="19"/>
        <v>618.00936756999999</v>
      </c>
      <c r="W36" s="58">
        <v>139.66753800000001</v>
      </c>
      <c r="X36" s="58">
        <f>133.06601234+26.36814516</f>
        <v>159.4341575</v>
      </c>
      <c r="Y36" s="58">
        <f>137.30391502+7.37424108</f>
        <v>144.6781561</v>
      </c>
      <c r="Z36" s="58">
        <f>151.0231769+10.41453192</f>
        <v>161.43770882000001</v>
      </c>
      <c r="AA36" s="58">
        <v>164.81642147421601</v>
      </c>
      <c r="AB36" s="97">
        <f t="shared" si="20"/>
        <v>770.03398189421603</v>
      </c>
      <c r="AD36" s="58"/>
      <c r="AF36" s="105">
        <f t="shared" si="21"/>
        <v>1907.7834594642161</v>
      </c>
      <c r="AG36" s="42"/>
      <c r="AH36" s="120">
        <v>18.685122629999999</v>
      </c>
      <c r="AI36" s="136">
        <v>6.25</v>
      </c>
      <c r="AJ36" s="128">
        <f t="shared" si="4"/>
        <v>24.935122629999999</v>
      </c>
      <c r="AL36" s="105">
        <f t="shared" si="5"/>
        <v>1932.7185820942161</v>
      </c>
    </row>
    <row r="37" spans="1:38" ht="13.5" thickBot="1" x14ac:dyDescent="0.25">
      <c r="A37" s="33" t="s">
        <v>18</v>
      </c>
      <c r="C37" s="50"/>
      <c r="D37" s="59"/>
      <c r="E37" s="59"/>
      <c r="F37" s="59"/>
      <c r="G37" s="59"/>
      <c r="H37" s="60"/>
      <c r="I37" s="56"/>
      <c r="J37" s="65"/>
      <c r="K37" s="57"/>
      <c r="L37" s="56"/>
      <c r="M37" s="56"/>
      <c r="N37" s="97">
        <f t="shared" si="18"/>
        <v>0</v>
      </c>
      <c r="P37" s="56"/>
      <c r="Q37" s="58"/>
      <c r="R37" s="58"/>
      <c r="S37" s="58"/>
      <c r="T37" s="58">
        <v>0.6</v>
      </c>
      <c r="U37" s="97">
        <f t="shared" si="19"/>
        <v>0.6</v>
      </c>
      <c r="W37" s="58"/>
      <c r="X37" s="58">
        <v>0.6</v>
      </c>
      <c r="Y37" s="58">
        <v>0.6</v>
      </c>
      <c r="Z37" s="58">
        <v>0.6</v>
      </c>
      <c r="AA37" s="58">
        <v>0.6</v>
      </c>
      <c r="AB37" s="97">
        <f t="shared" si="20"/>
        <v>2.4</v>
      </c>
      <c r="AD37" s="58"/>
      <c r="AF37" s="105">
        <f t="shared" si="21"/>
        <v>3</v>
      </c>
      <c r="AG37" s="42"/>
      <c r="AH37" s="120"/>
      <c r="AI37" s="136"/>
      <c r="AJ37" s="128">
        <f t="shared" si="4"/>
        <v>0</v>
      </c>
      <c r="AL37" s="105">
        <f t="shared" si="5"/>
        <v>3</v>
      </c>
    </row>
    <row r="38" spans="1:38" ht="13.5" thickBot="1" x14ac:dyDescent="0.25">
      <c r="A38" s="33" t="s">
        <v>64</v>
      </c>
      <c r="B38" s="38"/>
      <c r="C38" s="50"/>
      <c r="D38" s="59"/>
      <c r="E38" s="50"/>
      <c r="F38" s="50"/>
      <c r="G38" s="59"/>
      <c r="H38" s="55"/>
      <c r="I38" s="56"/>
      <c r="J38" s="56"/>
      <c r="K38" s="57"/>
      <c r="L38" s="56"/>
      <c r="M38" s="56"/>
      <c r="N38" s="97">
        <f t="shared" si="18"/>
        <v>0</v>
      </c>
      <c r="O38" s="38"/>
      <c r="P38" s="56"/>
      <c r="Q38" s="58"/>
      <c r="R38" s="58"/>
      <c r="S38" s="58"/>
      <c r="T38" s="58"/>
      <c r="U38" s="97">
        <f t="shared" si="19"/>
        <v>0</v>
      </c>
      <c r="V38" s="38"/>
      <c r="W38" s="58"/>
      <c r="X38" s="58"/>
      <c r="Y38" s="58"/>
      <c r="Z38" s="58"/>
      <c r="AA38" s="58"/>
      <c r="AB38" s="97">
        <f t="shared" si="20"/>
        <v>0</v>
      </c>
      <c r="AC38" s="38"/>
      <c r="AD38" s="58"/>
      <c r="AF38" s="105">
        <f t="shared" si="21"/>
        <v>0</v>
      </c>
      <c r="AG38" s="42"/>
      <c r="AH38" s="120"/>
      <c r="AI38" s="136">
        <v>0.1</v>
      </c>
      <c r="AJ38" s="128">
        <f t="shared" ref="AJ38" si="42">SUM(AH38:AI38)</f>
        <v>0.1</v>
      </c>
      <c r="AL38" s="105">
        <f t="shared" ref="AL38:AL40" si="43">SUM(AF38,AJ38)</f>
        <v>0.1</v>
      </c>
    </row>
    <row r="39" spans="1:38" ht="13.5" thickBot="1" x14ac:dyDescent="0.25">
      <c r="A39" s="33" t="s">
        <v>74</v>
      </c>
      <c r="B39" s="38"/>
      <c r="C39" s="50"/>
      <c r="D39" s="59"/>
      <c r="E39" s="50"/>
      <c r="F39" s="50"/>
      <c r="G39" s="59"/>
      <c r="H39" s="55"/>
      <c r="I39" s="56"/>
      <c r="J39" s="56"/>
      <c r="K39" s="57"/>
      <c r="L39" s="56"/>
      <c r="M39" s="56"/>
      <c r="N39" s="97">
        <f t="shared" ref="N39" si="44">SUM(C39:M39)</f>
        <v>0</v>
      </c>
      <c r="O39" s="38"/>
      <c r="P39" s="56"/>
      <c r="Q39" s="58"/>
      <c r="R39" s="58"/>
      <c r="S39" s="58"/>
      <c r="T39" s="58"/>
      <c r="U39" s="97">
        <f t="shared" ref="U39" si="45">SUM(P39:T39)</f>
        <v>0</v>
      </c>
      <c r="V39" s="38"/>
      <c r="W39" s="58"/>
      <c r="X39" s="58"/>
      <c r="Y39" s="58"/>
      <c r="Z39" s="58"/>
      <c r="AA39" s="58"/>
      <c r="AB39" s="97">
        <f t="shared" ref="AB39" si="46">SUM(W39:AA39)</f>
        <v>0</v>
      </c>
      <c r="AC39" s="38"/>
      <c r="AD39" s="58"/>
      <c r="AF39" s="105">
        <f t="shared" ref="AF39" si="47">SUM(AB39,U39,N39,AD39)</f>
        <v>0</v>
      </c>
      <c r="AG39" s="42"/>
      <c r="AH39" s="120"/>
      <c r="AI39" s="136">
        <v>0.91439999999999999</v>
      </c>
      <c r="AJ39" s="128">
        <f t="shared" ref="AJ39" si="48">SUM(AH39:AI39)</f>
        <v>0.91439999999999999</v>
      </c>
      <c r="AL39" s="105">
        <f t="shared" si="43"/>
        <v>0.91439999999999999</v>
      </c>
    </row>
    <row r="40" spans="1:38" ht="13.5" thickBot="1" x14ac:dyDescent="0.25">
      <c r="A40" s="33" t="s">
        <v>69</v>
      </c>
      <c r="B40" s="38"/>
      <c r="C40" s="50"/>
      <c r="D40" s="59"/>
      <c r="E40" s="50"/>
      <c r="F40" s="50"/>
      <c r="G40" s="59"/>
      <c r="H40" s="55"/>
      <c r="I40" s="56"/>
      <c r="J40" s="56"/>
      <c r="K40" s="57"/>
      <c r="L40" s="56"/>
      <c r="M40" s="56"/>
      <c r="N40" s="97">
        <f t="shared" si="18"/>
        <v>0</v>
      </c>
      <c r="O40" s="38"/>
      <c r="P40" s="56"/>
      <c r="Q40" s="58"/>
      <c r="R40" s="58"/>
      <c r="S40" s="58"/>
      <c r="T40" s="58"/>
      <c r="U40" s="97">
        <f t="shared" ref="U40" si="49">SUM(P40:T40)</f>
        <v>0</v>
      </c>
      <c r="V40" s="38"/>
      <c r="W40" s="58"/>
      <c r="X40" s="58"/>
      <c r="Y40" s="58"/>
      <c r="Z40" s="58"/>
      <c r="AA40" s="58"/>
      <c r="AB40" s="97">
        <f t="shared" ref="AB40" si="50">SUM(W40:AA40)</f>
        <v>0</v>
      </c>
      <c r="AC40" s="38"/>
      <c r="AD40" s="58">
        <v>0.1208</v>
      </c>
      <c r="AF40" s="105">
        <f t="shared" si="21"/>
        <v>0.1208</v>
      </c>
      <c r="AG40" s="42"/>
      <c r="AH40" s="120"/>
      <c r="AI40" s="136">
        <v>0.81781875000000004</v>
      </c>
      <c r="AJ40" s="128">
        <f t="shared" ref="AJ40" si="51">SUM(AH40:AI40)</f>
        <v>0.81781875000000004</v>
      </c>
      <c r="AL40" s="105">
        <f t="shared" si="43"/>
        <v>0.93861875000000006</v>
      </c>
    </row>
    <row r="41" spans="1:38" ht="13.5" thickBot="1" x14ac:dyDescent="0.25">
      <c r="A41" s="33" t="s">
        <v>19</v>
      </c>
      <c r="C41" s="50"/>
      <c r="D41" s="59"/>
      <c r="E41" s="59"/>
      <c r="F41" s="59"/>
      <c r="G41" s="59"/>
      <c r="H41" s="60"/>
      <c r="I41" s="56"/>
      <c r="J41" s="65"/>
      <c r="K41" s="57"/>
      <c r="L41" s="56"/>
      <c r="M41" s="56"/>
      <c r="N41" s="97">
        <f t="shared" si="18"/>
        <v>0</v>
      </c>
      <c r="P41" s="56"/>
      <c r="Q41" s="58"/>
      <c r="R41" s="58"/>
      <c r="S41" s="58"/>
      <c r="T41" s="58"/>
      <c r="U41" s="97">
        <f t="shared" si="19"/>
        <v>0</v>
      </c>
      <c r="W41" s="58">
        <v>2</v>
      </c>
      <c r="X41" s="58">
        <v>2</v>
      </c>
      <c r="Y41" s="58"/>
      <c r="Z41" s="58"/>
      <c r="AA41" s="58">
        <v>6</v>
      </c>
      <c r="AB41" s="97">
        <f t="shared" si="20"/>
        <v>10</v>
      </c>
      <c r="AD41" s="58"/>
      <c r="AF41" s="105">
        <f t="shared" si="21"/>
        <v>10</v>
      </c>
      <c r="AG41" s="42"/>
      <c r="AH41" s="120"/>
      <c r="AI41" s="136">
        <f>5+5</f>
        <v>10</v>
      </c>
      <c r="AJ41" s="128">
        <f t="shared" si="4"/>
        <v>10</v>
      </c>
      <c r="AL41" s="105">
        <f t="shared" si="5"/>
        <v>20</v>
      </c>
    </row>
    <row r="42" spans="1:38" ht="13.5" thickBot="1" x14ac:dyDescent="0.25">
      <c r="A42" s="14" t="s">
        <v>20</v>
      </c>
      <c r="C42" s="50"/>
      <c r="D42" s="59"/>
      <c r="E42" s="59"/>
      <c r="F42" s="59"/>
      <c r="G42" s="59"/>
      <c r="H42" s="60"/>
      <c r="I42" s="56"/>
      <c r="J42" s="56"/>
      <c r="K42" s="57"/>
      <c r="L42" s="56"/>
      <c r="M42" s="12">
        <v>0.4</v>
      </c>
      <c r="N42" s="97">
        <f t="shared" si="18"/>
        <v>0.4</v>
      </c>
      <c r="P42" s="12">
        <v>0.3</v>
      </c>
      <c r="Q42" s="39">
        <v>0.3</v>
      </c>
      <c r="R42" s="58">
        <v>1</v>
      </c>
      <c r="S42" s="58">
        <v>1</v>
      </c>
      <c r="T42" s="58">
        <v>4</v>
      </c>
      <c r="U42" s="97">
        <f t="shared" si="19"/>
        <v>6.6</v>
      </c>
      <c r="W42" s="58">
        <v>4</v>
      </c>
      <c r="X42" s="58">
        <v>4</v>
      </c>
      <c r="Y42" s="58">
        <v>4</v>
      </c>
      <c r="Z42" s="58">
        <v>4.7372954399999996</v>
      </c>
      <c r="AA42" s="58">
        <v>5.4808400900000001</v>
      </c>
      <c r="AB42" s="97">
        <f t="shared" si="20"/>
        <v>22.218135530000001</v>
      </c>
      <c r="AD42" s="58"/>
      <c r="AF42" s="105">
        <f t="shared" si="21"/>
        <v>29.218135529999998</v>
      </c>
      <c r="AG42" s="42"/>
      <c r="AH42" s="120"/>
      <c r="AI42" s="136">
        <v>10</v>
      </c>
      <c r="AJ42" s="128">
        <f t="shared" si="4"/>
        <v>10</v>
      </c>
      <c r="AL42" s="105">
        <f t="shared" si="5"/>
        <v>39.218135529999998</v>
      </c>
    </row>
    <row r="43" spans="1:38" ht="13.5" thickBot="1" x14ac:dyDescent="0.25">
      <c r="A43" s="31" t="s">
        <v>21</v>
      </c>
      <c r="C43" s="50"/>
      <c r="D43" s="59"/>
      <c r="E43" s="59"/>
      <c r="F43" s="59"/>
      <c r="G43" s="59"/>
      <c r="H43" s="60"/>
      <c r="I43" s="56"/>
      <c r="J43" s="56"/>
      <c r="K43" s="57"/>
      <c r="L43" s="56"/>
      <c r="M43" s="56"/>
      <c r="N43" s="97">
        <f t="shared" si="18"/>
        <v>0</v>
      </c>
      <c r="P43" s="56"/>
      <c r="Q43" s="58"/>
      <c r="R43" s="58"/>
      <c r="S43" s="58"/>
      <c r="T43" s="58"/>
      <c r="U43" s="97">
        <f t="shared" si="19"/>
        <v>0</v>
      </c>
      <c r="W43" s="58">
        <v>2.5</v>
      </c>
      <c r="X43" s="58">
        <f>2.5+2.5</f>
        <v>5</v>
      </c>
      <c r="Y43" s="58">
        <f>2.5+2.5</f>
        <v>5</v>
      </c>
      <c r="Z43" s="58">
        <f>2.5+2.5</f>
        <v>5</v>
      </c>
      <c r="AA43" s="58">
        <f>2.5+2.5</f>
        <v>5</v>
      </c>
      <c r="AB43" s="97">
        <f t="shared" si="20"/>
        <v>22.5</v>
      </c>
      <c r="AD43" s="58"/>
      <c r="AF43" s="105">
        <f t="shared" si="21"/>
        <v>22.5</v>
      </c>
      <c r="AG43" s="42"/>
      <c r="AH43" s="120"/>
      <c r="AI43" s="136">
        <v>30</v>
      </c>
      <c r="AJ43" s="128">
        <f t="shared" si="4"/>
        <v>30</v>
      </c>
      <c r="AL43" s="105">
        <f t="shared" si="5"/>
        <v>52.5</v>
      </c>
    </row>
    <row r="44" spans="1:38" ht="13.5" thickBot="1" x14ac:dyDescent="0.25">
      <c r="A44" s="33" t="s">
        <v>65</v>
      </c>
      <c r="B44" s="38"/>
      <c r="C44" s="50"/>
      <c r="D44" s="59"/>
      <c r="E44" s="50"/>
      <c r="F44" s="50"/>
      <c r="G44" s="59"/>
      <c r="H44" s="55"/>
      <c r="I44" s="56"/>
      <c r="J44" s="56"/>
      <c r="K44" s="57"/>
      <c r="L44" s="56"/>
      <c r="M44" s="56"/>
      <c r="N44" s="97">
        <f t="shared" si="18"/>
        <v>0</v>
      </c>
      <c r="O44" s="38"/>
      <c r="P44" s="56"/>
      <c r="Q44" s="58"/>
      <c r="R44" s="58"/>
      <c r="S44" s="58"/>
      <c r="T44" s="58"/>
      <c r="U44" s="97">
        <f t="shared" si="19"/>
        <v>0</v>
      </c>
      <c r="V44" s="38"/>
      <c r="W44" s="58"/>
      <c r="X44" s="58"/>
      <c r="Y44" s="58"/>
      <c r="Z44" s="58"/>
      <c r="AA44" s="58"/>
      <c r="AB44" s="97">
        <f t="shared" si="20"/>
        <v>0</v>
      </c>
      <c r="AC44" s="38"/>
      <c r="AD44" s="58"/>
      <c r="AF44" s="105">
        <f t="shared" si="21"/>
        <v>0</v>
      </c>
      <c r="AG44" s="42"/>
      <c r="AH44" s="120"/>
      <c r="AI44" s="136">
        <v>5</v>
      </c>
      <c r="AJ44" s="128">
        <f t="shared" ref="AJ44" si="52">SUM(AH44:AI44)</f>
        <v>5</v>
      </c>
      <c r="AL44" s="105">
        <f t="shared" ref="AL44" si="53">SUM(AF44,AJ44)</f>
        <v>5</v>
      </c>
    </row>
    <row r="45" spans="1:38" ht="13.5" thickBot="1" x14ac:dyDescent="0.25">
      <c r="A45" s="11" t="s">
        <v>22</v>
      </c>
      <c r="C45" s="50"/>
      <c r="D45" s="50"/>
      <c r="E45" s="50"/>
      <c r="F45" s="50"/>
      <c r="G45" s="50"/>
      <c r="H45" s="60"/>
      <c r="I45" s="50"/>
      <c r="J45" s="50"/>
      <c r="K45" s="57">
        <v>40.536200000000001</v>
      </c>
      <c r="L45" s="56"/>
      <c r="M45" s="56"/>
      <c r="N45" s="97">
        <f t="shared" si="18"/>
        <v>40.536200000000001</v>
      </c>
      <c r="P45" s="56">
        <v>2.6659999999999999</v>
      </c>
      <c r="Q45" s="58"/>
      <c r="R45" s="58"/>
      <c r="S45" s="58"/>
      <c r="T45" s="58"/>
      <c r="U45" s="97">
        <f t="shared" si="19"/>
        <v>2.6659999999999999</v>
      </c>
      <c r="W45" s="58"/>
      <c r="X45" s="58"/>
      <c r="Y45" s="58"/>
      <c r="Z45" s="58"/>
      <c r="AA45" s="58"/>
      <c r="AB45" s="97">
        <f t="shared" si="20"/>
        <v>0</v>
      </c>
      <c r="AD45" s="58"/>
      <c r="AF45" s="105">
        <f t="shared" si="21"/>
        <v>43.202199999999998</v>
      </c>
      <c r="AG45" s="42"/>
      <c r="AH45" s="120"/>
      <c r="AI45" s="136"/>
      <c r="AJ45" s="128">
        <f t="shared" si="4"/>
        <v>0</v>
      </c>
      <c r="AL45" s="105">
        <f t="shared" si="5"/>
        <v>43.202199999999998</v>
      </c>
    </row>
    <row r="46" spans="1:38" ht="13.5" thickBot="1" x14ac:dyDescent="0.25">
      <c r="A46" s="11" t="s">
        <v>23</v>
      </c>
      <c r="C46" s="50"/>
      <c r="D46" s="59">
        <v>1.8921325899999999</v>
      </c>
      <c r="E46" s="59">
        <v>1.1147999799999999</v>
      </c>
      <c r="F46" s="59">
        <v>2.38518169</v>
      </c>
      <c r="G46" s="59">
        <v>4.9314298799999996</v>
      </c>
      <c r="H46" s="60">
        <v>12.66340061</v>
      </c>
      <c r="I46" s="56">
        <v>14.593975029999999</v>
      </c>
      <c r="J46" s="56">
        <v>15.514976000000001</v>
      </c>
      <c r="K46" s="57">
        <v>19.151976000000001</v>
      </c>
      <c r="L46" s="56">
        <v>13.80099952</v>
      </c>
      <c r="M46" s="56">
        <v>36.487497500000003</v>
      </c>
      <c r="N46" s="97">
        <f t="shared" si="18"/>
        <v>122.53636880000002</v>
      </c>
      <c r="P46" s="56">
        <v>92.7</v>
      </c>
      <c r="Q46" s="58"/>
      <c r="R46" s="58">
        <v>70.900080489999993</v>
      </c>
      <c r="S46" s="58">
        <v>49.84</v>
      </c>
      <c r="T46" s="58">
        <v>41.475000000000001</v>
      </c>
      <c r="U46" s="97">
        <f t="shared" si="19"/>
        <v>254.91508048999998</v>
      </c>
      <c r="W46" s="58">
        <v>36.391199999999998</v>
      </c>
      <c r="X46" s="58">
        <v>33.504578960000003</v>
      </c>
      <c r="Y46" s="58">
        <v>42.436950889999999</v>
      </c>
      <c r="Z46" s="58">
        <f>19.58512008+16.14</f>
        <v>35.725120079999996</v>
      </c>
      <c r="AA46" s="58">
        <v>40.858379999999997</v>
      </c>
      <c r="AB46" s="97">
        <f t="shared" si="20"/>
        <v>188.91622992999999</v>
      </c>
      <c r="AD46" s="58">
        <v>39.449023510000004</v>
      </c>
      <c r="AF46" s="105">
        <f t="shared" si="21"/>
        <v>605.81670272999997</v>
      </c>
      <c r="AG46" s="42"/>
      <c r="AH46" s="120">
        <v>11.58512058</v>
      </c>
      <c r="AI46" s="136"/>
      <c r="AJ46" s="128">
        <f t="shared" si="4"/>
        <v>11.58512058</v>
      </c>
      <c r="AL46" s="105">
        <f t="shared" si="5"/>
        <v>617.40182330999994</v>
      </c>
    </row>
    <row r="47" spans="1:38" s="24" customFormat="1" ht="13.5" thickBot="1" x14ac:dyDescent="0.25">
      <c r="A47" s="31" t="s">
        <v>24</v>
      </c>
      <c r="B47"/>
      <c r="C47" s="56"/>
      <c r="D47" s="63"/>
      <c r="E47" s="63"/>
      <c r="F47" s="63"/>
      <c r="G47" s="63"/>
      <c r="H47" s="66"/>
      <c r="I47" s="56"/>
      <c r="J47" s="56"/>
      <c r="K47" s="57"/>
      <c r="L47" s="56"/>
      <c r="M47" s="56"/>
      <c r="N47" s="97">
        <f t="shared" si="18"/>
        <v>0</v>
      </c>
      <c r="O47"/>
      <c r="P47" s="56"/>
      <c r="Q47" s="58"/>
      <c r="R47" s="58"/>
      <c r="S47" s="58"/>
      <c r="T47" s="58"/>
      <c r="U47" s="97">
        <f t="shared" si="19"/>
        <v>0</v>
      </c>
      <c r="V47"/>
      <c r="W47" s="58">
        <v>1.5797791999999999</v>
      </c>
      <c r="X47" s="58"/>
      <c r="Y47" s="58"/>
      <c r="Z47" s="58"/>
      <c r="AA47" s="58">
        <f>11.2905+0.56177087</f>
        <v>11.85227087</v>
      </c>
      <c r="AB47" s="97">
        <f t="shared" si="20"/>
        <v>13.432050069999999</v>
      </c>
      <c r="AC47"/>
      <c r="AD47" s="58">
        <v>0.43321999999999999</v>
      </c>
      <c r="AE47" s="38"/>
      <c r="AF47" s="105">
        <f t="shared" si="21"/>
        <v>13.865270069999999</v>
      </c>
      <c r="AG47" s="37"/>
      <c r="AH47" s="120">
        <v>22.477137939999999</v>
      </c>
      <c r="AI47" s="136"/>
      <c r="AJ47" s="128">
        <f t="shared" si="4"/>
        <v>22.477137939999999</v>
      </c>
      <c r="AL47" s="105">
        <f t="shared" si="5"/>
        <v>36.34240801</v>
      </c>
    </row>
    <row r="48" spans="1:38" ht="13.5" thickBot="1" x14ac:dyDescent="0.25">
      <c r="A48" s="11" t="s">
        <v>25</v>
      </c>
      <c r="C48" s="50">
        <v>4.4634</v>
      </c>
      <c r="D48" s="50"/>
      <c r="E48" s="59">
        <v>15.048249999999999</v>
      </c>
      <c r="F48" s="50">
        <v>5.60595</v>
      </c>
      <c r="G48" s="59">
        <v>18.491534999999999</v>
      </c>
      <c r="H48" s="60">
        <v>6.6251490000000004</v>
      </c>
      <c r="I48" s="56">
        <v>23.214072000000002</v>
      </c>
      <c r="J48" s="62">
        <v>48.113951999999998</v>
      </c>
      <c r="K48" s="57"/>
      <c r="L48" s="56"/>
      <c r="M48" s="67">
        <v>15.883044</v>
      </c>
      <c r="N48" s="98">
        <f t="shared" si="18"/>
        <v>137.44535199999999</v>
      </c>
      <c r="P48" s="67">
        <v>85.1</v>
      </c>
      <c r="Q48" s="68">
        <v>206.88</v>
      </c>
      <c r="R48" s="68">
        <v>447.88005122999999</v>
      </c>
      <c r="S48" s="68">
        <v>302.55504000000002</v>
      </c>
      <c r="T48" s="68">
        <f>418.55298+23.91142691</f>
        <v>442.46440690999998</v>
      </c>
      <c r="U48" s="98">
        <f t="shared" si="19"/>
        <v>1484.8794981399999</v>
      </c>
      <c r="W48" s="68">
        <v>304.83199999999999</v>
      </c>
      <c r="X48" s="68">
        <v>282.065</v>
      </c>
      <c r="Y48" s="68">
        <f>237.859968+15.02140486</f>
        <v>252.88137286</v>
      </c>
      <c r="Z48" s="68">
        <v>267.42500000000001</v>
      </c>
      <c r="AA48" s="58">
        <v>270.52</v>
      </c>
      <c r="AB48" s="98">
        <f t="shared" si="20"/>
        <v>1377.7233728599999</v>
      </c>
      <c r="AD48" s="58"/>
      <c r="AF48" s="105">
        <f t="shared" si="21"/>
        <v>3000.0482230000002</v>
      </c>
      <c r="AG48" s="42"/>
      <c r="AH48" s="120"/>
      <c r="AI48" s="136">
        <v>60.625000000000057</v>
      </c>
      <c r="AJ48" s="128">
        <f t="shared" si="4"/>
        <v>60.625000000000057</v>
      </c>
      <c r="AL48" s="105">
        <f t="shared" si="5"/>
        <v>3060.6732230000002</v>
      </c>
    </row>
    <row r="49" spans="1:40" ht="13.5" thickBot="1" x14ac:dyDescent="0.25">
      <c r="A49" s="15" t="s">
        <v>26</v>
      </c>
      <c r="C49" s="69"/>
      <c r="D49" s="70">
        <v>48.091999999999999</v>
      </c>
      <c r="E49" s="70">
        <v>53</v>
      </c>
      <c r="F49" s="70">
        <v>58</v>
      </c>
      <c r="G49" s="70">
        <v>59.64</v>
      </c>
      <c r="H49" s="71">
        <v>64.48</v>
      </c>
      <c r="I49" s="72">
        <v>69.3</v>
      </c>
      <c r="J49" s="73">
        <v>69.3</v>
      </c>
      <c r="K49" s="74">
        <v>71.912999999999997</v>
      </c>
      <c r="L49" s="72">
        <v>75</v>
      </c>
      <c r="M49" s="72">
        <v>78</v>
      </c>
      <c r="N49" s="99">
        <f t="shared" si="18"/>
        <v>646.72500000000002</v>
      </c>
      <c r="P49" s="72">
        <v>89.8</v>
      </c>
      <c r="Q49" s="75">
        <v>130</v>
      </c>
      <c r="R49" s="75">
        <v>137.978655</v>
      </c>
      <c r="S49" s="75">
        <v>175</v>
      </c>
      <c r="T49" s="75">
        <v>200</v>
      </c>
      <c r="U49" s="99">
        <f t="shared" si="19"/>
        <v>732.77865500000007</v>
      </c>
      <c r="W49" s="75">
        <v>235</v>
      </c>
      <c r="X49" s="75">
        <v>275</v>
      </c>
      <c r="Y49" s="75">
        <v>290</v>
      </c>
      <c r="Z49" s="75">
        <v>290</v>
      </c>
      <c r="AA49" s="75">
        <v>290</v>
      </c>
      <c r="AB49" s="99">
        <f t="shared" si="20"/>
        <v>1380</v>
      </c>
      <c r="AD49" s="75"/>
      <c r="AF49" s="106">
        <f t="shared" si="21"/>
        <v>2759.503655</v>
      </c>
      <c r="AG49" s="42"/>
      <c r="AH49" s="123"/>
      <c r="AI49" s="140">
        <v>1500</v>
      </c>
      <c r="AJ49" s="130">
        <f t="shared" si="4"/>
        <v>1500</v>
      </c>
      <c r="AL49" s="106">
        <f t="shared" si="5"/>
        <v>4259.5036550000004</v>
      </c>
    </row>
    <row r="50" spans="1:40" ht="13.5" thickBot="1" x14ac:dyDescent="0.25">
      <c r="A50" s="16" t="s">
        <v>27</v>
      </c>
      <c r="C50" s="76">
        <f t="shared" ref="C50:N50" si="54">SUM(C7:C49)</f>
        <v>4.4634</v>
      </c>
      <c r="D50" s="76">
        <f t="shared" si="54"/>
        <v>93.086564390000007</v>
      </c>
      <c r="E50" s="76">
        <f t="shared" si="54"/>
        <v>106.25498396</v>
      </c>
      <c r="F50" s="76">
        <f t="shared" si="54"/>
        <v>110.91403173</v>
      </c>
      <c r="G50" s="76">
        <f t="shared" si="54"/>
        <v>160.39815135999999</v>
      </c>
      <c r="H50" s="76">
        <f t="shared" si="54"/>
        <v>274.92391606000001</v>
      </c>
      <c r="I50" s="76">
        <f t="shared" si="54"/>
        <v>216.20010949000005</v>
      </c>
      <c r="J50" s="76">
        <f t="shared" si="54"/>
        <v>282.29137800000001</v>
      </c>
      <c r="K50" s="76">
        <f t="shared" si="54"/>
        <v>269.32929425999998</v>
      </c>
      <c r="L50" s="76">
        <f t="shared" si="54"/>
        <v>255.98825982</v>
      </c>
      <c r="M50" s="76">
        <f t="shared" si="54"/>
        <v>252.64002400000001</v>
      </c>
      <c r="N50" s="115">
        <f t="shared" si="54"/>
        <v>2026.49011307</v>
      </c>
      <c r="P50" s="76">
        <f t="shared" ref="P50:U50" si="55">SUM(P7:P49)</f>
        <v>512.89099999999996</v>
      </c>
      <c r="Q50" s="76">
        <f t="shared" si="55"/>
        <v>615.20465434000005</v>
      </c>
      <c r="R50" s="76">
        <f t="shared" si="55"/>
        <v>994.33653315000004</v>
      </c>
      <c r="S50" s="76">
        <f t="shared" si="55"/>
        <v>920.80762834000006</v>
      </c>
      <c r="T50" s="76">
        <f t="shared" si="55"/>
        <v>1001.98051419</v>
      </c>
      <c r="U50" s="115">
        <f t="shared" si="55"/>
        <v>4045.2203300199999</v>
      </c>
      <c r="W50" s="76">
        <f t="shared" ref="W50:AB50" si="56">SUM(W7:W49)</f>
        <v>1173.2561867700001</v>
      </c>
      <c r="X50" s="76">
        <f t="shared" si="56"/>
        <v>1125.5441614700001</v>
      </c>
      <c r="Y50" s="76">
        <f t="shared" si="56"/>
        <v>1137.9701698325</v>
      </c>
      <c r="Z50" s="76">
        <f t="shared" si="56"/>
        <v>1280.0316882200002</v>
      </c>
      <c r="AA50" s="76">
        <f t="shared" si="56"/>
        <v>1150.7076543858161</v>
      </c>
      <c r="AB50" s="115">
        <f t="shared" si="56"/>
        <v>5867.5098606783158</v>
      </c>
      <c r="AD50" s="76">
        <f>SUM(AD7:AD49)</f>
        <v>226.74017386000003</v>
      </c>
      <c r="AF50" s="115">
        <f>SUM(AF7:AF49)</f>
        <v>12165.960477628316</v>
      </c>
      <c r="AG50" s="13"/>
      <c r="AH50" s="122">
        <f>SUM(AH7:AH49)</f>
        <v>284.03593762999998</v>
      </c>
      <c r="AI50" s="124">
        <f>SUM(AI7:AI49)</f>
        <v>2237.11049499</v>
      </c>
      <c r="AJ50" s="124">
        <f>SUM(AJ7:AJ49)</f>
        <v>2521.1464326200003</v>
      </c>
      <c r="AL50" s="115">
        <f>SUM(AL7:AL49)</f>
        <v>14687.106910248318</v>
      </c>
    </row>
    <row r="51" spans="1:40" s="40" customFormat="1" ht="13.5" thickBot="1" x14ac:dyDescent="0.25">
      <c r="A51" s="17"/>
      <c r="B5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/>
      <c r="P51" s="18"/>
      <c r="Q51" s="18"/>
      <c r="R51" s="18"/>
      <c r="S51" s="18"/>
      <c r="T51" s="18"/>
      <c r="U51" s="18"/>
      <c r="V51"/>
      <c r="W51" s="77"/>
      <c r="X51" s="77"/>
      <c r="Y51" s="77"/>
      <c r="Z51" s="77"/>
      <c r="AA51" s="77"/>
      <c r="AB51" s="18"/>
      <c r="AC51"/>
      <c r="AD51" s="77"/>
      <c r="AE51" s="38"/>
      <c r="AF51" s="18"/>
      <c r="AG51" s="13"/>
      <c r="AH51" s="18"/>
      <c r="AI51" s="118"/>
      <c r="AJ51" s="18"/>
      <c r="AL51" s="18"/>
    </row>
    <row r="52" spans="1:40" s="40" customFormat="1" ht="13.5" thickBot="1" x14ac:dyDescent="0.25">
      <c r="A52" s="46" t="s">
        <v>37</v>
      </c>
      <c r="B52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100">
        <f t="shared" ref="N52:N83" si="57">SUM(C52:M52)</f>
        <v>0</v>
      </c>
      <c r="O52"/>
      <c r="P52" s="79"/>
      <c r="Q52" s="79"/>
      <c r="R52" s="79"/>
      <c r="S52" s="79"/>
      <c r="T52" s="79"/>
      <c r="U52" s="100">
        <f t="shared" ref="U52:U83" si="58">SUM(P52:T52)</f>
        <v>0</v>
      </c>
      <c r="V52"/>
      <c r="W52" s="79"/>
      <c r="X52" s="79"/>
      <c r="Y52" s="79"/>
      <c r="Z52" s="79">
        <f>0.35+0.35</f>
        <v>0.7</v>
      </c>
      <c r="AA52" s="79">
        <v>0.3</v>
      </c>
      <c r="AB52" s="100">
        <f t="shared" ref="AB52:AB83" si="59">SUM(W52:AA52)</f>
        <v>1</v>
      </c>
      <c r="AC52"/>
      <c r="AD52" s="79"/>
      <c r="AE52" s="38"/>
      <c r="AF52" s="107">
        <f t="shared" ref="AF52:AF83" si="60">SUM(AB52,U52,N52,AD52)</f>
        <v>1</v>
      </c>
      <c r="AG52" s="42"/>
      <c r="AH52" s="119"/>
      <c r="AI52" s="139"/>
      <c r="AJ52" s="127">
        <f t="shared" ref="AJ52:AJ83" si="61">SUM(AH52:AI52)</f>
        <v>0</v>
      </c>
      <c r="AL52" s="107">
        <f t="shared" ref="AL52:AL83" si="62">SUM(AF52,AJ52)</f>
        <v>1</v>
      </c>
    </row>
    <row r="53" spans="1:40" s="40" customFormat="1" ht="13.5" thickBot="1" x14ac:dyDescent="0.25">
      <c r="A53" s="19" t="s">
        <v>28</v>
      </c>
      <c r="B53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101">
        <f t="shared" si="57"/>
        <v>0</v>
      </c>
      <c r="O53"/>
      <c r="P53" s="81"/>
      <c r="Q53" s="81"/>
      <c r="R53" s="81"/>
      <c r="S53" s="81"/>
      <c r="T53" s="81"/>
      <c r="U53" s="101">
        <f t="shared" si="58"/>
        <v>0</v>
      </c>
      <c r="V53"/>
      <c r="W53" s="44">
        <v>0.20119999999999999</v>
      </c>
      <c r="X53" s="44">
        <v>0.20119999999999999</v>
      </c>
      <c r="Y53" s="44">
        <v>0.20119999999999999</v>
      </c>
      <c r="Z53" s="44">
        <v>0.20119999999999999</v>
      </c>
      <c r="AA53" s="82">
        <f>2+0.2012</f>
        <v>2.2012</v>
      </c>
      <c r="AB53" s="101">
        <f t="shared" si="59"/>
        <v>3.0060000000000002</v>
      </c>
      <c r="AC53"/>
      <c r="AD53" s="82">
        <v>1</v>
      </c>
      <c r="AE53" s="38"/>
      <c r="AF53" s="108">
        <f t="shared" si="60"/>
        <v>4.0060000000000002</v>
      </c>
      <c r="AG53" s="42"/>
      <c r="AH53" s="120"/>
      <c r="AI53" s="136"/>
      <c r="AJ53" s="128">
        <f t="shared" si="61"/>
        <v>0</v>
      </c>
      <c r="AL53" s="108">
        <f t="shared" si="62"/>
        <v>4.0060000000000002</v>
      </c>
    </row>
    <row r="54" spans="1:40" s="40" customFormat="1" ht="13.5" thickBot="1" x14ac:dyDescent="0.25">
      <c r="A54" s="19" t="s">
        <v>75</v>
      </c>
      <c r="B54" s="38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101">
        <f t="shared" ref="N54" si="63">SUM(C54:M54)</f>
        <v>0</v>
      </c>
      <c r="O54" s="38"/>
      <c r="P54" s="81"/>
      <c r="Q54" s="81"/>
      <c r="R54" s="81"/>
      <c r="S54" s="81"/>
      <c r="T54" s="81"/>
      <c r="U54" s="101">
        <f t="shared" ref="U54" si="64">SUM(P54:T54)</f>
        <v>0</v>
      </c>
      <c r="V54" s="38"/>
      <c r="W54" s="44"/>
      <c r="X54" s="44"/>
      <c r="Y54" s="44"/>
      <c r="Z54" s="44"/>
      <c r="AA54" s="82"/>
      <c r="AB54" s="101">
        <f t="shared" ref="AB54" si="65">SUM(W54:AA54)</f>
        <v>0</v>
      </c>
      <c r="AC54" s="38"/>
      <c r="AD54" s="82"/>
      <c r="AE54" s="38"/>
      <c r="AF54" s="108">
        <f t="shared" ref="AF54" si="66">SUM(AB54,U54,N54,AD54)</f>
        <v>0</v>
      </c>
      <c r="AG54" s="42"/>
      <c r="AH54" s="120"/>
      <c r="AI54" s="136">
        <v>2</v>
      </c>
      <c r="AJ54" s="128">
        <f t="shared" ref="AJ54" si="67">SUM(AH54:AI54)</f>
        <v>2</v>
      </c>
      <c r="AL54" s="108">
        <f t="shared" ref="AL54" si="68">SUM(AF54,AJ54)</f>
        <v>2</v>
      </c>
    </row>
    <row r="55" spans="1:40" s="40" customFormat="1" ht="13.5" thickBot="1" x14ac:dyDescent="0.25">
      <c r="A55" s="19" t="s">
        <v>76</v>
      </c>
      <c r="B55" s="38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101">
        <f t="shared" si="57"/>
        <v>0</v>
      </c>
      <c r="O55" s="38"/>
      <c r="P55" s="81"/>
      <c r="Q55" s="81"/>
      <c r="R55" s="81"/>
      <c r="S55" s="81"/>
      <c r="T55" s="81"/>
      <c r="U55" s="101">
        <f t="shared" si="58"/>
        <v>0</v>
      </c>
      <c r="V55" s="38"/>
      <c r="W55" s="44"/>
      <c r="X55" s="44"/>
      <c r="Y55" s="44"/>
      <c r="Z55" s="44"/>
      <c r="AA55" s="82"/>
      <c r="AB55" s="101">
        <f t="shared" si="59"/>
        <v>0</v>
      </c>
      <c r="AC55" s="38"/>
      <c r="AD55" s="82"/>
      <c r="AE55" s="38"/>
      <c r="AF55" s="108">
        <f t="shared" si="60"/>
        <v>0</v>
      </c>
      <c r="AG55" s="42"/>
      <c r="AH55" s="120"/>
      <c r="AI55" s="136">
        <f>0.05+1.45</f>
        <v>1.5</v>
      </c>
      <c r="AJ55" s="128">
        <f t="shared" si="61"/>
        <v>1.5</v>
      </c>
      <c r="AL55" s="108">
        <f t="shared" si="62"/>
        <v>1.5</v>
      </c>
    </row>
    <row r="56" spans="1:40" s="40" customFormat="1" ht="13.5" thickBot="1" x14ac:dyDescent="0.25">
      <c r="A56" s="19" t="s">
        <v>29</v>
      </c>
      <c r="B56"/>
      <c r="C56" s="80">
        <v>325</v>
      </c>
      <c r="D56" s="80">
        <v>425</v>
      </c>
      <c r="E56" s="80"/>
      <c r="F56" s="80">
        <v>3.5</v>
      </c>
      <c r="G56" s="80">
        <v>5</v>
      </c>
      <c r="H56" s="80">
        <v>154.33799999999999</v>
      </c>
      <c r="I56" s="80"/>
      <c r="J56" s="80">
        <v>75</v>
      </c>
      <c r="K56" s="80">
        <v>75</v>
      </c>
      <c r="L56" s="80">
        <v>75</v>
      </c>
      <c r="M56" s="80">
        <v>75</v>
      </c>
      <c r="N56" s="101">
        <f t="shared" si="57"/>
        <v>1212.838</v>
      </c>
      <c r="O56"/>
      <c r="P56" s="81">
        <v>264.10000000000002</v>
      </c>
      <c r="Q56" s="81">
        <v>268.8</v>
      </c>
      <c r="R56" s="81">
        <v>283.10000000000002</v>
      </c>
      <c r="S56" s="81">
        <f>75+100.6+50</f>
        <v>225.6</v>
      </c>
      <c r="T56" s="81">
        <v>245</v>
      </c>
      <c r="U56" s="101">
        <f t="shared" si="58"/>
        <v>1286.6000000000001</v>
      </c>
      <c r="V56"/>
      <c r="W56" s="82">
        <f>260+14.6048+2.8952+2.5</f>
        <v>280</v>
      </c>
      <c r="X56" s="82">
        <f>300+13.7578+2.5+3.7422</f>
        <v>320</v>
      </c>
      <c r="Y56" s="82">
        <f>325+15</f>
        <v>340</v>
      </c>
      <c r="Z56" s="82">
        <f>300+15+1.544372</f>
        <v>316.54437200000001</v>
      </c>
      <c r="AA56" s="82">
        <f>290+5</f>
        <v>295</v>
      </c>
      <c r="AB56" s="101">
        <f t="shared" si="59"/>
        <v>1551.5443720000001</v>
      </c>
      <c r="AC56"/>
      <c r="AD56" s="82"/>
      <c r="AE56" s="38"/>
      <c r="AF56" s="108">
        <f t="shared" si="60"/>
        <v>4050.9823720000004</v>
      </c>
      <c r="AG56" s="42"/>
      <c r="AH56" s="120"/>
      <c r="AI56" s="136">
        <f>150+6.25</f>
        <v>156.25</v>
      </c>
      <c r="AJ56" s="128">
        <f t="shared" si="61"/>
        <v>156.25</v>
      </c>
      <c r="AL56" s="108">
        <f t="shared" si="62"/>
        <v>4207.2323720000004</v>
      </c>
      <c r="AN56"/>
    </row>
    <row r="57" spans="1:40" s="40" customFormat="1" ht="26.25" customHeight="1" thickBot="1" x14ac:dyDescent="0.25">
      <c r="A57" s="41" t="s">
        <v>30</v>
      </c>
      <c r="B57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101">
        <f t="shared" si="57"/>
        <v>0</v>
      </c>
      <c r="O57"/>
      <c r="P57" s="81"/>
      <c r="Q57" s="81"/>
      <c r="R57" s="81"/>
      <c r="S57" s="81">
        <f>0.8+1.2</f>
        <v>2</v>
      </c>
      <c r="T57" s="82"/>
      <c r="U57" s="101">
        <f t="shared" si="58"/>
        <v>2</v>
      </c>
      <c r="V57"/>
      <c r="W57" s="82"/>
      <c r="X57" s="82"/>
      <c r="Y57" s="82">
        <v>0.855078</v>
      </c>
      <c r="Z57" s="82"/>
      <c r="AA57" s="82">
        <v>0.31638899999999998</v>
      </c>
      <c r="AB57" s="101">
        <f t="shared" si="59"/>
        <v>1.171467</v>
      </c>
      <c r="AC57"/>
      <c r="AD57" s="82"/>
      <c r="AE57" s="38"/>
      <c r="AF57" s="108">
        <f t="shared" si="60"/>
        <v>3.1714669999999998</v>
      </c>
      <c r="AG57" s="42"/>
      <c r="AH57" s="120"/>
      <c r="AI57" s="136"/>
      <c r="AJ57" s="128">
        <f t="shared" si="61"/>
        <v>0</v>
      </c>
      <c r="AL57" s="108">
        <f t="shared" si="62"/>
        <v>3.1714669999999998</v>
      </c>
    </row>
    <row r="58" spans="1:40" ht="13.5" thickBot="1" x14ac:dyDescent="0.25">
      <c r="A58" s="33" t="s">
        <v>87</v>
      </c>
      <c r="B58" s="38"/>
      <c r="C58" s="50"/>
      <c r="D58" s="59"/>
      <c r="E58" s="50"/>
      <c r="F58" s="50"/>
      <c r="G58" s="59"/>
      <c r="H58" s="55"/>
      <c r="I58" s="56"/>
      <c r="J58" s="56"/>
      <c r="K58" s="57"/>
      <c r="L58" s="56"/>
      <c r="M58" s="56"/>
      <c r="N58" s="97">
        <f t="shared" ref="N58" si="69">SUM(C58:M58)</f>
        <v>0</v>
      </c>
      <c r="O58" s="38"/>
      <c r="P58" s="56"/>
      <c r="Q58" s="58"/>
      <c r="R58" s="58"/>
      <c r="S58" s="58"/>
      <c r="T58" s="58"/>
      <c r="U58" s="97">
        <f t="shared" ref="U58" si="70">SUM(P58:T58)</f>
        <v>0</v>
      </c>
      <c r="V58" s="38"/>
      <c r="W58" s="58"/>
      <c r="X58" s="58"/>
      <c r="Y58" s="58"/>
      <c r="Z58" s="58"/>
      <c r="AA58" s="58"/>
      <c r="AB58" s="97">
        <f t="shared" ref="AB58" si="71">SUM(W58:AA58)</f>
        <v>0</v>
      </c>
      <c r="AC58" s="38"/>
      <c r="AD58" s="58"/>
      <c r="AF58" s="105">
        <f>SUM(AB58,U58,N58,AD58)</f>
        <v>0</v>
      </c>
      <c r="AG58" s="42"/>
      <c r="AH58" s="120"/>
      <c r="AI58" s="136">
        <v>1.3394999999999999</v>
      </c>
      <c r="AJ58" s="128">
        <f>SUM(AH58:AI58)</f>
        <v>1.3394999999999999</v>
      </c>
      <c r="AL58" s="105">
        <f>SUM(AF58,AJ58)</f>
        <v>1.3394999999999999</v>
      </c>
    </row>
    <row r="59" spans="1:40" s="40" customFormat="1" ht="13.5" thickBot="1" x14ac:dyDescent="0.25">
      <c r="A59" s="19" t="s">
        <v>77</v>
      </c>
      <c r="B59" s="38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101">
        <f t="shared" ref="N59" si="72">SUM(C59:M59)</f>
        <v>0</v>
      </c>
      <c r="O59" s="38"/>
      <c r="P59" s="81"/>
      <c r="Q59" s="81"/>
      <c r="R59" s="81"/>
      <c r="S59" s="81"/>
      <c r="T59" s="81"/>
      <c r="U59" s="101">
        <f t="shared" ref="U59" si="73">SUM(P59:T59)</f>
        <v>0</v>
      </c>
      <c r="V59" s="38"/>
      <c r="W59" s="44"/>
      <c r="X59" s="44"/>
      <c r="Y59" s="44"/>
      <c r="Z59" s="44"/>
      <c r="AA59" s="82"/>
      <c r="AB59" s="101">
        <f t="shared" ref="AB59" si="74">SUM(W59:AA59)</f>
        <v>0</v>
      </c>
      <c r="AC59" s="38"/>
      <c r="AD59" s="82"/>
      <c r="AE59" s="38"/>
      <c r="AF59" s="108">
        <f t="shared" ref="AF59" si="75">SUM(AB59,U59,N59,AD59)</f>
        <v>0</v>
      </c>
      <c r="AG59" s="42"/>
      <c r="AH59" s="120"/>
      <c r="AI59" s="136">
        <v>3.35400923</v>
      </c>
      <c r="AJ59" s="128">
        <f t="shared" ref="AJ59" si="76">SUM(AH59:AI59)</f>
        <v>3.35400923</v>
      </c>
      <c r="AL59" s="108">
        <f t="shared" ref="AL59" si="77">SUM(AF59,AJ59)</f>
        <v>3.35400923</v>
      </c>
    </row>
    <row r="60" spans="1:40" s="40" customFormat="1" ht="26.25" thickBot="1" x14ac:dyDescent="0.25">
      <c r="A60" s="19" t="s">
        <v>40</v>
      </c>
      <c r="B60"/>
      <c r="C60" s="80"/>
      <c r="D60" s="80"/>
      <c r="E60" s="80"/>
      <c r="F60" s="80"/>
      <c r="G60" s="80"/>
      <c r="H60" s="80"/>
      <c r="I60" s="80"/>
      <c r="J60" s="83"/>
      <c r="K60" s="81"/>
      <c r="L60" s="81"/>
      <c r="M60" s="81"/>
      <c r="N60" s="102">
        <f t="shared" si="57"/>
        <v>0</v>
      </c>
      <c r="O60"/>
      <c r="P60" s="81">
        <v>14.077608</v>
      </c>
      <c r="Q60" s="81">
        <v>8.8254854999999992</v>
      </c>
      <c r="R60" s="81">
        <v>10.096907</v>
      </c>
      <c r="S60" s="81"/>
      <c r="T60" s="82"/>
      <c r="U60" s="102">
        <f t="shared" si="58"/>
        <v>33.000000499999999</v>
      </c>
      <c r="V60"/>
      <c r="W60" s="82"/>
      <c r="X60" s="82">
        <v>5</v>
      </c>
      <c r="Y60" s="82"/>
      <c r="Z60" s="82"/>
      <c r="AA60" s="82"/>
      <c r="AB60" s="102">
        <f t="shared" si="59"/>
        <v>5</v>
      </c>
      <c r="AC60"/>
      <c r="AD60" s="82"/>
      <c r="AE60" s="38"/>
      <c r="AF60" s="108">
        <f t="shared" si="60"/>
        <v>38.000000499999999</v>
      </c>
      <c r="AG60" s="42"/>
      <c r="AH60" s="120"/>
      <c r="AI60" s="136"/>
      <c r="AJ60" s="128">
        <f t="shared" si="61"/>
        <v>0</v>
      </c>
      <c r="AL60" s="108">
        <f t="shared" si="62"/>
        <v>38.000000499999999</v>
      </c>
    </row>
    <row r="61" spans="1:40" ht="26.25" thickBot="1" x14ac:dyDescent="0.25">
      <c r="A61" s="135" t="s">
        <v>41</v>
      </c>
      <c r="B61" s="38"/>
      <c r="C61" s="80"/>
      <c r="D61" s="80"/>
      <c r="E61" s="80"/>
      <c r="F61" s="80"/>
      <c r="G61" s="80"/>
      <c r="H61" s="80"/>
      <c r="I61" s="80"/>
      <c r="J61" s="83"/>
      <c r="K61" s="81"/>
      <c r="L61" s="81"/>
      <c r="M61" s="81"/>
      <c r="N61" s="102">
        <f t="shared" si="57"/>
        <v>0</v>
      </c>
      <c r="O61" s="38"/>
      <c r="P61" s="81"/>
      <c r="Q61" s="86"/>
      <c r="R61" s="81"/>
      <c r="S61" s="81"/>
      <c r="T61" s="82"/>
      <c r="U61" s="102">
        <f t="shared" si="58"/>
        <v>0</v>
      </c>
      <c r="V61" s="38"/>
      <c r="W61" s="82">
        <f>0.10916441+0.03383559</f>
        <v>0.14300000000000002</v>
      </c>
      <c r="X61" s="82">
        <f>0.075+0.143</f>
        <v>0.21799999999999997</v>
      </c>
      <c r="Y61" s="82">
        <f>0.211+0.5+0.143</f>
        <v>0.85399999999999998</v>
      </c>
      <c r="Z61" s="82">
        <f>0.3+0.143</f>
        <v>0.44299999999999995</v>
      </c>
      <c r="AA61" s="82"/>
      <c r="AB61" s="102">
        <f t="shared" si="59"/>
        <v>1.6579999999999999</v>
      </c>
      <c r="AC61" s="38"/>
      <c r="AD61" s="82"/>
      <c r="AF61" s="108">
        <f t="shared" si="60"/>
        <v>1.6579999999999999</v>
      </c>
      <c r="AG61" s="42"/>
      <c r="AH61" s="120"/>
      <c r="AI61" s="136"/>
      <c r="AJ61" s="128">
        <f t="shared" si="61"/>
        <v>0</v>
      </c>
      <c r="AL61" s="108">
        <f t="shared" si="62"/>
        <v>1.6579999999999999</v>
      </c>
    </row>
    <row r="62" spans="1:40" ht="13.5" thickBot="1" x14ac:dyDescent="0.25">
      <c r="A62" s="11" t="s">
        <v>31</v>
      </c>
      <c r="C62" s="80"/>
      <c r="D62" s="80"/>
      <c r="E62" s="80"/>
      <c r="F62" s="80"/>
      <c r="G62" s="80"/>
      <c r="H62" s="80"/>
      <c r="I62" s="80"/>
      <c r="J62" s="83"/>
      <c r="K62" s="81">
        <v>5.8</v>
      </c>
      <c r="L62" s="81">
        <v>5.9</v>
      </c>
      <c r="M62" s="81">
        <v>4</v>
      </c>
      <c r="N62" s="102">
        <f t="shared" si="57"/>
        <v>15.7</v>
      </c>
      <c r="P62" s="84">
        <v>3.1</v>
      </c>
      <c r="Q62" s="87">
        <v>2.8415940000000002</v>
      </c>
      <c r="R62" s="81">
        <v>2.0267418500000001</v>
      </c>
      <c r="S62" s="81">
        <f>0.08282487+1.3589+0.41790755-0.05290269</f>
        <v>1.80672973</v>
      </c>
      <c r="T62" s="82">
        <f>0.12171144+1.0905+0.10330079+0.00749712</f>
        <v>1.32300935</v>
      </c>
      <c r="U62" s="102">
        <f t="shared" si="58"/>
        <v>11.098074930000001</v>
      </c>
      <c r="W62" s="82">
        <f>0.54553356+0.02381135+1.09579371+0.52189105+0.15054668</f>
        <v>2.3375763500000004</v>
      </c>
      <c r="X62" s="82">
        <f>0.01439096+0.0742438+0.03536211+1.1219873+0.16116763+0.47137176+0.68446473</f>
        <v>2.5629882899999998</v>
      </c>
      <c r="Y62" s="82">
        <f>0.50279334+1.14379384</f>
        <v>1.64658718</v>
      </c>
      <c r="Z62" s="82">
        <f>2.1173994+1.2991243+1.0956</f>
        <v>4.5121237000000001</v>
      </c>
      <c r="AA62" s="82">
        <f>3.25925629+1.169+1.33320411+0.25327518+0.14542811</f>
        <v>6.160163690000001</v>
      </c>
      <c r="AB62" s="102">
        <f t="shared" si="59"/>
        <v>17.219439210000001</v>
      </c>
      <c r="AD62" s="82">
        <v>0.80180616999999998</v>
      </c>
      <c r="AF62" s="108">
        <f t="shared" si="60"/>
        <v>44.819320310000002</v>
      </c>
      <c r="AG62" s="42"/>
      <c r="AH62" s="120"/>
      <c r="AI62" s="136"/>
      <c r="AJ62" s="128">
        <f t="shared" si="61"/>
        <v>0</v>
      </c>
      <c r="AL62" s="108">
        <f t="shared" si="62"/>
        <v>44.819320310000002</v>
      </c>
    </row>
    <row r="63" spans="1:40" s="40" customFormat="1" ht="15" thickBot="1" x14ac:dyDescent="0.25">
      <c r="A63" s="41" t="s">
        <v>89</v>
      </c>
      <c r="B63" s="38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101">
        <f t="shared" ref="N63" si="78">SUM(C63:M63)</f>
        <v>0</v>
      </c>
      <c r="O63" s="38"/>
      <c r="P63" s="81"/>
      <c r="Q63" s="81"/>
      <c r="R63" s="81"/>
      <c r="S63" s="81"/>
      <c r="T63" s="81"/>
      <c r="U63" s="101">
        <f t="shared" ref="U63" si="79">SUM(P63:T63)</f>
        <v>0</v>
      </c>
      <c r="V63" s="38"/>
      <c r="W63" s="44"/>
      <c r="X63" s="44"/>
      <c r="Y63" s="44"/>
      <c r="Z63" s="44"/>
      <c r="AA63" s="82"/>
      <c r="AB63" s="101">
        <f t="shared" ref="AB63" si="80">SUM(W63:AA63)</f>
        <v>0</v>
      </c>
      <c r="AC63" s="38"/>
      <c r="AD63" s="82"/>
      <c r="AE63" s="38"/>
      <c r="AF63" s="108">
        <f t="shared" si="60"/>
        <v>0</v>
      </c>
      <c r="AG63" s="42"/>
      <c r="AH63" s="120"/>
      <c r="AI63" s="136">
        <v>10</v>
      </c>
      <c r="AJ63" s="128">
        <f t="shared" si="61"/>
        <v>10</v>
      </c>
      <c r="AL63" s="108">
        <f t="shared" si="62"/>
        <v>10</v>
      </c>
    </row>
    <row r="64" spans="1:40" s="40" customFormat="1" ht="13.5" thickBot="1" x14ac:dyDescent="0.25">
      <c r="A64" s="19" t="s">
        <v>78</v>
      </c>
      <c r="B64" s="38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101">
        <f t="shared" si="57"/>
        <v>0</v>
      </c>
      <c r="O64" s="38"/>
      <c r="P64" s="81"/>
      <c r="Q64" s="81"/>
      <c r="R64" s="81"/>
      <c r="S64" s="81"/>
      <c r="T64" s="81"/>
      <c r="U64" s="101">
        <f t="shared" si="58"/>
        <v>0</v>
      </c>
      <c r="V64" s="38"/>
      <c r="W64" s="44"/>
      <c r="X64" s="44"/>
      <c r="Y64" s="44"/>
      <c r="Z64" s="44"/>
      <c r="AA64" s="82"/>
      <c r="AB64" s="101">
        <f t="shared" si="59"/>
        <v>0</v>
      </c>
      <c r="AC64" s="38"/>
      <c r="AD64" s="82"/>
      <c r="AE64" s="38"/>
      <c r="AF64" s="108">
        <f t="shared" si="60"/>
        <v>0</v>
      </c>
      <c r="AG64" s="42"/>
      <c r="AH64" s="120"/>
      <c r="AI64" s="136">
        <v>0.1</v>
      </c>
      <c r="AJ64" s="128">
        <f t="shared" si="61"/>
        <v>0.1</v>
      </c>
      <c r="AL64" s="108">
        <f t="shared" si="62"/>
        <v>0.1</v>
      </c>
    </row>
    <row r="65" spans="1:38" ht="26.25" thickBot="1" x14ac:dyDescent="0.25">
      <c r="A65" s="19" t="s">
        <v>32</v>
      </c>
      <c r="C65" s="80"/>
      <c r="D65" s="80"/>
      <c r="E65" s="80"/>
      <c r="F65" s="80"/>
      <c r="G65" s="80"/>
      <c r="H65" s="80"/>
      <c r="I65" s="80"/>
      <c r="J65" s="83"/>
      <c r="K65" s="81"/>
      <c r="L65" s="81"/>
      <c r="M65" s="81"/>
      <c r="N65" s="102">
        <f t="shared" si="57"/>
        <v>0</v>
      </c>
      <c r="P65" s="84"/>
      <c r="Q65" s="87"/>
      <c r="R65" s="81">
        <v>0.65</v>
      </c>
      <c r="S65" s="43">
        <v>0.45</v>
      </c>
      <c r="T65" s="82"/>
      <c r="U65" s="102">
        <f t="shared" si="58"/>
        <v>1.1000000000000001</v>
      </c>
      <c r="W65" s="82"/>
      <c r="X65" s="82"/>
      <c r="Y65" s="82"/>
      <c r="Z65" s="82"/>
      <c r="AA65" s="82"/>
      <c r="AB65" s="102">
        <f t="shared" si="59"/>
        <v>0</v>
      </c>
      <c r="AD65" s="82"/>
      <c r="AF65" s="108">
        <f t="shared" si="60"/>
        <v>1.1000000000000001</v>
      </c>
      <c r="AG65" s="42"/>
      <c r="AH65" s="120"/>
      <c r="AI65" s="136"/>
      <c r="AJ65" s="128">
        <f t="shared" si="61"/>
        <v>0</v>
      </c>
      <c r="AL65" s="108">
        <f t="shared" si="62"/>
        <v>1.1000000000000001</v>
      </c>
    </row>
    <row r="66" spans="1:38" s="40" customFormat="1" ht="13.5" thickBot="1" x14ac:dyDescent="0.25">
      <c r="A66" s="19" t="s">
        <v>79</v>
      </c>
      <c r="B66" s="38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101">
        <f t="shared" ref="N66" si="81">SUM(C66:M66)</f>
        <v>0</v>
      </c>
      <c r="O66" s="38"/>
      <c r="P66" s="81"/>
      <c r="Q66" s="81"/>
      <c r="R66" s="81"/>
      <c r="S66" s="81"/>
      <c r="T66" s="81"/>
      <c r="U66" s="101">
        <f t="shared" ref="U66:U67" si="82">SUM(P66:T66)</f>
        <v>0</v>
      </c>
      <c r="V66" s="38"/>
      <c r="W66" s="44"/>
      <c r="X66" s="44"/>
      <c r="Y66" s="44"/>
      <c r="Z66" s="44"/>
      <c r="AA66" s="82"/>
      <c r="AB66" s="101">
        <f t="shared" ref="AB66:AB67" si="83">SUM(W66:AA66)</f>
        <v>0</v>
      </c>
      <c r="AC66" s="38"/>
      <c r="AD66" s="82"/>
      <c r="AE66" s="38"/>
      <c r="AF66" s="108">
        <f t="shared" ref="AF66:AF67" si="84">SUM(AB66,U66,N66,AD66)</f>
        <v>0</v>
      </c>
      <c r="AG66" s="42"/>
      <c r="AH66" s="120"/>
      <c r="AI66" s="136">
        <v>0.2</v>
      </c>
      <c r="AJ66" s="128">
        <f t="shared" ref="AJ66" si="85">SUM(AH66:AI66)</f>
        <v>0.2</v>
      </c>
      <c r="AL66" s="108">
        <f t="shared" ref="AL66:AL67" si="86">SUM(AF66,AJ66)</f>
        <v>0.2</v>
      </c>
    </row>
    <row r="67" spans="1:38" s="40" customFormat="1" ht="13.5" thickBot="1" x14ac:dyDescent="0.25">
      <c r="A67" s="19" t="s">
        <v>86</v>
      </c>
      <c r="B67" s="38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101">
        <f t="shared" ref="N67" si="87">SUM(C67:M67)</f>
        <v>0</v>
      </c>
      <c r="O67" s="38"/>
      <c r="P67" s="81"/>
      <c r="Q67" s="81"/>
      <c r="R67" s="81"/>
      <c r="S67" s="81"/>
      <c r="T67" s="81"/>
      <c r="U67" s="101">
        <f t="shared" si="82"/>
        <v>0</v>
      </c>
      <c r="V67" s="38"/>
      <c r="W67" s="44"/>
      <c r="X67" s="44"/>
      <c r="Y67" s="44"/>
      <c r="Z67" s="44"/>
      <c r="AA67" s="82"/>
      <c r="AB67" s="101">
        <f t="shared" si="83"/>
        <v>0</v>
      </c>
      <c r="AC67" s="38"/>
      <c r="AD67" s="82"/>
      <c r="AE67" s="38"/>
      <c r="AF67" s="108">
        <f t="shared" si="84"/>
        <v>0</v>
      </c>
      <c r="AG67" s="42"/>
      <c r="AH67" s="120"/>
      <c r="AI67" s="136">
        <v>1.71028231</v>
      </c>
      <c r="AJ67" s="128">
        <f t="shared" ref="AJ67" si="88">SUM(AH67:AI67)</f>
        <v>1.71028231</v>
      </c>
      <c r="AL67" s="108">
        <f t="shared" si="86"/>
        <v>1.71028231</v>
      </c>
    </row>
    <row r="68" spans="1:38" s="40" customFormat="1" ht="13.5" thickBot="1" x14ac:dyDescent="0.25">
      <c r="A68" s="19" t="s">
        <v>83</v>
      </c>
      <c r="B68" s="38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101">
        <f t="shared" ref="N68" si="89">SUM(C68:M68)</f>
        <v>0</v>
      </c>
      <c r="O68" s="38"/>
      <c r="P68" s="81"/>
      <c r="Q68" s="81"/>
      <c r="R68" s="81"/>
      <c r="S68" s="81"/>
      <c r="T68" s="81"/>
      <c r="U68" s="101">
        <f t="shared" ref="U68" si="90">SUM(P68:T68)</f>
        <v>0</v>
      </c>
      <c r="V68" s="38"/>
      <c r="W68" s="44"/>
      <c r="X68" s="44"/>
      <c r="Y68" s="44"/>
      <c r="Z68" s="44"/>
      <c r="AA68" s="82"/>
      <c r="AB68" s="101">
        <f t="shared" ref="AB68" si="91">SUM(W68:AA68)</f>
        <v>0</v>
      </c>
      <c r="AC68" s="38"/>
      <c r="AD68" s="82"/>
      <c r="AE68" s="38"/>
      <c r="AF68" s="108">
        <f t="shared" ref="AF68" si="92">SUM(AB68,U68,N68,AD68)</f>
        <v>0</v>
      </c>
      <c r="AG68" s="42"/>
      <c r="AH68" s="120"/>
      <c r="AI68" s="136">
        <f>0.001+4.999</f>
        <v>5</v>
      </c>
      <c r="AJ68" s="128">
        <f t="shared" ref="AJ68" si="93">SUM(AH68:AI68)</f>
        <v>5</v>
      </c>
      <c r="AL68" s="108">
        <f t="shared" ref="AL68" si="94">SUM(AF68,AJ68)</f>
        <v>5</v>
      </c>
    </row>
    <row r="69" spans="1:38" ht="13.5" thickBot="1" x14ac:dyDescent="0.25">
      <c r="A69" s="30" t="s">
        <v>58</v>
      </c>
      <c r="C69" s="80"/>
      <c r="D69" s="80"/>
      <c r="E69" s="80"/>
      <c r="F69" s="80"/>
      <c r="G69" s="80"/>
      <c r="H69" s="80"/>
      <c r="I69" s="80"/>
      <c r="J69" s="83"/>
      <c r="K69" s="81"/>
      <c r="L69" s="81"/>
      <c r="M69" s="81"/>
      <c r="N69" s="102">
        <f t="shared" si="57"/>
        <v>0</v>
      </c>
      <c r="P69" s="84"/>
      <c r="Q69" s="84"/>
      <c r="R69" s="84"/>
      <c r="S69" s="84"/>
      <c r="T69" s="85"/>
      <c r="U69" s="102">
        <f t="shared" si="58"/>
        <v>0</v>
      </c>
      <c r="W69" s="85"/>
      <c r="X69" s="85"/>
      <c r="Y69" s="85"/>
      <c r="Z69" s="85"/>
      <c r="AA69" s="85"/>
      <c r="AB69" s="102">
        <f t="shared" si="59"/>
        <v>0</v>
      </c>
      <c r="AD69" s="85"/>
      <c r="AF69" s="108">
        <f t="shared" si="60"/>
        <v>0</v>
      </c>
      <c r="AG69" s="42"/>
      <c r="AH69" s="120">
        <v>30</v>
      </c>
      <c r="AI69" s="136"/>
      <c r="AJ69" s="128">
        <f t="shared" si="61"/>
        <v>30</v>
      </c>
      <c r="AL69" s="108">
        <f t="shared" si="62"/>
        <v>30</v>
      </c>
    </row>
    <row r="70" spans="1:38" ht="13.5" thickBot="1" x14ac:dyDescent="0.25">
      <c r="A70" s="11" t="s">
        <v>39</v>
      </c>
      <c r="C70" s="80"/>
      <c r="D70" s="80"/>
      <c r="E70" s="80"/>
      <c r="F70" s="80"/>
      <c r="G70" s="80"/>
      <c r="H70" s="80"/>
      <c r="I70" s="80"/>
      <c r="J70" s="83"/>
      <c r="K70" s="81"/>
      <c r="L70" s="81"/>
      <c r="M70" s="81"/>
      <c r="N70" s="102">
        <f t="shared" si="57"/>
        <v>0</v>
      </c>
      <c r="P70" s="84"/>
      <c r="Q70" s="87"/>
      <c r="R70" s="81"/>
      <c r="S70" s="81"/>
      <c r="T70" s="82"/>
      <c r="U70" s="102">
        <f t="shared" si="58"/>
        <v>0</v>
      </c>
      <c r="W70" s="82"/>
      <c r="X70" s="82"/>
      <c r="Y70" s="82"/>
      <c r="Z70" s="82">
        <v>3</v>
      </c>
      <c r="AA70" s="82"/>
      <c r="AB70" s="102">
        <f t="shared" si="59"/>
        <v>3</v>
      </c>
      <c r="AD70" s="82"/>
      <c r="AF70" s="108">
        <f t="shared" si="60"/>
        <v>3</v>
      </c>
      <c r="AG70" s="42"/>
      <c r="AH70" s="120"/>
      <c r="AI70" s="136"/>
      <c r="AJ70" s="128">
        <f t="shared" si="61"/>
        <v>0</v>
      </c>
      <c r="AL70" s="108">
        <f t="shared" si="62"/>
        <v>3</v>
      </c>
    </row>
    <row r="71" spans="1:38" s="40" customFormat="1" ht="13.5" thickBot="1" x14ac:dyDescent="0.25">
      <c r="A71" s="19" t="s">
        <v>80</v>
      </c>
      <c r="B71" s="38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101">
        <f t="shared" si="57"/>
        <v>0</v>
      </c>
      <c r="O71" s="38"/>
      <c r="P71" s="81"/>
      <c r="Q71" s="81"/>
      <c r="R71" s="81"/>
      <c r="S71" s="81"/>
      <c r="T71" s="81"/>
      <c r="U71" s="101">
        <f t="shared" si="58"/>
        <v>0</v>
      </c>
      <c r="V71" s="38"/>
      <c r="W71" s="44"/>
      <c r="X71" s="44"/>
      <c r="Y71" s="44"/>
      <c r="Z71" s="44"/>
      <c r="AA71" s="82"/>
      <c r="AB71" s="101">
        <f t="shared" si="59"/>
        <v>0</v>
      </c>
      <c r="AC71" s="38"/>
      <c r="AD71" s="82"/>
      <c r="AE71" s="38"/>
      <c r="AF71" s="108">
        <f t="shared" si="60"/>
        <v>0</v>
      </c>
      <c r="AG71" s="42"/>
      <c r="AH71" s="120"/>
      <c r="AI71" s="136">
        <v>0.5</v>
      </c>
      <c r="AJ71" s="128">
        <f t="shared" si="61"/>
        <v>0.5</v>
      </c>
      <c r="AL71" s="108">
        <f t="shared" si="62"/>
        <v>0.5</v>
      </c>
    </row>
    <row r="72" spans="1:38" s="40" customFormat="1" ht="13.5" thickBot="1" x14ac:dyDescent="0.25">
      <c r="A72" s="19" t="s">
        <v>84</v>
      </c>
      <c r="B72" s="38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101">
        <f t="shared" ref="N72" si="95">SUM(C72:M72)</f>
        <v>0</v>
      </c>
      <c r="O72" s="38"/>
      <c r="P72" s="81"/>
      <c r="Q72" s="81"/>
      <c r="R72" s="81"/>
      <c r="S72" s="81"/>
      <c r="T72" s="81"/>
      <c r="U72" s="101">
        <f t="shared" ref="U72" si="96">SUM(P72:T72)</f>
        <v>0</v>
      </c>
      <c r="V72" s="38"/>
      <c r="W72" s="44"/>
      <c r="X72" s="44"/>
      <c r="Y72" s="44"/>
      <c r="Z72" s="44"/>
      <c r="AA72" s="82"/>
      <c r="AB72" s="101">
        <f t="shared" ref="AB72" si="97">SUM(W72:AA72)</f>
        <v>0</v>
      </c>
      <c r="AC72" s="38"/>
      <c r="AD72" s="82"/>
      <c r="AE72" s="38"/>
      <c r="AF72" s="108">
        <f t="shared" si="60"/>
        <v>0</v>
      </c>
      <c r="AG72" s="42"/>
      <c r="AH72" s="120"/>
      <c r="AI72" s="136">
        <v>1</v>
      </c>
      <c r="AJ72" s="128">
        <f t="shared" si="61"/>
        <v>1</v>
      </c>
      <c r="AL72" s="108">
        <f t="shared" si="62"/>
        <v>1</v>
      </c>
    </row>
    <row r="73" spans="1:38" ht="13.5" thickBot="1" x14ac:dyDescent="0.25">
      <c r="A73" s="20" t="s">
        <v>56</v>
      </c>
      <c r="B73" s="38"/>
      <c r="C73" s="80"/>
      <c r="D73" s="80"/>
      <c r="E73" s="80"/>
      <c r="F73" s="80"/>
      <c r="G73" s="80"/>
      <c r="H73" s="80"/>
      <c r="I73" s="80"/>
      <c r="J73" s="83"/>
      <c r="K73" s="81"/>
      <c r="L73" s="81"/>
      <c r="M73" s="81"/>
      <c r="N73" s="102">
        <f t="shared" si="57"/>
        <v>0</v>
      </c>
      <c r="O73" s="38"/>
      <c r="P73" s="84"/>
      <c r="Q73" s="87"/>
      <c r="R73" s="81"/>
      <c r="S73" s="81"/>
      <c r="T73" s="82"/>
      <c r="U73" s="102">
        <f t="shared" si="58"/>
        <v>0</v>
      </c>
      <c r="V73" s="38"/>
      <c r="W73" s="82"/>
      <c r="X73" s="82"/>
      <c r="Y73" s="82"/>
      <c r="Z73" s="82"/>
      <c r="AA73" s="82"/>
      <c r="AB73" s="102">
        <f t="shared" si="59"/>
        <v>0</v>
      </c>
      <c r="AC73" s="38"/>
      <c r="AD73" s="82"/>
      <c r="AF73" s="108">
        <f t="shared" si="60"/>
        <v>0</v>
      </c>
      <c r="AG73" s="42"/>
      <c r="AH73" s="120">
        <v>10</v>
      </c>
      <c r="AI73" s="136"/>
      <c r="AJ73" s="128">
        <f t="shared" si="61"/>
        <v>10</v>
      </c>
      <c r="AL73" s="108">
        <f t="shared" si="62"/>
        <v>10</v>
      </c>
    </row>
    <row r="74" spans="1:38" s="40" customFormat="1" ht="13.5" thickBot="1" x14ac:dyDescent="0.25">
      <c r="A74" s="19" t="s">
        <v>88</v>
      </c>
      <c r="B74" s="38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101">
        <f t="shared" ref="N74" si="98">SUM(C74:M74)</f>
        <v>0</v>
      </c>
      <c r="O74" s="38"/>
      <c r="P74" s="81"/>
      <c r="Q74" s="81"/>
      <c r="R74" s="81"/>
      <c r="S74" s="81"/>
      <c r="T74" s="81"/>
      <c r="U74" s="101">
        <f t="shared" ref="U74" si="99">SUM(P74:T74)</f>
        <v>0</v>
      </c>
      <c r="V74" s="38"/>
      <c r="W74" s="44"/>
      <c r="X74" s="44"/>
      <c r="Y74" s="44"/>
      <c r="Z74" s="44"/>
      <c r="AA74" s="82"/>
      <c r="AB74" s="101">
        <f t="shared" ref="AB74" si="100">SUM(W74:AA74)</f>
        <v>0</v>
      </c>
      <c r="AC74" s="38"/>
      <c r="AD74" s="82"/>
      <c r="AE74" s="38"/>
      <c r="AF74" s="108">
        <f t="shared" ref="AF74" si="101">SUM(AB74,U74,N74,AD74)</f>
        <v>0</v>
      </c>
      <c r="AG74" s="42"/>
      <c r="AH74" s="120"/>
      <c r="AI74" s="136">
        <v>1</v>
      </c>
      <c r="AJ74" s="128">
        <f t="shared" ref="AJ74" si="102">SUM(AH74:AI74)</f>
        <v>1</v>
      </c>
      <c r="AL74" s="108">
        <f t="shared" ref="AL74" si="103">SUM(AF74,AJ74)</f>
        <v>1</v>
      </c>
    </row>
    <row r="75" spans="1:38" ht="13.5" thickBot="1" x14ac:dyDescent="0.25">
      <c r="A75" s="33" t="s">
        <v>63</v>
      </c>
      <c r="B75" s="38"/>
      <c r="C75" s="50"/>
      <c r="D75" s="59"/>
      <c r="E75" s="50"/>
      <c r="F75" s="50"/>
      <c r="G75" s="59"/>
      <c r="H75" s="55"/>
      <c r="I75" s="56"/>
      <c r="J75" s="56"/>
      <c r="K75" s="57"/>
      <c r="L75" s="56"/>
      <c r="M75" s="56"/>
      <c r="N75" s="97">
        <f t="shared" ref="N75" si="104">SUM(C75:M75)</f>
        <v>0</v>
      </c>
      <c r="O75" s="38"/>
      <c r="P75" s="56"/>
      <c r="Q75" s="58"/>
      <c r="R75" s="58"/>
      <c r="S75" s="58"/>
      <c r="T75" s="58"/>
      <c r="U75" s="97">
        <f t="shared" ref="U75" si="105">SUM(P75:T75)</f>
        <v>0</v>
      </c>
      <c r="V75" s="38"/>
      <c r="W75" s="58"/>
      <c r="X75" s="58"/>
      <c r="Y75" s="58"/>
      <c r="Z75" s="58"/>
      <c r="AA75" s="58"/>
      <c r="AB75" s="97">
        <f t="shared" ref="AB75" si="106">SUM(W75:AA75)</f>
        <v>0</v>
      </c>
      <c r="AC75" s="38"/>
      <c r="AD75" s="58"/>
      <c r="AF75" s="105">
        <f t="shared" si="60"/>
        <v>0</v>
      </c>
      <c r="AG75" s="42"/>
      <c r="AH75" s="120"/>
      <c r="AI75" s="136">
        <v>3.9320541099999997</v>
      </c>
      <c r="AJ75" s="128">
        <f t="shared" si="61"/>
        <v>3.9320541099999997</v>
      </c>
      <c r="AL75" s="105">
        <f t="shared" si="62"/>
        <v>3.9320541099999997</v>
      </c>
    </row>
    <row r="76" spans="1:38" ht="13.5" thickBot="1" x14ac:dyDescent="0.25">
      <c r="A76" s="30" t="s">
        <v>45</v>
      </c>
      <c r="B76" s="38"/>
      <c r="C76" s="80"/>
      <c r="D76" s="80"/>
      <c r="E76" s="80"/>
      <c r="F76" s="80"/>
      <c r="G76" s="80"/>
      <c r="H76" s="80"/>
      <c r="I76" s="80"/>
      <c r="J76" s="83"/>
      <c r="K76" s="81"/>
      <c r="L76" s="81"/>
      <c r="M76" s="81"/>
      <c r="N76" s="102">
        <f t="shared" ref="N76" si="107">SUM(C76:M76)</f>
        <v>0</v>
      </c>
      <c r="O76" s="38"/>
      <c r="P76" s="84"/>
      <c r="Q76" s="84"/>
      <c r="R76" s="84"/>
      <c r="S76" s="84"/>
      <c r="T76" s="85"/>
      <c r="U76" s="102">
        <f t="shared" ref="U76" si="108">SUM(P76:T76)</f>
        <v>0</v>
      </c>
      <c r="V76" s="38"/>
      <c r="W76" s="85"/>
      <c r="X76" s="85"/>
      <c r="Y76" s="85"/>
      <c r="Z76" s="85"/>
      <c r="AA76" s="85">
        <v>5</v>
      </c>
      <c r="AB76" s="102">
        <f t="shared" ref="AB76" si="109">SUM(W76:AA76)</f>
        <v>5</v>
      </c>
      <c r="AC76" s="38"/>
      <c r="AD76" s="85"/>
      <c r="AF76" s="108">
        <f t="shared" si="60"/>
        <v>5</v>
      </c>
      <c r="AG76" s="42"/>
      <c r="AH76" s="120">
        <v>5</v>
      </c>
      <c r="AI76" s="136"/>
      <c r="AJ76" s="128">
        <f t="shared" si="61"/>
        <v>5</v>
      </c>
      <c r="AL76" s="108">
        <f t="shared" si="62"/>
        <v>10</v>
      </c>
    </row>
    <row r="77" spans="1:38" s="40" customFormat="1" ht="15" thickBot="1" x14ac:dyDescent="0.25">
      <c r="A77" s="41" t="s">
        <v>92</v>
      </c>
      <c r="B77" s="38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101">
        <f t="shared" ref="N77" si="110">SUM(C77:M77)</f>
        <v>0</v>
      </c>
      <c r="O77" s="38"/>
      <c r="P77" s="81"/>
      <c r="Q77" s="81"/>
      <c r="R77" s="81"/>
      <c r="S77" s="81"/>
      <c r="T77" s="81"/>
      <c r="U77" s="101">
        <f t="shared" ref="U77" si="111">SUM(P77:T77)</f>
        <v>0</v>
      </c>
      <c r="V77" s="38"/>
      <c r="W77" s="44"/>
      <c r="X77" s="44"/>
      <c r="Y77" s="44"/>
      <c r="Z77" s="44"/>
      <c r="AA77" s="82"/>
      <c r="AB77" s="101">
        <f t="shared" ref="AB77" si="112">SUM(W77:AA77)</f>
        <v>0</v>
      </c>
      <c r="AC77" s="38"/>
      <c r="AD77" s="82"/>
      <c r="AE77" s="38"/>
      <c r="AF77" s="108">
        <f t="shared" ref="AF77" si="113">SUM(AB77,U77,N77,AD77)</f>
        <v>0</v>
      </c>
      <c r="AG77" s="42"/>
      <c r="AH77" s="120"/>
      <c r="AI77" s="136">
        <v>0.90530509000000003</v>
      </c>
      <c r="AJ77" s="128">
        <f t="shared" ref="AJ77" si="114">SUM(AH77:AI77)</f>
        <v>0.90530509000000003</v>
      </c>
      <c r="AL77" s="108">
        <f t="shared" ref="AL77" si="115">SUM(AF77,AJ77)</f>
        <v>0.90530509000000003</v>
      </c>
    </row>
    <row r="78" spans="1:38" ht="13.5" thickBot="1" x14ac:dyDescent="0.25">
      <c r="A78" s="30" t="s">
        <v>54</v>
      </c>
      <c r="C78" s="80"/>
      <c r="D78" s="80"/>
      <c r="E78" s="80"/>
      <c r="F78" s="80"/>
      <c r="G78" s="80"/>
      <c r="H78" s="80"/>
      <c r="I78" s="80"/>
      <c r="J78" s="83"/>
      <c r="K78" s="81"/>
      <c r="L78" s="81"/>
      <c r="M78" s="81"/>
      <c r="N78" s="102">
        <f t="shared" si="57"/>
        <v>0</v>
      </c>
      <c r="P78" s="84"/>
      <c r="Q78" s="84"/>
      <c r="R78" s="84"/>
      <c r="S78" s="84"/>
      <c r="T78" s="85"/>
      <c r="U78" s="102">
        <f t="shared" si="58"/>
        <v>0</v>
      </c>
      <c r="W78" s="85"/>
      <c r="X78" s="85"/>
      <c r="Y78" s="85"/>
      <c r="Z78" s="85"/>
      <c r="AA78" s="85"/>
      <c r="AB78" s="102">
        <f t="shared" si="59"/>
        <v>0</v>
      </c>
      <c r="AD78" s="85"/>
      <c r="AF78" s="108">
        <f t="shared" si="60"/>
        <v>0</v>
      </c>
      <c r="AG78" s="42"/>
      <c r="AH78" s="120">
        <v>3.2370000000000001E-4</v>
      </c>
      <c r="AI78" s="136"/>
      <c r="AJ78" s="128">
        <f t="shared" si="61"/>
        <v>3.2370000000000001E-4</v>
      </c>
      <c r="AL78" s="108">
        <f t="shared" si="62"/>
        <v>3.2370000000000001E-4</v>
      </c>
    </row>
    <row r="79" spans="1:38" ht="15" thickBot="1" x14ac:dyDescent="0.25">
      <c r="A79" s="33" t="s">
        <v>93</v>
      </c>
      <c r="C79" s="80"/>
      <c r="D79" s="80"/>
      <c r="E79" s="80"/>
      <c r="F79" s="80"/>
      <c r="G79" s="80"/>
      <c r="H79" s="80"/>
      <c r="I79" s="80"/>
      <c r="J79" s="83"/>
      <c r="K79" s="81"/>
      <c r="L79" s="81"/>
      <c r="M79" s="81"/>
      <c r="N79" s="102">
        <f t="shared" si="57"/>
        <v>0</v>
      </c>
      <c r="P79" s="84"/>
      <c r="Q79" s="87"/>
      <c r="R79" s="81"/>
      <c r="S79" s="81"/>
      <c r="T79" s="82"/>
      <c r="U79" s="102">
        <f t="shared" si="58"/>
        <v>0</v>
      </c>
      <c r="W79" s="82">
        <v>1.0444</v>
      </c>
      <c r="X79" s="82">
        <v>1.10490844</v>
      </c>
      <c r="Y79" s="82">
        <v>1.0774045000000001</v>
      </c>
      <c r="Z79" s="82">
        <v>0.55359999999999998</v>
      </c>
      <c r="AA79" s="82">
        <f>1.0259925+0.6058</f>
        <v>1.6317925</v>
      </c>
      <c r="AB79" s="102">
        <f t="shared" si="59"/>
        <v>5.4121054399999995</v>
      </c>
      <c r="AD79" s="82"/>
      <c r="AF79" s="108">
        <f t="shared" si="60"/>
        <v>5.4121054399999995</v>
      </c>
      <c r="AG79" s="42"/>
      <c r="AH79" s="120"/>
      <c r="AI79" s="136"/>
      <c r="AJ79" s="128">
        <f t="shared" si="61"/>
        <v>0</v>
      </c>
      <c r="AL79" s="108">
        <f t="shared" si="62"/>
        <v>5.4121054399999995</v>
      </c>
    </row>
    <row r="80" spans="1:38" ht="13.5" thickBot="1" x14ac:dyDescent="0.25">
      <c r="A80" s="30" t="s">
        <v>57</v>
      </c>
      <c r="B80" s="38"/>
      <c r="C80" s="80"/>
      <c r="D80" s="80"/>
      <c r="E80" s="80"/>
      <c r="F80" s="80"/>
      <c r="G80" s="80"/>
      <c r="H80" s="80"/>
      <c r="I80" s="80"/>
      <c r="J80" s="83"/>
      <c r="K80" s="81"/>
      <c r="L80" s="81"/>
      <c r="M80" s="81"/>
      <c r="N80" s="102">
        <f t="shared" ref="N80" si="116">SUM(C80:M80)</f>
        <v>0</v>
      </c>
      <c r="O80" s="38"/>
      <c r="P80" s="84"/>
      <c r="Q80" s="84"/>
      <c r="R80" s="84"/>
      <c r="S80" s="84"/>
      <c r="T80" s="85"/>
      <c r="U80" s="102">
        <f t="shared" ref="U80" si="117">SUM(P80:T80)</f>
        <v>0</v>
      </c>
      <c r="V80" s="38"/>
      <c r="W80" s="85"/>
      <c r="X80" s="85"/>
      <c r="Y80" s="85"/>
      <c r="Z80" s="85"/>
      <c r="AA80" s="85">
        <v>0.75</v>
      </c>
      <c r="AB80" s="102">
        <f t="shared" ref="AB80" si="118">SUM(W80:AA80)</f>
        <v>0.75</v>
      </c>
      <c r="AC80" s="38"/>
      <c r="AD80" s="85"/>
      <c r="AF80" s="108">
        <f t="shared" si="60"/>
        <v>0.75</v>
      </c>
      <c r="AG80" s="42"/>
      <c r="AH80" s="120"/>
      <c r="AI80" s="136"/>
      <c r="AJ80" s="128">
        <f t="shared" si="61"/>
        <v>0</v>
      </c>
      <c r="AL80" s="108">
        <f t="shared" si="62"/>
        <v>0.75</v>
      </c>
    </row>
    <row r="81" spans="1:38" s="40" customFormat="1" ht="13.5" thickBot="1" x14ac:dyDescent="0.25">
      <c r="A81" s="19" t="s">
        <v>81</v>
      </c>
      <c r="B81" s="38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101">
        <f t="shared" ref="N81:N82" si="119">SUM(C81:M81)</f>
        <v>0</v>
      </c>
      <c r="O81" s="38"/>
      <c r="P81" s="81"/>
      <c r="Q81" s="81"/>
      <c r="R81" s="81"/>
      <c r="S81" s="81"/>
      <c r="T81" s="81"/>
      <c r="U81" s="101">
        <f t="shared" ref="U81:U82" si="120">SUM(P81:T81)</f>
        <v>0</v>
      </c>
      <c r="V81" s="38"/>
      <c r="W81" s="44"/>
      <c r="X81" s="44"/>
      <c r="Y81" s="44"/>
      <c r="Z81" s="44"/>
      <c r="AA81" s="82"/>
      <c r="AB81" s="101">
        <f t="shared" ref="AB81:AB82" si="121">SUM(W81:AA81)</f>
        <v>0</v>
      </c>
      <c r="AC81" s="38"/>
      <c r="AD81" s="82"/>
      <c r="AE81" s="38"/>
      <c r="AF81" s="108">
        <f t="shared" ref="AF81:AF82" si="122">SUM(AB81,U81,N81,AD81)</f>
        <v>0</v>
      </c>
      <c r="AG81" s="42"/>
      <c r="AH81" s="120"/>
      <c r="AI81" s="136">
        <f>0.05775626+0.11790367+0.18070112+1.08808391+0.18313778</f>
        <v>1.6275827399999998</v>
      </c>
      <c r="AJ81" s="128">
        <f t="shared" ref="AJ81:AJ82" si="123">SUM(AH81:AI81)</f>
        <v>1.6275827399999998</v>
      </c>
      <c r="AL81" s="108">
        <f t="shared" ref="AL81:AL82" si="124">SUM(AF81,AJ81)</f>
        <v>1.6275827399999998</v>
      </c>
    </row>
    <row r="82" spans="1:38" s="40" customFormat="1" ht="13.5" thickBot="1" x14ac:dyDescent="0.25">
      <c r="A82" s="19" t="s">
        <v>82</v>
      </c>
      <c r="B82" s="38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101">
        <f t="shared" si="119"/>
        <v>0</v>
      </c>
      <c r="O82" s="38"/>
      <c r="P82" s="81"/>
      <c r="Q82" s="81"/>
      <c r="R82" s="81"/>
      <c r="S82" s="81"/>
      <c r="T82" s="81"/>
      <c r="U82" s="101">
        <f t="shared" si="120"/>
        <v>0</v>
      </c>
      <c r="V82" s="38"/>
      <c r="W82" s="44"/>
      <c r="X82" s="44"/>
      <c r="Y82" s="44"/>
      <c r="Z82" s="44"/>
      <c r="AA82" s="82"/>
      <c r="AB82" s="101">
        <f t="shared" si="121"/>
        <v>0</v>
      </c>
      <c r="AC82" s="38"/>
      <c r="AD82" s="82"/>
      <c r="AE82" s="38"/>
      <c r="AF82" s="108">
        <f t="shared" si="122"/>
        <v>0</v>
      </c>
      <c r="AG82" s="42"/>
      <c r="AH82" s="120"/>
      <c r="AI82" s="136">
        <v>4.5</v>
      </c>
      <c r="AJ82" s="128">
        <f t="shared" si="123"/>
        <v>4.5</v>
      </c>
      <c r="AL82" s="108">
        <f t="shared" si="124"/>
        <v>4.5</v>
      </c>
    </row>
    <row r="83" spans="1:38" ht="15" thickBot="1" x14ac:dyDescent="0.25">
      <c r="A83" s="29" t="s">
        <v>94</v>
      </c>
      <c r="C83" s="112">
        <v>0.02</v>
      </c>
      <c r="D83" s="81"/>
      <c r="E83" s="81">
        <v>1.6303609999999999</v>
      </c>
      <c r="F83" s="81">
        <v>2.5808469999999999</v>
      </c>
      <c r="G83" s="81">
        <v>1.805051</v>
      </c>
      <c r="H83" s="43">
        <v>0.47348000000000001</v>
      </c>
      <c r="I83" s="81">
        <v>1.904352</v>
      </c>
      <c r="J83" s="81">
        <v>1.1000000000000001</v>
      </c>
      <c r="K83" s="81">
        <v>0.8</v>
      </c>
      <c r="L83" s="81">
        <v>1</v>
      </c>
      <c r="M83" s="81">
        <v>1</v>
      </c>
      <c r="N83" s="102">
        <f t="shared" si="57"/>
        <v>12.314090999999999</v>
      </c>
      <c r="P83" s="81">
        <v>4.1880000000000006</v>
      </c>
      <c r="Q83" s="81">
        <v>12.410399999999999</v>
      </c>
      <c r="R83" s="81">
        <v>17.291645600000003</v>
      </c>
      <c r="S83" s="81">
        <v>30.442237090000003</v>
      </c>
      <c r="T83" s="82">
        <v>26.804853870000002</v>
      </c>
      <c r="U83" s="102">
        <f t="shared" si="58"/>
        <v>91.137136560000002</v>
      </c>
      <c r="W83" s="44">
        <v>11.515829899999998</v>
      </c>
      <c r="X83" s="44">
        <v>15.869898710000001</v>
      </c>
      <c r="Y83" s="44">
        <v>5.769596599999999</v>
      </c>
      <c r="Z83" s="82">
        <v>4.67320139</v>
      </c>
      <c r="AA83" s="82">
        <v>1.1763695000000001</v>
      </c>
      <c r="AB83" s="102">
        <f t="shared" si="59"/>
        <v>39.004896100000003</v>
      </c>
      <c r="AD83" s="82">
        <v>0.45565242</v>
      </c>
      <c r="AF83" s="109">
        <f t="shared" si="60"/>
        <v>142.91177608000001</v>
      </c>
      <c r="AG83" s="42"/>
      <c r="AH83" s="120">
        <v>22.043315</v>
      </c>
      <c r="AI83" s="136">
        <v>0.14411462999999999</v>
      </c>
      <c r="AJ83" s="128">
        <f t="shared" si="61"/>
        <v>22.18742963</v>
      </c>
      <c r="AL83" s="109">
        <f t="shared" si="62"/>
        <v>165.09920571000001</v>
      </c>
    </row>
    <row r="84" spans="1:38" ht="26.25" thickBot="1" x14ac:dyDescent="0.25">
      <c r="A84" s="16" t="s">
        <v>66</v>
      </c>
      <c r="C84" s="88">
        <f>SUM(C52:C83)</f>
        <v>325.02</v>
      </c>
      <c r="D84" s="88">
        <f>SUM(D52:D83)</f>
        <v>425</v>
      </c>
      <c r="E84" s="88">
        <f>SUM(E52:E83)</f>
        <v>1.6303609999999999</v>
      </c>
      <c r="F84" s="88">
        <f>SUM(F52:F83)</f>
        <v>6.0808470000000003</v>
      </c>
      <c r="G84" s="88">
        <f>SUM(G52:G83)</f>
        <v>6.8050509999999997</v>
      </c>
      <c r="H84" s="88">
        <f>SUM(H52:H83)</f>
        <v>154.81147999999999</v>
      </c>
      <c r="I84" s="88">
        <f>SUM(I52:I83)</f>
        <v>1.904352</v>
      </c>
      <c r="J84" s="88">
        <f>SUM(J52:J83)</f>
        <v>76.099999999999994</v>
      </c>
      <c r="K84" s="88">
        <f>SUM(K52:K83)</f>
        <v>81.599999999999994</v>
      </c>
      <c r="L84" s="88">
        <f>SUM(L52:L83)</f>
        <v>81.900000000000006</v>
      </c>
      <c r="M84" s="88">
        <f>SUM(M52:M83)</f>
        <v>80</v>
      </c>
      <c r="N84" s="116">
        <f>SUM(N52:N83)</f>
        <v>1240.852091</v>
      </c>
      <c r="P84" s="88">
        <f>SUM(P52:P83)</f>
        <v>285.46560800000003</v>
      </c>
      <c r="Q84" s="88">
        <f>SUM(Q52:Q83)</f>
        <v>292.87747949999999</v>
      </c>
      <c r="R84" s="88">
        <f>SUM(R52:R83)</f>
        <v>313.16529444999998</v>
      </c>
      <c r="S84" s="88">
        <f>SUM(S52:S83)</f>
        <v>260.29896681999998</v>
      </c>
      <c r="T84" s="88">
        <f>SUM(T52:T83)</f>
        <v>273.12786321999999</v>
      </c>
      <c r="U84" s="116">
        <f>SUM(U52:U83)</f>
        <v>1424.93521199</v>
      </c>
      <c r="W84" s="88">
        <f>SUM(W52:W83)</f>
        <v>295.24200624999992</v>
      </c>
      <c r="X84" s="88">
        <f>SUM(X52:X83)</f>
        <v>344.95699544000001</v>
      </c>
      <c r="Y84" s="88">
        <f>SUM(Y52:Y83)</f>
        <v>350.40386627999993</v>
      </c>
      <c r="Z84" s="88">
        <f>SUM(Z52:Z83)</f>
        <v>330.62749709000002</v>
      </c>
      <c r="AA84" s="88">
        <f>SUM(AA52:AA83)</f>
        <v>312.53591469000003</v>
      </c>
      <c r="AB84" s="116">
        <f>SUM(AB52:AB83)</f>
        <v>1633.76627975</v>
      </c>
      <c r="AD84" s="88">
        <f>SUM(AD52:AD83)</f>
        <v>2.2574585899999997</v>
      </c>
      <c r="AF84" s="115">
        <f>SUM(AF52:AF83)</f>
        <v>4301.811041330001</v>
      </c>
      <c r="AG84" s="13"/>
      <c r="AH84" s="122">
        <f>SUM(AH52:AH83)</f>
        <v>67.043638700000002</v>
      </c>
      <c r="AI84" s="124">
        <f>SUM(AI52:AI83)</f>
        <v>195.06284810999998</v>
      </c>
      <c r="AJ84" s="124">
        <f>SUM(AJ52:AJ83)</f>
        <v>262.10648680999998</v>
      </c>
      <c r="AL84" s="115">
        <f>SUM(AL52:AL83)</f>
        <v>4563.917528140003</v>
      </c>
    </row>
    <row r="85" spans="1:38" s="40" customFormat="1" ht="13.5" thickBot="1" x14ac:dyDescent="0.25">
      <c r="A85" s="17"/>
      <c r="B85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21"/>
      <c r="O85"/>
      <c r="P85" s="89"/>
      <c r="Q85" s="89"/>
      <c r="R85" s="89"/>
      <c r="S85" s="89"/>
      <c r="T85" s="89"/>
      <c r="U85" s="21"/>
      <c r="V85"/>
      <c r="W85" s="89"/>
      <c r="X85" s="89"/>
      <c r="Y85" s="89"/>
      <c r="Z85" s="89"/>
      <c r="AA85" s="89"/>
      <c r="AB85" s="21"/>
      <c r="AC85"/>
      <c r="AD85" s="89"/>
      <c r="AE85" s="38"/>
      <c r="AF85" s="117"/>
      <c r="AG85" s="13"/>
      <c r="AH85" s="113"/>
      <c r="AI85" s="113"/>
      <c r="AJ85" s="113"/>
      <c r="AL85" s="118"/>
    </row>
    <row r="86" spans="1:38" ht="13.5" thickBot="1" x14ac:dyDescent="0.25">
      <c r="A86" s="22" t="s">
        <v>34</v>
      </c>
      <c r="C86" s="90">
        <f>C50+C84</f>
        <v>329.48339999999996</v>
      </c>
      <c r="D86" s="90">
        <f>D50+D84</f>
        <v>518.08656439000004</v>
      </c>
      <c r="E86" s="90">
        <f>E50+E84</f>
        <v>107.88534496</v>
      </c>
      <c r="F86" s="90">
        <f>F50+F84</f>
        <v>116.99487873000001</v>
      </c>
      <c r="G86" s="90">
        <f>G50+G84</f>
        <v>167.20320235999998</v>
      </c>
      <c r="H86" s="90">
        <f>H50+H84</f>
        <v>429.73539605999997</v>
      </c>
      <c r="I86" s="90">
        <f>I50+I84</f>
        <v>218.10446149000003</v>
      </c>
      <c r="J86" s="90">
        <f>J50+J84</f>
        <v>358.39137800000003</v>
      </c>
      <c r="K86" s="90">
        <f>K50+K84</f>
        <v>350.92929426000001</v>
      </c>
      <c r="L86" s="90">
        <f>L50+L84</f>
        <v>337.88825982000003</v>
      </c>
      <c r="M86" s="90">
        <f>M50+M84</f>
        <v>332.64002400000004</v>
      </c>
      <c r="N86" s="114">
        <f>N50+N84</f>
        <v>3267.3422040699998</v>
      </c>
      <c r="P86" s="90">
        <f>P50+P84</f>
        <v>798.35660800000005</v>
      </c>
      <c r="Q86" s="90">
        <f>Q50+Q84</f>
        <v>908.0821338400001</v>
      </c>
      <c r="R86" s="90">
        <f>R50+R84</f>
        <v>1307.5018276000001</v>
      </c>
      <c r="S86" s="90">
        <f>S50+S84</f>
        <v>1181.1065951600001</v>
      </c>
      <c r="T86" s="90">
        <f>T50+T84</f>
        <v>1275.10837741</v>
      </c>
      <c r="U86" s="114">
        <f>U50+U84</f>
        <v>5470.1555420099994</v>
      </c>
      <c r="W86" s="90">
        <f>W50+W84</f>
        <v>1468.4981930200001</v>
      </c>
      <c r="X86" s="90">
        <f>X50+X84</f>
        <v>1470.5011569100002</v>
      </c>
      <c r="Y86" s="90">
        <f>Y50+Y84</f>
        <v>1488.3740361124999</v>
      </c>
      <c r="Z86" s="90">
        <f>Z50+Z84</f>
        <v>1610.6591853100003</v>
      </c>
      <c r="AA86" s="90">
        <f>AA50+AA84</f>
        <v>1463.2435690758161</v>
      </c>
      <c r="AB86" s="114">
        <f>AB50+AB84</f>
        <v>7501.2761404283156</v>
      </c>
      <c r="AD86" s="90">
        <f>AD50+AD84</f>
        <v>228.99763245000003</v>
      </c>
      <c r="AF86" s="114">
        <f>AF50+AF84</f>
        <v>16467.771518958318</v>
      </c>
      <c r="AG86" s="13"/>
      <c r="AH86" s="122">
        <f>AH50+AH84</f>
        <v>351.07957633000001</v>
      </c>
      <c r="AI86" s="124">
        <f>AI50+AI84</f>
        <v>2432.1733430999998</v>
      </c>
      <c r="AJ86" s="124">
        <f>AJ50+AJ84</f>
        <v>2783.2529194300005</v>
      </c>
      <c r="AL86" s="114">
        <f>AL50+AL84</f>
        <v>19251.024438388322</v>
      </c>
    </row>
    <row r="87" spans="1:38" s="24" customFormat="1" ht="13.5" thickBot="1" x14ac:dyDescent="0.25">
      <c r="A87" s="23"/>
      <c r="B87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21"/>
      <c r="O87"/>
      <c r="P87" s="89"/>
      <c r="Q87" s="89"/>
      <c r="R87" s="89"/>
      <c r="S87" s="89"/>
      <c r="T87" s="89"/>
      <c r="U87" s="21"/>
      <c r="V87"/>
      <c r="W87" s="89"/>
      <c r="X87" s="89"/>
      <c r="Y87" s="89"/>
      <c r="Z87" s="89"/>
      <c r="AA87" s="89"/>
      <c r="AB87" s="21"/>
      <c r="AC87"/>
      <c r="AD87" s="89"/>
      <c r="AE87" s="38"/>
      <c r="AF87" s="21"/>
      <c r="AG87" s="13"/>
      <c r="AH87" s="38"/>
      <c r="AI87" s="141"/>
      <c r="AJ87" s="38"/>
    </row>
    <row r="88" spans="1:38" ht="15" thickBot="1" x14ac:dyDescent="0.25">
      <c r="A88" s="25" t="s">
        <v>95</v>
      </c>
      <c r="C88" s="76"/>
      <c r="D88" s="76"/>
      <c r="E88" s="76"/>
      <c r="F88" s="76"/>
      <c r="G88" s="76"/>
      <c r="H88" s="76"/>
      <c r="I88" s="76">
        <v>524.74928499999999</v>
      </c>
      <c r="J88" s="76">
        <v>428.268866</v>
      </c>
      <c r="K88" s="76">
        <v>272.63813299999998</v>
      </c>
      <c r="L88" s="76">
        <v>330.02699999999999</v>
      </c>
      <c r="M88" s="76">
        <v>320</v>
      </c>
      <c r="N88" s="115">
        <f t="shared" ref="N88:N89" si="125">SUM(C88:M88)</f>
        <v>1875.683284</v>
      </c>
      <c r="P88" s="76">
        <v>300</v>
      </c>
      <c r="Q88" s="76">
        <v>100</v>
      </c>
      <c r="R88" s="76">
        <v>200</v>
      </c>
      <c r="S88" s="91">
        <v>0</v>
      </c>
      <c r="T88" s="91">
        <v>0</v>
      </c>
      <c r="U88" s="115">
        <f t="shared" ref="U88:U89" si="126">SUM(P88:T88)</f>
        <v>600</v>
      </c>
      <c r="W88" s="91">
        <v>100</v>
      </c>
      <c r="X88" s="91">
        <v>0</v>
      </c>
      <c r="Y88" s="91">
        <v>50</v>
      </c>
      <c r="Z88" s="91">
        <f>65.69998245+250</f>
        <v>315.69998244999999</v>
      </c>
      <c r="AA88" s="91">
        <f>200+200.36460762+6.07750001</f>
        <v>406.44210763000001</v>
      </c>
      <c r="AB88" s="115">
        <f t="shared" ref="AB88:AB89" si="127">SUM(W88:AA88)</f>
        <v>872.14209008</v>
      </c>
      <c r="AD88" s="91">
        <f>100+334.4</f>
        <v>434.4</v>
      </c>
      <c r="AF88" s="115">
        <f t="shared" ref="AF88:AF89" si="128">SUM(AB88,U88,N88,AD88)</f>
        <v>3782.2253740800002</v>
      </c>
      <c r="AG88" s="10"/>
      <c r="AH88" s="122"/>
      <c r="AI88" s="124">
        <f>400+380</f>
        <v>780</v>
      </c>
      <c r="AJ88" s="124">
        <f>SUM(AH88:AI88)</f>
        <v>780</v>
      </c>
      <c r="AL88" s="115">
        <f>SUM(AF88,AJ88)</f>
        <v>4562.2253740800006</v>
      </c>
    </row>
    <row r="89" spans="1:38" ht="15" thickBot="1" x14ac:dyDescent="0.25">
      <c r="A89" s="25" t="s">
        <v>96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>
        <v>42.877049999999997</v>
      </c>
      <c r="N89" s="115">
        <f t="shared" si="125"/>
        <v>42.877049999999997</v>
      </c>
      <c r="P89" s="76">
        <f>128165700/1000000</f>
        <v>128.16569999999999</v>
      </c>
      <c r="Q89" s="76">
        <v>223.5</v>
      </c>
      <c r="R89" s="76">
        <v>214.42</v>
      </c>
      <c r="S89" s="76">
        <f>25+65+6+36.72+105</f>
        <v>237.72</v>
      </c>
      <c r="T89" s="76">
        <f>10+100+12.96</f>
        <v>122.96000000000001</v>
      </c>
      <c r="U89" s="115">
        <f t="shared" si="126"/>
        <v>926.76570000000004</v>
      </c>
      <c r="W89" s="76">
        <f>17+73+8.5+8.64</f>
        <v>107.14</v>
      </c>
      <c r="X89" s="76">
        <f>18.21725+16.5</f>
        <v>34.71725</v>
      </c>
      <c r="Y89" s="76">
        <f>25+20+11.5425</f>
        <v>56.542500000000004</v>
      </c>
      <c r="Z89" s="76">
        <f>55+7.695+6.7625</f>
        <v>69.457499999999996</v>
      </c>
      <c r="AA89" s="76">
        <f>27+48</f>
        <v>75</v>
      </c>
      <c r="AB89" s="115">
        <f t="shared" si="127"/>
        <v>342.85724999999996</v>
      </c>
      <c r="AD89" s="76">
        <v>0</v>
      </c>
      <c r="AF89" s="115">
        <f t="shared" si="128"/>
        <v>1312.5</v>
      </c>
      <c r="AG89" s="10"/>
      <c r="AH89" s="45"/>
      <c r="AI89" s="141"/>
      <c r="AJ89" s="45"/>
      <c r="AL89" s="115">
        <f>SUM(AF89,AJ89)</f>
        <v>1312.5</v>
      </c>
    </row>
    <row r="90" spans="1:38" s="40" customFormat="1" ht="13.5" thickBot="1" x14ac:dyDescent="0.25">
      <c r="A90" s="23"/>
      <c r="B90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18"/>
      <c r="O90"/>
      <c r="P90" s="77"/>
      <c r="Q90" s="77"/>
      <c r="R90" s="77"/>
      <c r="S90" s="77"/>
      <c r="T90" s="77"/>
      <c r="U90" s="18"/>
      <c r="V90"/>
      <c r="W90" s="77"/>
      <c r="X90" s="77"/>
      <c r="Y90" s="77"/>
      <c r="Z90" s="77"/>
      <c r="AA90" s="77"/>
      <c r="AB90" s="18"/>
      <c r="AC90"/>
      <c r="AD90" s="77"/>
      <c r="AE90" s="38"/>
      <c r="AF90" s="18"/>
      <c r="AG90" s="13"/>
      <c r="AH90" s="38"/>
      <c r="AI90" s="141"/>
      <c r="AJ90" s="38"/>
      <c r="AK90" s="38"/>
      <c r="AL90" s="38"/>
    </row>
    <row r="91" spans="1:38" ht="13.5" thickBot="1" x14ac:dyDescent="0.25">
      <c r="A91" s="26" t="s">
        <v>35</v>
      </c>
      <c r="C91" s="92">
        <f t="shared" ref="C91:N91" si="129">SUM(C86:C89)</f>
        <v>329.48339999999996</v>
      </c>
      <c r="D91" s="92">
        <f t="shared" si="129"/>
        <v>518.08656439000004</v>
      </c>
      <c r="E91" s="92">
        <f t="shared" si="129"/>
        <v>107.88534496</v>
      </c>
      <c r="F91" s="92">
        <f t="shared" si="129"/>
        <v>116.99487873000001</v>
      </c>
      <c r="G91" s="92">
        <f t="shared" si="129"/>
        <v>167.20320235999998</v>
      </c>
      <c r="H91" s="92">
        <f t="shared" si="129"/>
        <v>429.73539605999997</v>
      </c>
      <c r="I91" s="92">
        <f t="shared" si="129"/>
        <v>742.85374649000005</v>
      </c>
      <c r="J91" s="92">
        <f t="shared" si="129"/>
        <v>786.66024400000003</v>
      </c>
      <c r="K91" s="92">
        <f t="shared" si="129"/>
        <v>623.56742725999993</v>
      </c>
      <c r="L91" s="92">
        <f t="shared" si="129"/>
        <v>667.91525982000007</v>
      </c>
      <c r="M91" s="92">
        <f t="shared" si="129"/>
        <v>695.51707400000009</v>
      </c>
      <c r="N91" s="114">
        <f t="shared" si="129"/>
        <v>5185.9025380699995</v>
      </c>
      <c r="P91" s="92">
        <f t="shared" ref="P91:U91" si="130">SUM(P86:P89)</f>
        <v>1226.5223080000001</v>
      </c>
      <c r="Q91" s="92">
        <f t="shared" si="130"/>
        <v>1231.5821338400001</v>
      </c>
      <c r="R91" s="92">
        <f t="shared" si="130"/>
        <v>1721.9218276000001</v>
      </c>
      <c r="S91" s="92">
        <f t="shared" si="130"/>
        <v>1418.8265951600001</v>
      </c>
      <c r="T91" s="92">
        <f t="shared" si="130"/>
        <v>1398.06837741</v>
      </c>
      <c r="U91" s="114">
        <f t="shared" si="130"/>
        <v>6996.9212420099993</v>
      </c>
      <c r="W91" s="92">
        <f t="shared" ref="W91:AB91" si="131">SUM(W86:W89)</f>
        <v>1675.6381930200002</v>
      </c>
      <c r="X91" s="92">
        <f t="shared" si="131"/>
        <v>1505.2184069100001</v>
      </c>
      <c r="Y91" s="92">
        <f t="shared" si="131"/>
        <v>1594.9165361124999</v>
      </c>
      <c r="Z91" s="92">
        <f t="shared" si="131"/>
        <v>1995.8166677600002</v>
      </c>
      <c r="AA91" s="92">
        <f t="shared" si="131"/>
        <v>1944.6856767058161</v>
      </c>
      <c r="AB91" s="114">
        <f t="shared" si="131"/>
        <v>8716.275480508315</v>
      </c>
      <c r="AD91" s="92">
        <f>SUM(AD86:AD89)</f>
        <v>663.39763244999995</v>
      </c>
      <c r="AF91" s="114">
        <f>SUM(AF86:AF89)</f>
        <v>21562.496893038318</v>
      </c>
      <c r="AG91" s="13"/>
      <c r="AH91" s="122">
        <f>SUM(AH86:AH89)</f>
        <v>351.07957633000001</v>
      </c>
      <c r="AI91" s="124">
        <f>SUM(AI86:AI89)</f>
        <v>3212.1733430999998</v>
      </c>
      <c r="AJ91" s="124">
        <f>SUM(AH91:AI91)</f>
        <v>3563.2529194299996</v>
      </c>
      <c r="AL91" s="114">
        <f>SUM(AF91,AJ91)</f>
        <v>25125.749812468319</v>
      </c>
    </row>
    <row r="92" spans="1:38" x14ac:dyDescent="0.2">
      <c r="A92" s="133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P92" s="27"/>
      <c r="Q92" s="27"/>
      <c r="R92" s="27"/>
      <c r="S92" s="27"/>
      <c r="T92" s="27"/>
      <c r="U92" s="27"/>
      <c r="W92" s="27"/>
      <c r="X92" s="27"/>
      <c r="Y92" s="27"/>
      <c r="Z92" s="27"/>
      <c r="AA92" s="27"/>
      <c r="AB92" s="27"/>
      <c r="AD92" s="27"/>
      <c r="AF92" s="27"/>
      <c r="AH92" s="132"/>
      <c r="AI92" s="141"/>
    </row>
    <row r="93" spans="1:38" ht="13.5" thickBot="1" x14ac:dyDescent="0.25">
      <c r="A93" s="134" t="s">
        <v>85</v>
      </c>
      <c r="B93" s="3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38"/>
      <c r="P93" s="27"/>
      <c r="Q93" s="27"/>
      <c r="R93" s="27"/>
      <c r="S93" s="27"/>
      <c r="T93" s="27"/>
      <c r="U93" s="27"/>
      <c r="V93" s="38"/>
      <c r="W93" s="27"/>
      <c r="X93" s="27"/>
      <c r="Y93" s="27"/>
      <c r="Z93" s="27"/>
      <c r="AA93" s="27"/>
      <c r="AB93" s="27"/>
      <c r="AC93" s="38"/>
      <c r="AD93" s="27"/>
      <c r="AF93" s="27"/>
      <c r="AH93" s="132"/>
      <c r="AI93" s="141"/>
    </row>
    <row r="94" spans="1:38" s="40" customFormat="1" ht="13.5" thickBot="1" x14ac:dyDescent="0.25">
      <c r="A94" s="137" t="s">
        <v>3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2"/>
      <c r="AH94" s="119"/>
      <c r="AI94" s="139">
        <v>55.759120600000003</v>
      </c>
      <c r="AJ94" s="127">
        <f t="shared" ref="AJ94" si="132">SUM(AH94:AI94)</f>
        <v>55.759120600000003</v>
      </c>
      <c r="AL94" s="38"/>
    </row>
    <row r="95" spans="1:38" s="40" customFormat="1" ht="13.5" thickBot="1" x14ac:dyDescent="0.25">
      <c r="A95" s="138" t="s">
        <v>26</v>
      </c>
      <c r="B95" s="38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42"/>
      <c r="AH95" s="120"/>
      <c r="AI95" s="136">
        <v>500</v>
      </c>
      <c r="AJ95" s="128">
        <f t="shared" ref="AJ95" si="133">SUM(AH95:AI95)</f>
        <v>500</v>
      </c>
      <c r="AL95"/>
    </row>
    <row r="96" spans="1:38" ht="13.5" thickBot="1" x14ac:dyDescent="0.25">
      <c r="A96"/>
      <c r="B96" s="38"/>
      <c r="C96"/>
      <c r="D96"/>
      <c r="E96"/>
      <c r="F96"/>
      <c r="G96"/>
      <c r="H96"/>
      <c r="I96"/>
      <c r="J96"/>
      <c r="K96"/>
      <c r="L96"/>
      <c r="M96"/>
      <c r="N96"/>
      <c r="P96"/>
      <c r="Q96"/>
      <c r="R96"/>
      <c r="S96"/>
      <c r="T96"/>
      <c r="U96"/>
      <c r="W96"/>
      <c r="X96"/>
      <c r="Y96"/>
      <c r="Z96"/>
      <c r="AA96"/>
      <c r="AB96"/>
      <c r="AD96"/>
      <c r="AE96"/>
      <c r="AF96"/>
      <c r="AG96" s="13"/>
      <c r="AH96" s="122">
        <f>SUM(AH94:AH95)</f>
        <v>0</v>
      </c>
      <c r="AI96" s="124">
        <f>SUM(AI94:AI95)</f>
        <v>555.75912059999996</v>
      </c>
      <c r="AJ96" s="124">
        <f>SUM(AJ94:AJ95)</f>
        <v>555.75912059999996</v>
      </c>
      <c r="AL96"/>
    </row>
    <row r="97" spans="1:38" customFormat="1" x14ac:dyDescent="0.2"/>
    <row r="98" spans="1:38" ht="41.25" customHeight="1" x14ac:dyDescent="0.2">
      <c r="A98" s="144" t="s">
        <v>90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</row>
    <row r="99" spans="1:38" ht="27" customHeight="1" x14ac:dyDescent="0.2">
      <c r="A99" s="144" t="s">
        <v>101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</row>
    <row r="100" spans="1:38" ht="22.5" customHeight="1" x14ac:dyDescent="0.2">
      <c r="A100" s="28" t="s">
        <v>97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P100" s="27"/>
      <c r="Q100" s="27"/>
      <c r="R100" s="27"/>
      <c r="S100" s="27"/>
      <c r="T100" s="27"/>
      <c r="U100" s="27"/>
      <c r="W100" s="27"/>
      <c r="X100" s="27"/>
      <c r="Y100" s="27"/>
      <c r="Z100" s="27"/>
      <c r="AA100" s="27"/>
      <c r="AB100" s="27"/>
      <c r="AD100" s="27"/>
      <c r="AF100" s="27"/>
      <c r="AG100" s="27"/>
      <c r="AH100" s="13"/>
      <c r="AJ100" s="13"/>
    </row>
    <row r="101" spans="1:38" ht="63" customHeight="1" x14ac:dyDescent="0.2">
      <c r="A101" s="144" t="s">
        <v>91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</row>
    <row r="102" spans="1:38" ht="18.75" customHeight="1" x14ac:dyDescent="0.2">
      <c r="A102" s="28" t="s">
        <v>98</v>
      </c>
      <c r="L102" s="4"/>
      <c r="M102" s="4"/>
      <c r="N102" s="4"/>
      <c r="P102" s="4"/>
      <c r="Q102" s="4"/>
      <c r="R102" s="4"/>
      <c r="S102" s="4"/>
      <c r="T102" s="4"/>
      <c r="U102" s="4"/>
      <c r="W102" s="4"/>
      <c r="X102" s="4"/>
      <c r="Y102" s="4"/>
      <c r="Z102" s="4"/>
      <c r="AA102" s="4"/>
      <c r="AB102" s="4"/>
      <c r="AD102" s="4"/>
    </row>
    <row r="103" spans="1:38" ht="56.25" customHeight="1" x14ac:dyDescent="0.2">
      <c r="A103" s="145" t="s">
        <v>99</v>
      </c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20.25" customHeight="1" x14ac:dyDescent="0.2">
      <c r="A104" s="28" t="s">
        <v>100</v>
      </c>
    </row>
    <row r="107" spans="1:38" ht="42" customHeight="1" x14ac:dyDescent="0.35">
      <c r="A107" s="35" t="s">
        <v>36</v>
      </c>
    </row>
    <row r="108" spans="1:38" ht="15.75" x14ac:dyDescent="0.25">
      <c r="A108" s="2" t="s">
        <v>67</v>
      </c>
      <c r="P108" s="1"/>
      <c r="Q108" s="1"/>
      <c r="R108" s="1"/>
      <c r="S108" s="1"/>
      <c r="T108" s="1"/>
      <c r="W108" s="1"/>
      <c r="X108" s="1"/>
      <c r="Y108" s="1"/>
      <c r="Z108" s="1"/>
      <c r="AA108" s="1"/>
      <c r="AD108" s="1"/>
    </row>
    <row r="109" spans="1:38" ht="15.75" x14ac:dyDescent="0.25">
      <c r="A109" s="3" t="s">
        <v>1</v>
      </c>
      <c r="C109" s="4"/>
      <c r="D109" s="4"/>
      <c r="E109" s="4"/>
      <c r="F109" s="4"/>
      <c r="G109" s="4"/>
      <c r="H109" s="4"/>
      <c r="I109" s="4"/>
      <c r="J109" s="4"/>
    </row>
    <row r="110" spans="1:38" ht="13.5" thickBot="1" x14ac:dyDescent="0.25"/>
    <row r="111" spans="1:38" ht="30.75" thickBot="1" x14ac:dyDescent="0.3">
      <c r="A111" s="5"/>
      <c r="C111" s="6">
        <v>2000</v>
      </c>
      <c r="D111" s="6">
        <v>2001</v>
      </c>
      <c r="E111" s="6">
        <v>2002</v>
      </c>
      <c r="F111" s="6">
        <v>2003</v>
      </c>
      <c r="G111" s="6">
        <v>2004</v>
      </c>
      <c r="H111" s="7">
        <v>2005</v>
      </c>
      <c r="I111" s="8">
        <v>2006</v>
      </c>
      <c r="J111" s="7">
        <v>2007</v>
      </c>
      <c r="K111" s="8">
        <v>2008</v>
      </c>
      <c r="L111" s="7">
        <v>2009</v>
      </c>
      <c r="M111" s="7">
        <v>2010</v>
      </c>
      <c r="N111" s="48" t="s">
        <v>46</v>
      </c>
      <c r="P111" s="7">
        <v>2011</v>
      </c>
      <c r="Q111" s="7">
        <v>2012</v>
      </c>
      <c r="R111" s="7">
        <v>2013</v>
      </c>
      <c r="S111" s="7">
        <v>2014</v>
      </c>
      <c r="T111" s="7">
        <v>2015</v>
      </c>
      <c r="U111" s="48" t="s">
        <v>47</v>
      </c>
      <c r="W111" s="7">
        <v>2016</v>
      </c>
      <c r="X111" s="7">
        <v>2017</v>
      </c>
      <c r="Y111" s="7">
        <v>2018</v>
      </c>
      <c r="Z111" s="7">
        <v>2019</v>
      </c>
      <c r="AA111" s="7">
        <v>2020</v>
      </c>
      <c r="AB111" s="48" t="s">
        <v>48</v>
      </c>
      <c r="AD111"/>
      <c r="AF111" s="49" t="s">
        <v>49</v>
      </c>
    </row>
    <row r="112" spans="1:38" ht="13.5" thickBot="1" x14ac:dyDescent="0.25">
      <c r="A112" s="11" t="s">
        <v>17</v>
      </c>
      <c r="C112" s="50"/>
      <c r="D112" s="59"/>
      <c r="E112" s="59"/>
      <c r="F112" s="59"/>
      <c r="G112" s="59"/>
      <c r="H112" s="60"/>
      <c r="I112" s="56"/>
      <c r="J112" s="65"/>
      <c r="K112" s="57"/>
      <c r="L112" s="56"/>
      <c r="M112" s="56"/>
      <c r="N112" s="100"/>
      <c r="P112" s="56"/>
      <c r="Q112" s="58"/>
      <c r="R112" s="58"/>
      <c r="S112" s="58">
        <v>30.742000000000001</v>
      </c>
      <c r="T112" s="58">
        <v>24.263000000000002</v>
      </c>
      <c r="U112" s="100">
        <f t="shared" ref="U112:U113" si="134">SUM(P112:T112)</f>
        <v>55.005000000000003</v>
      </c>
      <c r="W112" s="58">
        <v>22.976890000000001</v>
      </c>
      <c r="X112" s="58">
        <v>22.191076850000002</v>
      </c>
      <c r="Y112" s="58">
        <v>24.479173379999999</v>
      </c>
      <c r="Z112" s="58">
        <v>22.397200000000002</v>
      </c>
      <c r="AA112" s="58"/>
      <c r="AB112" s="100">
        <f t="shared" ref="AB112:AB113" si="135">SUM(W112:AA112)</f>
        <v>92.044340229999989</v>
      </c>
      <c r="AD112"/>
      <c r="AF112" s="110">
        <f t="shared" ref="AF112:AF113" si="136">SUM(AB112,U112,N112)</f>
        <v>147.04934022999998</v>
      </c>
    </row>
    <row r="113" spans="1:36" ht="13.5" thickBot="1" x14ac:dyDescent="0.25">
      <c r="A113" s="33" t="s">
        <v>25</v>
      </c>
      <c r="C113" s="50"/>
      <c r="D113" s="59"/>
      <c r="E113" s="59"/>
      <c r="F113" s="59"/>
      <c r="G113" s="59"/>
      <c r="H113" s="60"/>
      <c r="I113" s="56"/>
      <c r="J113" s="65"/>
      <c r="K113" s="57"/>
      <c r="L113" s="56"/>
      <c r="M113" s="56"/>
      <c r="N113" s="102"/>
      <c r="P113" s="56"/>
      <c r="Q113" s="58"/>
      <c r="R113" s="58"/>
      <c r="S113" s="58"/>
      <c r="T113" s="58">
        <v>4.7321999999999997</v>
      </c>
      <c r="U113" s="102">
        <f t="shared" si="134"/>
        <v>4.7321999999999997</v>
      </c>
      <c r="W113" s="58">
        <v>18.600539999999999</v>
      </c>
      <c r="X113" s="58">
        <v>11.45331</v>
      </c>
      <c r="Y113" s="58">
        <v>5.2708399999999997</v>
      </c>
      <c r="Z113" s="58"/>
      <c r="AA113" s="58"/>
      <c r="AB113" s="102">
        <f t="shared" si="135"/>
        <v>35.324689999999997</v>
      </c>
      <c r="AD113"/>
      <c r="AF113" s="110">
        <f t="shared" si="136"/>
        <v>40.056889999999996</v>
      </c>
    </row>
    <row r="114" spans="1:36" ht="13.5" thickBot="1" x14ac:dyDescent="0.25">
      <c r="A114" s="16" t="s">
        <v>27</v>
      </c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115"/>
      <c r="P114" s="76"/>
      <c r="Q114" s="76"/>
      <c r="R114" s="76"/>
      <c r="S114" s="76">
        <f t="shared" ref="S114:AF114" si="137">SUM(S112:S113)</f>
        <v>30.742000000000001</v>
      </c>
      <c r="T114" s="76">
        <f t="shared" si="137"/>
        <v>28.995200000000001</v>
      </c>
      <c r="U114" s="103">
        <f t="shared" si="137"/>
        <v>59.737200000000001</v>
      </c>
      <c r="W114" s="76">
        <f t="shared" si="137"/>
        <v>41.57743</v>
      </c>
      <c r="X114" s="76">
        <f t="shared" si="137"/>
        <v>33.644386850000004</v>
      </c>
      <c r="Y114" s="76">
        <f t="shared" si="137"/>
        <v>29.750013379999999</v>
      </c>
      <c r="Z114" s="76">
        <f t="shared" si="137"/>
        <v>22.397200000000002</v>
      </c>
      <c r="AA114" s="76">
        <f t="shared" si="137"/>
        <v>0</v>
      </c>
      <c r="AB114" s="103">
        <f t="shared" si="137"/>
        <v>127.36903022999999</v>
      </c>
      <c r="AD114"/>
      <c r="AF114" s="115">
        <f t="shared" si="137"/>
        <v>187.10623022999999</v>
      </c>
    </row>
    <row r="115" spans="1:36" ht="13.5" thickBot="1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P115" s="4"/>
      <c r="Q115" s="4"/>
      <c r="R115" s="4"/>
      <c r="S115" s="4"/>
      <c r="T115" s="4"/>
      <c r="W115" s="4"/>
      <c r="X115" s="4"/>
      <c r="Y115" s="4"/>
      <c r="Z115" s="4"/>
      <c r="AA115" s="4"/>
      <c r="AD115"/>
    </row>
    <row r="116" spans="1:36" s="40" customFormat="1" ht="13.5" thickBot="1" x14ac:dyDescent="0.25">
      <c r="A116" s="34" t="s">
        <v>29</v>
      </c>
      <c r="B116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100"/>
      <c r="O116"/>
      <c r="P116" s="94"/>
      <c r="Q116" s="94"/>
      <c r="R116" s="94"/>
      <c r="S116" s="94"/>
      <c r="T116" s="95">
        <v>105</v>
      </c>
      <c r="U116" s="100">
        <f t="shared" ref="U116" si="138">SUM(P116:T116)</f>
        <v>105</v>
      </c>
      <c r="V116"/>
      <c r="W116" s="95">
        <v>51.6</v>
      </c>
      <c r="X116" s="95">
        <v>40</v>
      </c>
      <c r="Y116" s="95">
        <v>44.6</v>
      </c>
      <c r="Z116" s="95"/>
      <c r="AA116" s="95"/>
      <c r="AB116" s="100">
        <f t="shared" ref="AB116" si="139">SUM(W116:AA116)</f>
        <v>136.19999999999999</v>
      </c>
      <c r="AC116"/>
      <c r="AD116"/>
      <c r="AE116" s="38"/>
      <c r="AF116" s="111">
        <f t="shared" ref="AF116" si="140">SUM(AB116,U116,N116)</f>
        <v>241.2</v>
      </c>
      <c r="AG116" s="42"/>
      <c r="AH116" s="38"/>
      <c r="AI116" s="38"/>
      <c r="AJ116" s="38"/>
    </row>
    <row r="117" spans="1:36" ht="13.5" thickBot="1" x14ac:dyDescent="0.25">
      <c r="A117" s="16" t="s">
        <v>33</v>
      </c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115"/>
      <c r="P117" s="88"/>
      <c r="Q117" s="88"/>
      <c r="R117" s="88"/>
      <c r="S117" s="88"/>
      <c r="T117" s="88">
        <f t="shared" ref="T117:AF117" si="141">SUM(T116)</f>
        <v>105</v>
      </c>
      <c r="U117" s="103">
        <f t="shared" si="141"/>
        <v>105</v>
      </c>
      <c r="W117" s="88">
        <f t="shared" si="141"/>
        <v>51.6</v>
      </c>
      <c r="X117" s="88">
        <f t="shared" si="141"/>
        <v>40</v>
      </c>
      <c r="Y117" s="88">
        <f t="shared" si="141"/>
        <v>44.6</v>
      </c>
      <c r="Z117" s="88">
        <f t="shared" si="141"/>
        <v>0</v>
      </c>
      <c r="AA117" s="88">
        <f t="shared" si="141"/>
        <v>0</v>
      </c>
      <c r="AB117" s="103">
        <f t="shared" si="141"/>
        <v>136.19999999999999</v>
      </c>
      <c r="AD117"/>
      <c r="AF117" s="115">
        <f t="shared" si="141"/>
        <v>241.2</v>
      </c>
      <c r="AG117" s="13"/>
    </row>
    <row r="118" spans="1:36" ht="13.5" thickBot="1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P118" s="4"/>
      <c r="Q118" s="4"/>
      <c r="R118" s="4"/>
      <c r="S118" s="4"/>
      <c r="T118" s="4"/>
      <c r="W118" s="4"/>
      <c r="X118" s="4"/>
      <c r="Y118" s="4"/>
      <c r="Z118" s="4"/>
      <c r="AA118" s="4"/>
      <c r="AD118"/>
    </row>
    <row r="119" spans="1:36" ht="13.5" thickBot="1" x14ac:dyDescent="0.25">
      <c r="A119" s="26" t="s">
        <v>35</v>
      </c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114"/>
      <c r="P119" s="92"/>
      <c r="Q119" s="92"/>
      <c r="R119" s="92"/>
      <c r="S119" s="92">
        <f t="shared" ref="S119:AF119" si="142">SUM(S114,S117)</f>
        <v>30.742000000000001</v>
      </c>
      <c r="T119" s="92">
        <f t="shared" si="142"/>
        <v>133.99520000000001</v>
      </c>
      <c r="U119" s="114">
        <f t="shared" si="142"/>
        <v>164.7372</v>
      </c>
      <c r="W119" s="92">
        <f t="shared" si="142"/>
        <v>93.177430000000001</v>
      </c>
      <c r="X119" s="92">
        <f t="shared" si="142"/>
        <v>73.644386850000004</v>
      </c>
      <c r="Y119" s="92">
        <f t="shared" si="142"/>
        <v>74.350013380000007</v>
      </c>
      <c r="Z119" s="92">
        <f t="shared" si="142"/>
        <v>22.397200000000002</v>
      </c>
      <c r="AA119" s="92">
        <f t="shared" si="142"/>
        <v>0</v>
      </c>
      <c r="AB119" s="114">
        <f t="shared" si="142"/>
        <v>263.56903022999995</v>
      </c>
      <c r="AD119"/>
      <c r="AF119" s="114">
        <f t="shared" si="142"/>
        <v>428.30623022999998</v>
      </c>
    </row>
  </sheetData>
  <mergeCells count="6">
    <mergeCell ref="AL5:AL6"/>
    <mergeCell ref="A101:AL101"/>
    <mergeCell ref="A103:AL103"/>
    <mergeCell ref="AH5:AJ5"/>
    <mergeCell ref="A98:AL98"/>
    <mergeCell ref="A99:AL99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AB34 N34 U34 N75:N76 U76 AB76 AB80 U80 N80 AB40 U40 U29 U22 AB22 AB29 U12:U13 AB12:AB13 N72 U72:U73 AB72:AB73 AJ68 N54 N59 U59 U54 AB54 AB59 AJ59 AJ13 N63 U63 AB63 AJ44 AJ38 AJ22:AJ35" formula="1"/>
    <ignoredError sqref="AI50 G50:W5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57a992bc-bd44-4bca-8c15-5d6bcceffd31">GAVI-1705067222-973614</_dlc_DocId>
    <_dlc_DocIdUrl xmlns="57a992bc-bd44-4bca-8c15-5d6bcceffd31">
      <Url>https://gavinet.sharepoint.com/teams/fop/fin/_layouts/15/DocIdRedir.aspx?ID=GAVI-1705067222-973614</Url>
      <Description>GAVI-1705067222-973614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CD6342080A01E84CA9870E8F3E644D78" ma:contentTypeVersion="239" ma:contentTypeDescription="" ma:contentTypeScope="" ma:versionID="08d168cbdf92577c5a917e7c01e0544b">
  <xsd:schema xmlns:xsd="http://www.w3.org/2001/XMLSchema" xmlns:xs="http://www.w3.org/2001/XMLSchema" xmlns:p="http://schemas.microsoft.com/office/2006/metadata/properties" xmlns:ns2="d0706217-df7c-4bf4-936d-b09aa3b837af" xmlns:ns3="57a992bc-bd44-4bca-8c15-5d6bcceffd31" targetNamespace="http://schemas.microsoft.com/office/2006/metadata/properties" ma:root="true" ma:fieldsID="6ffad984cde5fa98058814460da1d393" ns2:_="" ns3:_="">
    <xsd:import namespace="d0706217-df7c-4bf4-936d-b09aa3b837af"/>
    <xsd:import namespace="57a992bc-bd44-4bca-8c15-5d6bcceffd3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b12ebb60-5d4a-407c-9ab8-0b5826b57b5f}" ma:internalName="TaxCatchAll" ma:showField="CatchAllData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b12ebb60-5d4a-407c-9ab8-0b5826b57b5f}" ma:internalName="TaxCatchAllLabel" ma:readOnly="true" ma:showField="CatchAllDataLabel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992bc-bd44-4bca-8c15-5d6bcceffd31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7FB11A6-D140-4432-835C-73F5F457BFA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d0706217-df7c-4bf4-936d-b09aa3b837af"/>
    <ds:schemaRef ds:uri="http://schemas.microsoft.com/office/infopath/2007/PartnerControls"/>
    <ds:schemaRef ds:uri="http://purl.org/dc/elements/1.1/"/>
    <ds:schemaRef ds:uri="57a992bc-bd44-4bca-8c15-5d6bcceffd31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57AC50A7-7A97-4663-9EB0-B58674F74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57a992bc-bd44-4bca-8c15-5d6bcceff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2000-2021 Cash Receipts</vt:lpstr>
      <vt:lpstr>'2000-2021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Eric Godfrey</cp:lastModifiedBy>
  <cp:revision/>
  <dcterms:created xsi:type="dcterms:W3CDTF">2013-01-25T10:21:26Z</dcterms:created>
  <dcterms:modified xsi:type="dcterms:W3CDTF">2021-11-10T14:48:01Z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0x01010091DD660C2743444EACB0CAF77741226300CD6342080A01E84CA9870E8F3E644D78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3b074506-9f1c-4982-a686-27cb30b0d0bd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</Properties>
</file>