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-my.sharepoint.com/personal/egodfrey_gavi_org/Documents/Desktop/"/>
    </mc:Choice>
  </mc:AlternateContent>
  <xr:revisionPtr revIDLastSave="0" documentId="8_{D89D0A60-FC2D-4A56-A321-38CC97366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0-2020 Cash Receipts" sheetId="5" r:id="rId1"/>
  </sheets>
  <definedNames>
    <definedName name="_xlnm.Print_Area" localSheetId="0">'2000-2020 Cash Receipts'!$A$1:$AD$92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1" i="5" l="1"/>
  <c r="AA21" i="5"/>
  <c r="AB62" i="5" l="1"/>
  <c r="AD62" i="5" s="1"/>
  <c r="AH62" i="5" s="1"/>
  <c r="U62" i="5"/>
  <c r="N62" i="5"/>
  <c r="AA25" i="5" l="1"/>
  <c r="AB42" i="5" l="1"/>
  <c r="AD42" i="5" s="1"/>
  <c r="AH42" i="5" s="1"/>
  <c r="U42" i="5"/>
  <c r="N42" i="5"/>
  <c r="AB58" i="5" l="1"/>
  <c r="U58" i="5"/>
  <c r="N58" i="5"/>
  <c r="AD58" i="5" l="1"/>
  <c r="AH58" i="5" s="1"/>
  <c r="AB27" i="5"/>
  <c r="U27" i="5"/>
  <c r="N27" i="5"/>
  <c r="AF25" i="5"/>
  <c r="AD27" i="5" l="1"/>
  <c r="AH27" i="5" s="1"/>
  <c r="AB59" i="5" l="1"/>
  <c r="U59" i="5"/>
  <c r="N59" i="5"/>
  <c r="AD59" i="5" l="1"/>
  <c r="AH59" i="5" s="1"/>
  <c r="AB12" i="5"/>
  <c r="U12" i="5"/>
  <c r="N12" i="5"/>
  <c r="AA68" i="5"/>
  <c r="AA69" i="5"/>
  <c r="AA35" i="5"/>
  <c r="AA32" i="5"/>
  <c r="AA26" i="5"/>
  <c r="AD12" i="5" l="1"/>
  <c r="AH12" i="5" s="1"/>
  <c r="AA61" i="5" l="1"/>
  <c r="AA50" i="5"/>
  <c r="AA43" i="5"/>
  <c r="AA16" i="5"/>
  <c r="AB14" i="5"/>
  <c r="U14" i="5"/>
  <c r="N14" i="5"/>
  <c r="AA7" i="5"/>
  <c r="AA41" i="5"/>
  <c r="AD14" i="5" l="1"/>
  <c r="AH14" i="5" s="1"/>
  <c r="AB89" i="5" l="1"/>
  <c r="U89" i="5"/>
  <c r="U90" i="5" s="1"/>
  <c r="AB86" i="5"/>
  <c r="AB85" i="5"/>
  <c r="U86" i="5"/>
  <c r="U85" i="5"/>
  <c r="U87" i="5" s="1"/>
  <c r="U92" i="5" s="1"/>
  <c r="AB61" i="5"/>
  <c r="AB60" i="5"/>
  <c r="AB57" i="5"/>
  <c r="AB56" i="5"/>
  <c r="AB54" i="5"/>
  <c r="AB53" i="5"/>
  <c r="AB51" i="5"/>
  <c r="AB48" i="5"/>
  <c r="AB47" i="5"/>
  <c r="AB45" i="5"/>
  <c r="AB44" i="5"/>
  <c r="AB41" i="5"/>
  <c r="AB37" i="5"/>
  <c r="AB35" i="5"/>
  <c r="AB33" i="5"/>
  <c r="AB31" i="5"/>
  <c r="AB30" i="5"/>
  <c r="AB29" i="5"/>
  <c r="AB25" i="5"/>
  <c r="AB24" i="5"/>
  <c r="AB23" i="5"/>
  <c r="AB22" i="5"/>
  <c r="AB20" i="5"/>
  <c r="AB19" i="5"/>
  <c r="AB17" i="5"/>
  <c r="AB15" i="5"/>
  <c r="AB11" i="5"/>
  <c r="AB10" i="5"/>
  <c r="AB9" i="5"/>
  <c r="U68" i="5"/>
  <c r="U63" i="5"/>
  <c r="U61" i="5"/>
  <c r="U60" i="5"/>
  <c r="U57" i="5"/>
  <c r="U56" i="5"/>
  <c r="U55" i="5"/>
  <c r="U54" i="5"/>
  <c r="U53" i="5"/>
  <c r="U51" i="5"/>
  <c r="U49" i="5"/>
  <c r="U48" i="5"/>
  <c r="U45" i="5"/>
  <c r="U41" i="5"/>
  <c r="U40" i="5"/>
  <c r="U37" i="5"/>
  <c r="U35" i="5"/>
  <c r="U34" i="5"/>
  <c r="U33" i="5"/>
  <c r="U32" i="5"/>
  <c r="U31" i="5"/>
  <c r="U30" i="5"/>
  <c r="U29" i="5"/>
  <c r="U26" i="5"/>
  <c r="U25" i="5"/>
  <c r="U24" i="5"/>
  <c r="U23" i="5"/>
  <c r="U22" i="5"/>
  <c r="U21" i="5"/>
  <c r="U20" i="5"/>
  <c r="U19" i="5"/>
  <c r="U17" i="5"/>
  <c r="U15" i="5"/>
  <c r="U13" i="5"/>
  <c r="U11" i="5"/>
  <c r="U10" i="5"/>
  <c r="U9" i="5"/>
  <c r="N69" i="5"/>
  <c r="N68" i="5"/>
  <c r="N63" i="5"/>
  <c r="N61" i="5"/>
  <c r="N60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1" i="5"/>
  <c r="N40" i="5"/>
  <c r="N37" i="5"/>
  <c r="N36" i="5"/>
  <c r="N35" i="5"/>
  <c r="N34" i="5"/>
  <c r="N33" i="5"/>
  <c r="N32" i="5"/>
  <c r="N31" i="5"/>
  <c r="N30" i="5"/>
  <c r="N29" i="5"/>
  <c r="N28" i="5"/>
  <c r="N26" i="5"/>
  <c r="N25" i="5"/>
  <c r="N24" i="5"/>
  <c r="N23" i="5"/>
  <c r="N22" i="5"/>
  <c r="N21" i="5"/>
  <c r="N20" i="5"/>
  <c r="N19" i="5"/>
  <c r="N18" i="5"/>
  <c r="N17" i="5"/>
  <c r="N16" i="5"/>
  <c r="N15" i="5"/>
  <c r="N13" i="5"/>
  <c r="N11" i="5"/>
  <c r="N10" i="5"/>
  <c r="N9" i="5"/>
  <c r="N8" i="5"/>
  <c r="N7" i="5"/>
  <c r="AD19" i="5" l="1"/>
  <c r="AD15" i="5"/>
  <c r="AD25" i="5"/>
  <c r="AD45" i="5"/>
  <c r="AD89" i="5"/>
  <c r="N64" i="5"/>
  <c r="AD48" i="5"/>
  <c r="AD17" i="5"/>
  <c r="AD86" i="5"/>
  <c r="AD20" i="5"/>
  <c r="AD53" i="5"/>
  <c r="AD31" i="5"/>
  <c r="AD35" i="5"/>
  <c r="AD54" i="5"/>
  <c r="AD51" i="5"/>
  <c r="N38" i="5"/>
  <c r="AD10" i="5"/>
  <c r="AD24" i="5"/>
  <c r="AD56" i="5"/>
  <c r="AD85" i="5"/>
  <c r="AD23" i="5"/>
  <c r="AD11" i="5"/>
  <c r="AD57" i="5"/>
  <c r="AD33" i="5"/>
  <c r="AD22" i="5"/>
  <c r="AD29" i="5"/>
  <c r="AD60" i="5"/>
  <c r="AD37" i="5"/>
  <c r="AD30" i="5"/>
  <c r="AD61" i="5"/>
  <c r="AD9" i="5"/>
  <c r="AB90" i="5"/>
  <c r="AB87" i="5"/>
  <c r="AD41" i="5"/>
  <c r="N66" i="5" l="1"/>
  <c r="N71" i="5" s="1"/>
  <c r="AB92" i="5"/>
  <c r="AA90" i="5"/>
  <c r="Z90" i="5"/>
  <c r="Y90" i="5"/>
  <c r="X90" i="5"/>
  <c r="W90" i="5"/>
  <c r="T90" i="5"/>
  <c r="AD90" i="5"/>
  <c r="AA87" i="5"/>
  <c r="Z87" i="5"/>
  <c r="Y87" i="5"/>
  <c r="X87" i="5"/>
  <c r="W87" i="5"/>
  <c r="T87" i="5"/>
  <c r="S87" i="5"/>
  <c r="S92" i="5" s="1"/>
  <c r="Z69" i="5"/>
  <c r="Y69" i="5"/>
  <c r="X69" i="5"/>
  <c r="W69" i="5"/>
  <c r="T69" i="5"/>
  <c r="S69" i="5"/>
  <c r="P69" i="5"/>
  <c r="Z68" i="5"/>
  <c r="AB68" i="5" s="1"/>
  <c r="AD68" i="5" s="1"/>
  <c r="AF64" i="5"/>
  <c r="AA64" i="5"/>
  <c r="R64" i="5"/>
  <c r="Q64" i="5"/>
  <c r="P64" i="5"/>
  <c r="M64" i="5"/>
  <c r="L64" i="5"/>
  <c r="K64" i="5"/>
  <c r="J64" i="5"/>
  <c r="I64" i="5"/>
  <c r="H64" i="5"/>
  <c r="G64" i="5"/>
  <c r="F64" i="5"/>
  <c r="E64" i="5"/>
  <c r="D64" i="5"/>
  <c r="C64" i="5"/>
  <c r="Z63" i="5"/>
  <c r="AH61" i="5"/>
  <c r="AH60" i="5"/>
  <c r="AH57" i="5"/>
  <c r="AH56" i="5"/>
  <c r="Y55" i="5"/>
  <c r="W55" i="5"/>
  <c r="AH54" i="5"/>
  <c r="AH53" i="5"/>
  <c r="X52" i="5"/>
  <c r="W52" i="5"/>
  <c r="T52" i="5"/>
  <c r="S52" i="5"/>
  <c r="AH51" i="5"/>
  <c r="Z50" i="5"/>
  <c r="Y50" i="5"/>
  <c r="X50" i="5"/>
  <c r="W50" i="5"/>
  <c r="T50" i="5"/>
  <c r="S50" i="5"/>
  <c r="U50" i="5" s="1"/>
  <c r="Z49" i="5"/>
  <c r="Y49" i="5"/>
  <c r="X49" i="5"/>
  <c r="W49" i="5"/>
  <c r="AH48" i="5"/>
  <c r="S47" i="5"/>
  <c r="U47" i="5" s="1"/>
  <c r="AD47" i="5" s="1"/>
  <c r="AH47" i="5" s="1"/>
  <c r="X46" i="5"/>
  <c r="W46" i="5"/>
  <c r="AB46" i="5" s="1"/>
  <c r="T46" i="5"/>
  <c r="S46" i="5"/>
  <c r="AH45" i="5"/>
  <c r="S44" i="5"/>
  <c r="Z43" i="5"/>
  <c r="Y43" i="5"/>
  <c r="X43" i="5"/>
  <c r="W43" i="5"/>
  <c r="S43" i="5"/>
  <c r="U43" i="5" s="1"/>
  <c r="AH41" i="5"/>
  <c r="Z40" i="5"/>
  <c r="AB40" i="5" s="1"/>
  <c r="AF38" i="5"/>
  <c r="W38" i="5"/>
  <c r="R38" i="5"/>
  <c r="Q38" i="5"/>
  <c r="P38" i="5"/>
  <c r="M38" i="5"/>
  <c r="L38" i="5"/>
  <c r="K38" i="5"/>
  <c r="J38" i="5"/>
  <c r="I38" i="5"/>
  <c r="H38" i="5"/>
  <c r="G38" i="5"/>
  <c r="F38" i="5"/>
  <c r="E38" i="5"/>
  <c r="D38" i="5"/>
  <c r="C38" i="5"/>
  <c r="AH37" i="5"/>
  <c r="Y36" i="5"/>
  <c r="AB36" i="5" s="1"/>
  <c r="T36" i="5"/>
  <c r="AH35" i="5"/>
  <c r="Z34" i="5"/>
  <c r="AB34" i="5" s="1"/>
  <c r="AD34" i="5" s="1"/>
  <c r="AH34" i="5" s="1"/>
  <c r="AH33" i="5"/>
  <c r="Z32" i="5"/>
  <c r="Y32" i="5"/>
  <c r="X32" i="5"/>
  <c r="AH31" i="5"/>
  <c r="AH30" i="5"/>
  <c r="AH29" i="5"/>
  <c r="Z28" i="5"/>
  <c r="Y28" i="5"/>
  <c r="X28" i="5"/>
  <c r="S28" i="5"/>
  <c r="Z26" i="5"/>
  <c r="Y26" i="5"/>
  <c r="X26" i="5"/>
  <c r="AH25" i="5"/>
  <c r="AH24" i="5"/>
  <c r="AH23" i="5"/>
  <c r="AH22" i="5"/>
  <c r="AA38" i="5"/>
  <c r="Z21" i="5"/>
  <c r="Y21" i="5"/>
  <c r="X21" i="5"/>
  <c r="AH20" i="5"/>
  <c r="AH19" i="5"/>
  <c r="Z18" i="5"/>
  <c r="AB18" i="5" s="1"/>
  <c r="S18" i="5"/>
  <c r="AH17" i="5"/>
  <c r="Z16" i="5"/>
  <c r="Y16" i="5"/>
  <c r="X16" i="5"/>
  <c r="T16" i="5"/>
  <c r="S16" i="5"/>
  <c r="U16" i="5" s="1"/>
  <c r="AH15" i="5"/>
  <c r="Z13" i="5"/>
  <c r="Y13" i="5"/>
  <c r="AH11" i="5"/>
  <c r="AH10" i="5"/>
  <c r="AH9" i="5"/>
  <c r="X8" i="5"/>
  <c r="AB8" i="5" s="1"/>
  <c r="S8" i="5"/>
  <c r="U8" i="5" s="1"/>
  <c r="Z7" i="5"/>
  <c r="X7" i="5"/>
  <c r="S7" i="5"/>
  <c r="U52" i="5" l="1"/>
  <c r="Y64" i="5"/>
  <c r="AB50" i="5"/>
  <c r="AB32" i="5"/>
  <c r="AD32" i="5" s="1"/>
  <c r="AB55" i="5"/>
  <c r="AD55" i="5" s="1"/>
  <c r="AH55" i="5" s="1"/>
  <c r="F66" i="5"/>
  <c r="F71" i="5" s="1"/>
  <c r="P66" i="5"/>
  <c r="P71" i="5" s="1"/>
  <c r="X92" i="5"/>
  <c r="U69" i="5"/>
  <c r="AB28" i="5"/>
  <c r="AD8" i="5"/>
  <c r="AH8" i="5" s="1"/>
  <c r="X64" i="5"/>
  <c r="AB52" i="5"/>
  <c r="AF66" i="5"/>
  <c r="AB63" i="5"/>
  <c r="AD63" i="5" s="1"/>
  <c r="AH63" i="5" s="1"/>
  <c r="Y38" i="5"/>
  <c r="Y66" i="5" s="1"/>
  <c r="Y71" i="5" s="1"/>
  <c r="AB13" i="5"/>
  <c r="AD13" i="5" s="1"/>
  <c r="AH13" i="5" s="1"/>
  <c r="U18" i="5"/>
  <c r="U28" i="5"/>
  <c r="AD28" i="5" s="1"/>
  <c r="AH28" i="5" s="1"/>
  <c r="AH32" i="5"/>
  <c r="S38" i="5"/>
  <c r="U7" i="5"/>
  <c r="Z38" i="5"/>
  <c r="X38" i="5"/>
  <c r="AB7" i="5"/>
  <c r="U36" i="5"/>
  <c r="AD36" i="5" s="1"/>
  <c r="AH36" i="5" s="1"/>
  <c r="T38" i="5"/>
  <c r="U44" i="5"/>
  <c r="AD44" i="5" s="1"/>
  <c r="AH44" i="5" s="1"/>
  <c r="AD40" i="5"/>
  <c r="AH40" i="5" s="1"/>
  <c r="AB49" i="5"/>
  <c r="AD49" i="5" s="1"/>
  <c r="AH49" i="5" s="1"/>
  <c r="AB69" i="5"/>
  <c r="Y92" i="5"/>
  <c r="AD18" i="5"/>
  <c r="AH18" i="5" s="1"/>
  <c r="AD50" i="5"/>
  <c r="AH50" i="5" s="1"/>
  <c r="AB16" i="5"/>
  <c r="AD16" i="5" s="1"/>
  <c r="AH16" i="5" s="1"/>
  <c r="S64" i="5"/>
  <c r="U46" i="5"/>
  <c r="AD46" i="5" s="1"/>
  <c r="AH46" i="5" s="1"/>
  <c r="W64" i="5"/>
  <c r="W66" i="5" s="1"/>
  <c r="W71" i="5" s="1"/>
  <c r="AB43" i="5"/>
  <c r="AD43" i="5" s="1"/>
  <c r="AH43" i="5" s="1"/>
  <c r="AB21" i="5"/>
  <c r="AD21" i="5" s="1"/>
  <c r="AH21" i="5" s="1"/>
  <c r="AB26" i="5"/>
  <c r="AD26" i="5" s="1"/>
  <c r="AH26" i="5" s="1"/>
  <c r="T64" i="5"/>
  <c r="AA66" i="5"/>
  <c r="AA71" i="5" s="1"/>
  <c r="W92" i="5"/>
  <c r="AD87" i="5"/>
  <c r="AD92" i="5" s="1"/>
  <c r="AA92" i="5"/>
  <c r="J66" i="5"/>
  <c r="J71" i="5" s="1"/>
  <c r="M66" i="5"/>
  <c r="M71" i="5" s="1"/>
  <c r="T92" i="5"/>
  <c r="Z92" i="5"/>
  <c r="K66" i="5"/>
  <c r="K71" i="5" s="1"/>
  <c r="C66" i="5"/>
  <c r="C71" i="5" s="1"/>
  <c r="G66" i="5"/>
  <c r="G71" i="5" s="1"/>
  <c r="Q66" i="5"/>
  <c r="Q71" i="5" s="1"/>
  <c r="L66" i="5"/>
  <c r="L71" i="5" s="1"/>
  <c r="H66" i="5"/>
  <c r="H71" i="5" s="1"/>
  <c r="R66" i="5"/>
  <c r="R71" i="5" s="1"/>
  <c r="D66" i="5"/>
  <c r="D71" i="5" s="1"/>
  <c r="I66" i="5"/>
  <c r="I71" i="5" s="1"/>
  <c r="E66" i="5"/>
  <c r="E71" i="5" s="1"/>
  <c r="Z64" i="5"/>
  <c r="AD52" i="5" l="1"/>
  <c r="AH52" i="5" s="1"/>
  <c r="AH64" i="5" s="1"/>
  <c r="AD69" i="5"/>
  <c r="T66" i="5"/>
  <c r="T71" i="5" s="1"/>
  <c r="U64" i="5"/>
  <c r="Z66" i="5"/>
  <c r="Z71" i="5" s="1"/>
  <c r="X66" i="5"/>
  <c r="X71" i="5" s="1"/>
  <c r="AB64" i="5"/>
  <c r="AD7" i="5"/>
  <c r="AD38" i="5" s="1"/>
  <c r="AB38" i="5"/>
  <c r="U38" i="5"/>
  <c r="S66" i="5"/>
  <c r="S71" i="5" s="1"/>
  <c r="AD64" i="5" l="1"/>
  <c r="U66" i="5"/>
  <c r="U71" i="5" s="1"/>
  <c r="AH7" i="5"/>
  <c r="AH38" i="5" s="1"/>
  <c r="AH66" i="5" s="1"/>
  <c r="AB66" i="5"/>
  <c r="AB71" i="5" s="1"/>
  <c r="AD66" i="5"/>
  <c r="AD71" i="5" s="1"/>
</calcChain>
</file>

<file path=xl/sharedStrings.xml><?xml version="1.0" encoding="utf-8"?>
<sst xmlns="http://schemas.openxmlformats.org/spreadsheetml/2006/main" count="89" uniqueCount="77">
  <si>
    <t>Cash Received by Gavi</t>
  </si>
  <si>
    <t>Proceeds, as of 31 December 2020</t>
  </si>
  <si>
    <t>in US$ millions</t>
  </si>
  <si>
    <t>COVAX AMC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</si>
  <si>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</si>
  <si>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</si>
  <si>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</si>
  <si>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</si>
  <si>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</si>
  <si>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GRAND TOTAL</t>
  </si>
  <si>
    <t>Australia</t>
  </si>
  <si>
    <t>Canada</t>
  </si>
  <si>
    <t>China</t>
  </si>
  <si>
    <t>Colombia</t>
  </si>
  <si>
    <t>Denmark</t>
  </si>
  <si>
    <t>Estonia</t>
  </si>
  <si>
    <t>European Commission (EC)</t>
  </si>
  <si>
    <t>Finland</t>
  </si>
  <si>
    <t>France</t>
  </si>
  <si>
    <t>Germany</t>
  </si>
  <si>
    <t>Iceland</t>
  </si>
  <si>
    <t>India</t>
  </si>
  <si>
    <t>Ireland</t>
  </si>
  <si>
    <t>Italy</t>
  </si>
  <si>
    <t>Japan</t>
  </si>
  <si>
    <t>Kuwait</t>
  </si>
  <si>
    <t>Luxembourg</t>
  </si>
  <si>
    <t>Mauritius</t>
  </si>
  <si>
    <t>Monaco</t>
  </si>
  <si>
    <t>Netherlands</t>
  </si>
  <si>
    <t>New Zealand</t>
  </si>
  <si>
    <t xml:space="preserve">Norway </t>
  </si>
  <si>
    <t>Oman</t>
  </si>
  <si>
    <t>Qatar</t>
  </si>
  <si>
    <t>Republic of Korea</t>
  </si>
  <si>
    <t>Saudi Arabia</t>
  </si>
  <si>
    <t>Spain</t>
  </si>
  <si>
    <t xml:space="preserve">Sweden </t>
  </si>
  <si>
    <t>Switzerland</t>
  </si>
  <si>
    <t>United Kingdom</t>
  </si>
  <si>
    <t>United States</t>
  </si>
  <si>
    <t>Donor Governments and EC</t>
  </si>
  <si>
    <t>Al Ansari Exchange</t>
  </si>
  <si>
    <t>Alwaleed Philanthropies</t>
  </si>
  <si>
    <t>Anonymous Foundation</t>
  </si>
  <si>
    <t>Bill &amp; Melinda Gates Foundation</t>
  </si>
  <si>
    <t>Children’s Investment Fund Foundation (UK)</t>
  </si>
  <si>
    <t>China Merchants Charitable Foundation</t>
  </si>
  <si>
    <t>Comic Relief</t>
  </si>
  <si>
    <t>ELMA Vaccines and Immunization Foundation</t>
  </si>
  <si>
    <t>His Highness Sheikh Mohamed bin Zayed Al Nahyan</t>
  </si>
  <si>
    <t>International Federation of Pharmaceutical Wholesalers (IFPW)</t>
  </si>
  <si>
    <t>"la Caixa" Foundation</t>
  </si>
  <si>
    <t>LDS Charities</t>
  </si>
  <si>
    <t>Lions Club International (LCIF)</t>
  </si>
  <si>
    <t>OPEC Fund for International Development (OFID)</t>
  </si>
  <si>
    <t>Reckitt Benckiser Group</t>
  </si>
  <si>
    <t>Red Nose Day Fund</t>
  </si>
  <si>
    <t>Reed Hastings and Patty Quillin</t>
  </si>
  <si>
    <t>Rockefeller Foundation</t>
  </si>
  <si>
    <t>Shell International</t>
  </si>
  <si>
    <t>TikTok</t>
  </si>
  <si>
    <t>Transferwise</t>
  </si>
  <si>
    <r>
      <t>Unilever</t>
    </r>
    <r>
      <rPr>
        <vertAlign val="superscript"/>
        <sz val="10"/>
        <rFont val="Arial"/>
        <family val="2"/>
      </rPr>
      <t>1</t>
    </r>
  </si>
  <si>
    <t>UPS</t>
  </si>
  <si>
    <r>
      <t>Other private</t>
    </r>
    <r>
      <rPr>
        <vertAlign val="superscript"/>
        <sz val="10"/>
        <rFont val="Arial"/>
        <family val="2"/>
      </rPr>
      <t>2</t>
    </r>
  </si>
  <si>
    <t>Private Contributions</t>
  </si>
  <si>
    <t>Sub-total</t>
  </si>
  <si>
    <r>
      <t>IFFIm Proceeds</t>
    </r>
    <r>
      <rPr>
        <b/>
        <vertAlign val="superscript"/>
        <sz val="10"/>
        <rFont val="Arial"/>
        <family val="2"/>
      </rPr>
      <t>3,4</t>
    </r>
  </si>
  <si>
    <r>
      <t>PCV AMC Proceeds</t>
    </r>
    <r>
      <rPr>
        <b/>
        <vertAlign val="superscript"/>
        <sz val="10"/>
        <rFont val="Arial"/>
        <family val="2"/>
      </rPr>
      <t>5</t>
    </r>
  </si>
  <si>
    <t>Total contributions</t>
  </si>
  <si>
    <t>1 - Unilever provides resources to Gavi on a leveraged partnership project</t>
  </si>
  <si>
    <t>2 - Includes contributions from:  Absolute Return for Kids (US$ 1.6m), Anglo American plc (US$ 3.0m), Dutch Postcode Lottery (US$ 3.2m) and JP Morgan (US$ 2.4m), in addition to other private sector donors (some contributions were initially paid to the GAVI Campaign)</t>
  </si>
  <si>
    <t>3 - IFFIm Proceeds:  cash disbursements from the World Bank: to the GFA (2006-2012), to Gavi (2013-2020)</t>
  </si>
  <si>
    <t>4 -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</si>
  <si>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5 - AMC Proceeds: cash transfers from the World Bank to Gavi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</si>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</sst>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  <numFmt numFmtId="172" formatCode="#,##0.00000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left" vertical="center" wrapText="1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5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4" fontId="7" fillId="2" borderId="3" xfId="1" applyNumberFormat="1" applyFont="1" applyFill="1" applyBorder="1" applyAlignment="1">
      <alignment vertical="center"/>
    </xf>
    <xf numFmtId="41" fontId="7" fillId="5" borderId="4" xfId="0" applyNumberFormat="1" applyFont="1" applyFill="1" applyBorder="1" applyAlignment="1">
      <alignment horizontal="right" vertical="center"/>
    </xf>
    <xf numFmtId="41" fontId="7" fillId="5" borderId="6" xfId="0" applyNumberFormat="1" applyFont="1" applyFill="1" applyBorder="1" applyAlignment="1">
      <alignment horizontal="right" vertical="center"/>
    </xf>
    <xf numFmtId="41" fontId="7" fillId="5" borderId="9" xfId="0" applyNumberFormat="1" applyFont="1" applyFill="1" applyBorder="1" applyAlignment="1">
      <alignment horizontal="right"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41" fontId="6" fillId="6" borderId="1" xfId="0" applyNumberFormat="1" applyFont="1" applyFill="1" applyBorder="1" applyAlignment="1">
      <alignment horizontal="right" vertical="center"/>
    </xf>
    <xf numFmtId="171" fontId="8" fillId="0" borderId="0" xfId="0" applyNumberFormat="1" applyFont="1" applyAlignment="1">
      <alignment horizontal="right" vertical="center"/>
    </xf>
    <xf numFmtId="170" fontId="7" fillId="5" borderId="6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172" fontId="0" fillId="0" borderId="0" xfId="0" applyNumberFormat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7">
    <cellStyle name="Comma" xfId="1" builtinId="3"/>
    <cellStyle name="Comma 2" xfId="3" xr:uid="{00000000-0005-0000-0000-000001000000}"/>
    <cellStyle name="Comma 2 2" xfId="5" xr:uid="{00000000-0005-0000-0000-000002000000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E4E4E4"/>
      <color rgb="FFDEDAC4"/>
      <color rgb="FFEFEFE1"/>
      <color rgb="FFE4E4D2"/>
      <color rgb="FFD3CDB1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777974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H92"/>
  <sheetViews>
    <sheetView showGridLines="0" tabSelected="1" zoomScale="90" zoomScaleNormal="9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customWidth="1" outlineLevel="1"/>
    <col min="24" max="24" width="8" customWidth="1" outlineLevel="1"/>
    <col min="25" max="25" width="7.85546875" customWidth="1" outlineLevel="1"/>
    <col min="26" max="27" width="8" customWidth="1" outlineLevel="1"/>
    <col min="28" max="28" width="11.85546875" customWidth="1"/>
    <col min="29" max="29" width="2.5703125" customWidth="1"/>
    <col min="30" max="30" width="14.28515625" customWidth="1"/>
    <col min="31" max="31" width="4.42578125" customWidth="1"/>
    <col min="32" max="32" width="13.42578125" customWidth="1"/>
    <col min="33" max="33" width="2.5703125" customWidth="1"/>
    <col min="34" max="34" width="13.42578125" customWidth="1"/>
    <col min="35" max="35" width="2.7109375" customWidth="1"/>
    <col min="36" max="36" width="13.28515625" bestFit="1" customWidth="1"/>
    <col min="37" max="37" width="12.7109375" bestFit="1" customWidth="1"/>
  </cols>
  <sheetData>
    <row r="1" spans="1:34" ht="70.5" customHeight="1" x14ac:dyDescent="0.2"/>
    <row r="2" spans="1:34" ht="23.25" customHeight="1" x14ac:dyDescent="0.45">
      <c r="A2" s="30" t="s">
        <v>0</v>
      </c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</row>
    <row r="3" spans="1:34" ht="15.75" x14ac:dyDescent="0.25">
      <c r="A3" s="2" t="s">
        <v>1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</row>
    <row r="4" spans="1:34" ht="16.5" thickBot="1" x14ac:dyDescent="0.3">
      <c r="A4" s="3" t="s">
        <v>2</v>
      </c>
      <c r="C4" s="4"/>
      <c r="D4" s="4"/>
      <c r="E4" s="4"/>
      <c r="F4" s="4"/>
      <c r="G4" s="4"/>
      <c r="H4" s="4"/>
      <c r="I4" s="4"/>
      <c r="J4" s="4"/>
    </row>
    <row r="5" spans="1:34" ht="33" customHeight="1" thickBot="1" x14ac:dyDescent="0.3">
      <c r="A5" s="33"/>
      <c r="C5" s="4"/>
      <c r="D5" s="4"/>
      <c r="E5" s="4"/>
      <c r="F5" s="4"/>
      <c r="G5" s="4"/>
      <c r="H5" s="4"/>
      <c r="I5" s="4"/>
      <c r="J5" s="4"/>
      <c r="AF5" s="102" t="s">
        <v>3</v>
      </c>
      <c r="AH5" s="116" t="s">
        <v>4</v>
      </c>
    </row>
    <row r="6" spans="1:34" ht="30.75" thickBot="1" x14ac:dyDescent="0.25">
      <c r="A6" s="42" t="s">
        <v>5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3" t="s">
        <v>6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3" t="s">
        <v>7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3" t="s">
        <v>8</v>
      </c>
      <c r="AD6" s="44" t="s">
        <v>9</v>
      </c>
      <c r="AF6" s="41">
        <v>2020</v>
      </c>
      <c r="AH6" s="117"/>
    </row>
    <row r="7" spans="1:34" ht="13.5" thickBot="1" x14ac:dyDescent="0.25">
      <c r="A7" s="8" t="s">
        <v>10</v>
      </c>
      <c r="C7" s="45"/>
      <c r="D7" s="45"/>
      <c r="E7" s="45"/>
      <c r="F7" s="45"/>
      <c r="G7" s="45"/>
      <c r="H7" s="46"/>
      <c r="I7" s="46">
        <v>5</v>
      </c>
      <c r="J7" s="47">
        <v>5</v>
      </c>
      <c r="K7" s="48">
        <v>5</v>
      </c>
      <c r="L7" s="46">
        <v>5</v>
      </c>
      <c r="M7" s="46">
        <v>8.6</v>
      </c>
      <c r="N7" s="86">
        <f>SUM(C7:M7)</f>
        <v>28.6</v>
      </c>
      <c r="P7" s="46">
        <v>48.844000000000001</v>
      </c>
      <c r="Q7" s="46">
        <v>56.485500000000002</v>
      </c>
      <c r="R7" s="46">
        <v>48.277250000000002</v>
      </c>
      <c r="S7" s="46">
        <f>45.79575+42.825</f>
        <v>88.620750000000001</v>
      </c>
      <c r="T7" s="46"/>
      <c r="U7" s="86">
        <f>SUM(P7:T7)</f>
        <v>242.22750000000002</v>
      </c>
      <c r="W7" s="46">
        <v>37.579124999999998</v>
      </c>
      <c r="X7" s="46">
        <f>1.852+13.65175</f>
        <v>15.50375</v>
      </c>
      <c r="Y7" s="46"/>
      <c r="Z7" s="46">
        <f>22.31575+20.4070375+24.071875</f>
        <v>66.794662500000001</v>
      </c>
      <c r="AA7" s="46">
        <f>7.665+29.44425</f>
        <v>37.109250000000003</v>
      </c>
      <c r="AB7" s="86">
        <f>SUM(W7:AA7)</f>
        <v>156.98678749999999</v>
      </c>
      <c r="AD7" s="94">
        <f>SUM(AB7,U7,N7)</f>
        <v>427.81428750000003</v>
      </c>
      <c r="AE7" s="34"/>
      <c r="AF7" s="104">
        <v>28.511231739999999</v>
      </c>
      <c r="AH7" s="94">
        <f>SUM(AD7,AF7)</f>
        <v>456.32551924000006</v>
      </c>
    </row>
    <row r="8" spans="1:34" ht="13.5" thickBot="1" x14ac:dyDescent="0.25">
      <c r="A8" s="10" t="s">
        <v>11</v>
      </c>
      <c r="C8" s="45"/>
      <c r="D8" s="45"/>
      <c r="E8" s="45">
        <v>1.88035602</v>
      </c>
      <c r="F8" s="45">
        <v>4.7554213499999998</v>
      </c>
      <c r="G8" s="45">
        <v>9.0627342500000001</v>
      </c>
      <c r="H8" s="49">
        <v>130.86864059999999</v>
      </c>
      <c r="I8" s="45">
        <v>5.1903114199999996</v>
      </c>
      <c r="J8" s="45"/>
      <c r="K8" s="50"/>
      <c r="L8" s="45"/>
      <c r="M8" s="45"/>
      <c r="N8" s="87">
        <f t="shared" ref="N8:N37" si="0">SUM(C8:M8)</f>
        <v>151.75746364</v>
      </c>
      <c r="P8" s="45">
        <v>20.736000000000001</v>
      </c>
      <c r="Q8" s="51">
        <v>15.128593039999998</v>
      </c>
      <c r="R8" s="51">
        <v>38.974714310000003</v>
      </c>
      <c r="S8" s="51">
        <f>18.32844575+18.32844575</f>
        <v>36.6568915</v>
      </c>
      <c r="T8" s="51">
        <v>8.0340000000000007</v>
      </c>
      <c r="U8" s="87">
        <f t="shared" ref="U8:U37" si="1">SUM(P8:T8)</f>
        <v>119.53019885000002</v>
      </c>
      <c r="W8" s="51">
        <v>77.10330716</v>
      </c>
      <c r="X8" s="51">
        <f>76.26582082+16.27927621</f>
        <v>92.545097029999994</v>
      </c>
      <c r="Y8" s="51">
        <v>76.86314084</v>
      </c>
      <c r="Z8" s="51">
        <v>94.881251149999997</v>
      </c>
      <c r="AA8" s="51">
        <v>68.355820251599994</v>
      </c>
      <c r="AB8" s="87">
        <f t="shared" ref="AB8:AB37" si="2">SUM(W8:AA8)</f>
        <v>409.7486164316</v>
      </c>
      <c r="AD8" s="95">
        <f t="shared" ref="AD8:AD37" si="3">SUM(AB8,U8,N8)</f>
        <v>681.0362789216</v>
      </c>
      <c r="AE8" s="34"/>
      <c r="AF8" s="105"/>
      <c r="AH8" s="95">
        <f t="shared" ref="AH8:AH37" si="4">SUM(AD8,AF8)</f>
        <v>681.0362789216</v>
      </c>
    </row>
    <row r="9" spans="1:34" ht="13.5" thickBot="1" x14ac:dyDescent="0.25">
      <c r="A9" s="29" t="s">
        <v>12</v>
      </c>
      <c r="C9" s="45"/>
      <c r="D9" s="52"/>
      <c r="E9" s="45"/>
      <c r="F9" s="45"/>
      <c r="G9" s="52"/>
      <c r="H9" s="49"/>
      <c r="I9" s="45"/>
      <c r="J9" s="45"/>
      <c r="K9" s="50"/>
      <c r="L9" s="45"/>
      <c r="M9" s="45"/>
      <c r="N9" s="87">
        <f t="shared" si="0"/>
        <v>0</v>
      </c>
      <c r="P9" s="45"/>
      <c r="Q9" s="51"/>
      <c r="R9" s="51"/>
      <c r="S9" s="51"/>
      <c r="T9" s="51"/>
      <c r="U9" s="87">
        <f t="shared" si="1"/>
        <v>0</v>
      </c>
      <c r="W9" s="51">
        <v>2</v>
      </c>
      <c r="X9" s="51">
        <v>1</v>
      </c>
      <c r="Y9" s="51">
        <v>0.5</v>
      </c>
      <c r="Z9" s="51">
        <v>0.5</v>
      </c>
      <c r="AA9" s="51">
        <v>1</v>
      </c>
      <c r="AB9" s="87">
        <f t="shared" si="2"/>
        <v>5</v>
      </c>
      <c r="AD9" s="95">
        <f t="shared" si="3"/>
        <v>5</v>
      </c>
      <c r="AE9" s="34"/>
      <c r="AF9" s="105"/>
      <c r="AH9" s="95">
        <f t="shared" si="4"/>
        <v>5</v>
      </c>
    </row>
    <row r="10" spans="1:34" ht="13.5" thickBot="1" x14ac:dyDescent="0.25">
      <c r="A10" s="29" t="s">
        <v>13</v>
      </c>
      <c r="C10" s="45"/>
      <c r="D10" s="52"/>
      <c r="E10" s="45"/>
      <c r="F10" s="45"/>
      <c r="G10" s="52"/>
      <c r="H10" s="49"/>
      <c r="I10" s="45"/>
      <c r="J10" s="45"/>
      <c r="K10" s="50"/>
      <c r="L10" s="45"/>
      <c r="M10" s="45"/>
      <c r="N10" s="87">
        <f t="shared" si="0"/>
        <v>0</v>
      </c>
      <c r="P10" s="45"/>
      <c r="Q10" s="51"/>
      <c r="R10" s="51"/>
      <c r="S10" s="51"/>
      <c r="T10" s="51"/>
      <c r="U10" s="87">
        <f t="shared" si="1"/>
        <v>0</v>
      </c>
      <c r="W10" s="51"/>
      <c r="X10" s="51"/>
      <c r="Y10" s="51"/>
      <c r="Z10" s="51"/>
      <c r="AA10" s="51"/>
      <c r="AB10" s="87">
        <f t="shared" si="2"/>
        <v>0</v>
      </c>
      <c r="AD10" s="95">
        <f t="shared" si="3"/>
        <v>0</v>
      </c>
      <c r="AE10" s="34"/>
      <c r="AF10" s="105">
        <v>0.5</v>
      </c>
      <c r="AH10" s="95">
        <f t="shared" si="4"/>
        <v>0.5</v>
      </c>
    </row>
    <row r="11" spans="1:34" ht="13.5" thickBot="1" x14ac:dyDescent="0.25">
      <c r="A11" s="10" t="s">
        <v>14</v>
      </c>
      <c r="C11" s="45"/>
      <c r="D11" s="52">
        <v>1.1474074299999999</v>
      </c>
      <c r="E11" s="45"/>
      <c r="F11" s="45"/>
      <c r="G11" s="52">
        <v>3.3388792199999999</v>
      </c>
      <c r="H11" s="53">
        <v>3.4161073900000001</v>
      </c>
      <c r="I11" s="45">
        <v>4.4112623400000004</v>
      </c>
      <c r="J11" s="45">
        <v>4.7375400000000001</v>
      </c>
      <c r="K11" s="50"/>
      <c r="L11" s="45">
        <v>9.0983955899999991</v>
      </c>
      <c r="M11" s="45">
        <v>1.807207</v>
      </c>
      <c r="N11" s="87">
        <f t="shared" si="0"/>
        <v>27.956798970000001</v>
      </c>
      <c r="P11" s="45">
        <v>8.798</v>
      </c>
      <c r="Q11" s="51">
        <v>4.3516250000000003</v>
      </c>
      <c r="R11" s="51">
        <v>4.5993378800000002</v>
      </c>
      <c r="S11" s="51"/>
      <c r="T11" s="51"/>
      <c r="U11" s="87">
        <f t="shared" si="1"/>
        <v>17.748962880000001</v>
      </c>
      <c r="W11" s="51"/>
      <c r="X11" s="51"/>
      <c r="Y11" s="51">
        <v>3.8159674899999998</v>
      </c>
      <c r="Z11" s="51">
        <v>3.6509349800000002</v>
      </c>
      <c r="AA11" s="51">
        <v>7.8875910999999999</v>
      </c>
      <c r="AB11" s="87">
        <f t="shared" si="2"/>
        <v>15.354493569999999</v>
      </c>
      <c r="AD11" s="95">
        <f t="shared" si="3"/>
        <v>61.060255419999997</v>
      </c>
      <c r="AE11" s="34"/>
      <c r="AF11" s="105"/>
      <c r="AH11" s="95">
        <f t="shared" si="4"/>
        <v>61.060255419999997</v>
      </c>
    </row>
    <row r="12" spans="1:34" ht="13.5" thickBot="1" x14ac:dyDescent="0.25">
      <c r="A12" s="10" t="s">
        <v>15</v>
      </c>
      <c r="C12" s="45"/>
      <c r="D12" s="52"/>
      <c r="E12" s="45"/>
      <c r="F12" s="52"/>
      <c r="G12" s="52"/>
      <c r="H12" s="53"/>
      <c r="I12" s="45"/>
      <c r="J12" s="45"/>
      <c r="K12" s="50"/>
      <c r="L12" s="45"/>
      <c r="M12" s="45"/>
      <c r="N12" s="87">
        <f t="shared" si="0"/>
        <v>0</v>
      </c>
      <c r="P12" s="45"/>
      <c r="Q12" s="51"/>
      <c r="R12" s="51"/>
      <c r="S12" s="51"/>
      <c r="T12" s="51"/>
      <c r="U12" s="87">
        <f t="shared" si="1"/>
        <v>0</v>
      </c>
      <c r="W12" s="51"/>
      <c r="X12" s="51"/>
      <c r="Y12" s="51"/>
      <c r="Z12" s="51"/>
      <c r="AA12" s="51"/>
      <c r="AB12" s="87">
        <f t="shared" si="2"/>
        <v>0</v>
      </c>
      <c r="AD12" s="95">
        <f t="shared" si="3"/>
        <v>0</v>
      </c>
      <c r="AE12" s="34"/>
      <c r="AF12" s="113">
        <v>8.5266999999999996E-2</v>
      </c>
      <c r="AH12" s="95">
        <f t="shared" si="4"/>
        <v>8.5266999999999996E-2</v>
      </c>
    </row>
    <row r="13" spans="1:34" ht="13.5" thickBot="1" x14ac:dyDescent="0.25">
      <c r="A13" s="10" t="s">
        <v>16</v>
      </c>
      <c r="C13" s="45"/>
      <c r="D13" s="45"/>
      <c r="E13" s="45"/>
      <c r="F13" s="52">
        <v>1.26</v>
      </c>
      <c r="G13" s="45"/>
      <c r="H13" s="53"/>
      <c r="I13" s="45"/>
      <c r="J13" s="45">
        <v>4.84964</v>
      </c>
      <c r="K13" s="50">
        <v>23.129114000000001</v>
      </c>
      <c r="L13" s="45">
        <v>28.630130000000001</v>
      </c>
      <c r="M13" s="45"/>
      <c r="N13" s="87">
        <f t="shared" si="0"/>
        <v>57.868884000000001</v>
      </c>
      <c r="P13" s="54"/>
      <c r="Q13" s="51">
        <v>12.54732252</v>
      </c>
      <c r="R13" s="51"/>
      <c r="S13" s="51"/>
      <c r="T13" s="51">
        <v>22.27009</v>
      </c>
      <c r="U13" s="87">
        <f t="shared" si="1"/>
        <v>34.817412519999998</v>
      </c>
      <c r="W13" s="51">
        <v>14.401260000000001</v>
      </c>
      <c r="X13" s="51">
        <v>7.8138899999999998</v>
      </c>
      <c r="Y13" s="51">
        <f>30.83275+22.80911886</f>
        <v>53.641868860000002</v>
      </c>
      <c r="Z13" s="51">
        <f>9.8694+80.7264</f>
        <v>90.595799999999997</v>
      </c>
      <c r="AA13" s="51">
        <v>16.350000000000001</v>
      </c>
      <c r="AB13" s="87">
        <f t="shared" si="2"/>
        <v>182.80281886</v>
      </c>
      <c r="AD13" s="95">
        <f t="shared" si="3"/>
        <v>275.48911537999999</v>
      </c>
      <c r="AE13" s="34"/>
      <c r="AF13" s="105"/>
      <c r="AH13" s="95">
        <f t="shared" si="4"/>
        <v>275.48911537999999</v>
      </c>
    </row>
    <row r="14" spans="1:34" ht="13.5" thickBot="1" x14ac:dyDescent="0.25">
      <c r="A14" s="10" t="s">
        <v>17</v>
      </c>
      <c r="C14" s="45"/>
      <c r="D14" s="45"/>
      <c r="E14" s="45"/>
      <c r="F14" s="52"/>
      <c r="G14" s="52"/>
      <c r="H14" s="53"/>
      <c r="I14" s="45"/>
      <c r="J14" s="45"/>
      <c r="K14" s="50"/>
      <c r="L14" s="45"/>
      <c r="M14" s="45"/>
      <c r="N14" s="87">
        <f t="shared" si="0"/>
        <v>0</v>
      </c>
      <c r="P14" s="54"/>
      <c r="Q14" s="51"/>
      <c r="R14" s="51"/>
      <c r="S14" s="51"/>
      <c r="T14" s="51"/>
      <c r="U14" s="87">
        <f t="shared" si="1"/>
        <v>0</v>
      </c>
      <c r="W14" s="51"/>
      <c r="X14" s="51"/>
      <c r="Y14" s="51"/>
      <c r="Z14" s="51"/>
      <c r="AA14" s="51">
        <v>3.0407500000000001</v>
      </c>
      <c r="AB14" s="87">
        <f t="shared" si="2"/>
        <v>3.0407500000000001</v>
      </c>
      <c r="AD14" s="95">
        <f t="shared" si="3"/>
        <v>3.0407500000000001</v>
      </c>
      <c r="AE14" s="34"/>
      <c r="AF14" s="105"/>
      <c r="AH14" s="95">
        <f t="shared" si="4"/>
        <v>3.0407500000000001</v>
      </c>
    </row>
    <row r="15" spans="1:34" ht="13.5" thickBot="1" x14ac:dyDescent="0.25">
      <c r="A15" s="29" t="s">
        <v>18</v>
      </c>
      <c r="C15" s="45"/>
      <c r="D15" s="45"/>
      <c r="E15" s="45"/>
      <c r="F15" s="45"/>
      <c r="G15" s="52">
        <v>6.0291139200000003</v>
      </c>
      <c r="H15" s="53"/>
      <c r="I15" s="45">
        <v>12.63</v>
      </c>
      <c r="J15" s="45"/>
      <c r="K15" s="50"/>
      <c r="L15" s="45"/>
      <c r="M15" s="45"/>
      <c r="N15" s="87">
        <f t="shared" si="0"/>
        <v>18.659113920000003</v>
      </c>
      <c r="P15" s="45">
        <v>34.5</v>
      </c>
      <c r="Q15" s="51">
        <v>20.102150000000002</v>
      </c>
      <c r="R15" s="51">
        <v>34.93515</v>
      </c>
      <c r="S15" s="51">
        <v>6.8425500000000001</v>
      </c>
      <c r="T15" s="51">
        <v>5.8586</v>
      </c>
      <c r="U15" s="87">
        <f t="shared" si="1"/>
        <v>102.23845</v>
      </c>
      <c r="W15" s="51">
        <v>134.53778</v>
      </c>
      <c r="X15" s="51"/>
      <c r="Y15" s="51"/>
      <c r="Z15" s="51"/>
      <c r="AA15" s="51">
        <v>18.169499999999999</v>
      </c>
      <c r="AB15" s="87">
        <f t="shared" si="2"/>
        <v>152.70728</v>
      </c>
      <c r="AD15" s="95">
        <f t="shared" si="3"/>
        <v>273.60484392000001</v>
      </c>
      <c r="AE15" s="34"/>
      <c r="AF15" s="105"/>
      <c r="AH15" s="95">
        <f t="shared" si="4"/>
        <v>273.60484392000001</v>
      </c>
    </row>
    <row r="16" spans="1:34" ht="13.5" thickBot="1" x14ac:dyDescent="0.25">
      <c r="A16" s="10" t="s">
        <v>19</v>
      </c>
      <c r="C16" s="45"/>
      <c r="D16" s="45"/>
      <c r="E16" s="45"/>
      <c r="F16" s="45"/>
      <c r="G16" s="45"/>
      <c r="H16" s="53"/>
      <c r="I16" s="45">
        <v>5.2603999999999997</v>
      </c>
      <c r="J16" s="45">
        <v>5.9480000000000004</v>
      </c>
      <c r="K16" s="50"/>
      <c r="L16" s="45">
        <v>5.7213799999999999</v>
      </c>
      <c r="M16" s="45">
        <v>5.13598</v>
      </c>
      <c r="N16" s="87">
        <f t="shared" si="0"/>
        <v>22.065760000000001</v>
      </c>
      <c r="P16" s="45">
        <v>8.5</v>
      </c>
      <c r="Q16" s="51">
        <v>34.692483279999998</v>
      </c>
      <c r="R16" s="51">
        <v>35.390059999999998</v>
      </c>
      <c r="S16" s="51">
        <f>11.6316+27.47318393+11.2563+9.96968308</f>
        <v>60.330767010000002</v>
      </c>
      <c r="T16" s="51">
        <f>13.6327654+11.148+11.243+11.265+10.744+5.26329122</f>
        <v>63.296056620000002</v>
      </c>
      <c r="U16" s="87">
        <f t="shared" si="1"/>
        <v>202.20936691</v>
      </c>
      <c r="W16" s="51">
        <v>115.24406384</v>
      </c>
      <c r="X16" s="51">
        <f>6.73968835+4.13493716+21.6599+11.2108+11.82085255+6.98574453+23.50283884+11.75141942+11.77411421+6.99919409+21.38212304+11.7821</f>
        <v>149.74371219</v>
      </c>
      <c r="Y16" s="51">
        <f>12.1637438+3.0409359375+9.1228078125+48.654975+34.1016+22.6642+28.33025</f>
        <v>158.07851255</v>
      </c>
      <c r="Z16" s="51">
        <f>18.67846875+18.69210195+18.66483555+18.67846875+77.91</f>
        <v>152.623875</v>
      </c>
      <c r="AA16" s="51">
        <f>18.962625+37.92525+18.962625</f>
        <v>75.850499999999997</v>
      </c>
      <c r="AB16" s="87">
        <f t="shared" si="2"/>
        <v>651.54066358</v>
      </c>
      <c r="AD16" s="95">
        <f t="shared" si="3"/>
        <v>875.81579048999993</v>
      </c>
      <c r="AE16" s="34"/>
      <c r="AF16" s="105">
        <v>121.14499313</v>
      </c>
      <c r="AH16" s="95">
        <f t="shared" si="4"/>
        <v>996.96078361999992</v>
      </c>
    </row>
    <row r="17" spans="1:34" ht="13.5" thickBot="1" x14ac:dyDescent="0.25">
      <c r="A17" s="29" t="s">
        <v>20</v>
      </c>
      <c r="C17" s="45"/>
      <c r="D17" s="45"/>
      <c r="E17" s="52"/>
      <c r="F17" s="52"/>
      <c r="G17" s="52"/>
      <c r="H17" s="53"/>
      <c r="I17" s="45"/>
      <c r="J17" s="45"/>
      <c r="K17" s="50"/>
      <c r="L17" s="45"/>
      <c r="M17" s="45"/>
      <c r="N17" s="87">
        <f t="shared" si="0"/>
        <v>0</v>
      </c>
      <c r="P17" s="45"/>
      <c r="Q17" s="51"/>
      <c r="R17" s="51"/>
      <c r="S17" s="51"/>
      <c r="T17" s="51"/>
      <c r="U17" s="87">
        <f t="shared" si="1"/>
        <v>0</v>
      </c>
      <c r="W17" s="51"/>
      <c r="X17" s="51"/>
      <c r="Y17" s="51">
        <v>1</v>
      </c>
      <c r="Z17" s="51"/>
      <c r="AA17" s="51"/>
      <c r="AB17" s="87">
        <f t="shared" si="2"/>
        <v>1</v>
      </c>
      <c r="AD17" s="95">
        <f t="shared" si="3"/>
        <v>1</v>
      </c>
      <c r="AE17" s="34"/>
      <c r="AF17" s="105"/>
      <c r="AH17" s="95">
        <f t="shared" si="4"/>
        <v>1</v>
      </c>
    </row>
    <row r="18" spans="1:34" ht="13.5" thickBot="1" x14ac:dyDescent="0.25">
      <c r="A18" s="29" t="s">
        <v>21</v>
      </c>
      <c r="C18" s="45"/>
      <c r="D18" s="45"/>
      <c r="E18" s="52"/>
      <c r="F18" s="52"/>
      <c r="G18" s="52"/>
      <c r="H18" s="53"/>
      <c r="I18" s="45"/>
      <c r="J18" s="45"/>
      <c r="K18" s="50"/>
      <c r="L18" s="45"/>
      <c r="M18" s="45"/>
      <c r="N18" s="87">
        <f t="shared" si="0"/>
        <v>0</v>
      </c>
      <c r="P18" s="45"/>
      <c r="Q18" s="51"/>
      <c r="R18" s="51"/>
      <c r="S18" s="51">
        <f>1+1</f>
        <v>2</v>
      </c>
      <c r="T18" s="51">
        <v>1</v>
      </c>
      <c r="U18" s="87">
        <f t="shared" si="1"/>
        <v>3</v>
      </c>
      <c r="W18" s="51">
        <v>1</v>
      </c>
      <c r="X18" s="51"/>
      <c r="Y18" s="51">
        <v>2</v>
      </c>
      <c r="Z18" s="51">
        <f>2+2</f>
        <v>4</v>
      </c>
      <c r="AA18" s="51"/>
      <c r="AB18" s="87">
        <f t="shared" si="2"/>
        <v>7</v>
      </c>
      <c r="AD18" s="95">
        <f t="shared" si="3"/>
        <v>10</v>
      </c>
      <c r="AE18" s="34"/>
      <c r="AF18" s="105"/>
      <c r="AH18" s="95">
        <f t="shared" si="4"/>
        <v>10</v>
      </c>
    </row>
    <row r="19" spans="1:34" ht="13.5" thickBot="1" x14ac:dyDescent="0.25">
      <c r="A19" s="10" t="s">
        <v>22</v>
      </c>
      <c r="C19" s="45"/>
      <c r="D19" s="45"/>
      <c r="E19" s="52">
        <v>0.51075000000000004</v>
      </c>
      <c r="F19" s="52">
        <v>0.62375000000000003</v>
      </c>
      <c r="G19" s="52">
        <v>0.65</v>
      </c>
      <c r="H19" s="53">
        <v>0.83145999999999998</v>
      </c>
      <c r="I19" s="45">
        <v>7.9020000000000001</v>
      </c>
      <c r="J19" s="55">
        <v>8.3111999999999995</v>
      </c>
      <c r="K19" s="50">
        <v>3.8413200000000001</v>
      </c>
      <c r="L19" s="45">
        <v>3.54</v>
      </c>
      <c r="M19" s="45">
        <v>3.6308630000000002</v>
      </c>
      <c r="N19" s="87">
        <f t="shared" si="0"/>
        <v>29.841343000000002</v>
      </c>
      <c r="P19" s="45">
        <v>4.9130000000000003</v>
      </c>
      <c r="Q19" s="51">
        <v>3.4915850000000002</v>
      </c>
      <c r="R19" s="51">
        <v>2.9849399999999999</v>
      </c>
      <c r="S19" s="51">
        <v>0.74670000000000003</v>
      </c>
      <c r="T19" s="51">
        <v>3.2814000000000001</v>
      </c>
      <c r="U19" s="87">
        <f t="shared" si="1"/>
        <v>15.417625000000001</v>
      </c>
      <c r="W19" s="51">
        <v>3.20139</v>
      </c>
      <c r="X19" s="51">
        <v>3.53277749</v>
      </c>
      <c r="Y19" s="51">
        <v>3.4058999999999999</v>
      </c>
      <c r="Z19" s="51">
        <v>3.3682799999999999</v>
      </c>
      <c r="AA19" s="51">
        <v>3.2463000000000002</v>
      </c>
      <c r="AB19" s="87">
        <f t="shared" si="2"/>
        <v>16.75464749</v>
      </c>
      <c r="AD19" s="95">
        <f t="shared" si="3"/>
        <v>62.013615489999999</v>
      </c>
      <c r="AE19" s="34"/>
      <c r="AF19" s="105"/>
      <c r="AH19" s="95">
        <f t="shared" si="4"/>
        <v>62.013615489999999</v>
      </c>
    </row>
    <row r="20" spans="1:34" ht="13.5" thickBot="1" x14ac:dyDescent="0.25">
      <c r="A20" s="29" t="s">
        <v>23</v>
      </c>
      <c r="C20" s="45"/>
      <c r="D20" s="45"/>
      <c r="E20" s="52"/>
      <c r="F20" s="52"/>
      <c r="G20" s="52"/>
      <c r="H20" s="53"/>
      <c r="I20" s="45"/>
      <c r="J20" s="55"/>
      <c r="K20" s="50"/>
      <c r="L20" s="45"/>
      <c r="M20" s="45"/>
      <c r="N20" s="87">
        <f t="shared" si="0"/>
        <v>0</v>
      </c>
      <c r="P20" s="45"/>
      <c r="Q20" s="51"/>
      <c r="R20" s="51"/>
      <c r="S20" s="51"/>
      <c r="T20" s="51"/>
      <c r="U20" s="87">
        <f t="shared" si="1"/>
        <v>0</v>
      </c>
      <c r="W20" s="51">
        <v>4.2531999999999996</v>
      </c>
      <c r="X20" s="51">
        <v>14.32920461</v>
      </c>
      <c r="Y20" s="51">
        <v>32.418120000000002</v>
      </c>
      <c r="Z20" s="51">
        <v>31.113600000000002</v>
      </c>
      <c r="AA20" s="51">
        <v>32.569600000000001</v>
      </c>
      <c r="AB20" s="87">
        <f t="shared" si="2"/>
        <v>114.68372461000001</v>
      </c>
      <c r="AD20" s="95">
        <f t="shared" si="3"/>
        <v>114.68372461000001</v>
      </c>
      <c r="AE20" s="34"/>
      <c r="AF20" s="105"/>
      <c r="AH20" s="95">
        <f t="shared" si="4"/>
        <v>114.68372461000001</v>
      </c>
    </row>
    <row r="21" spans="1:34" ht="13.5" thickBot="1" x14ac:dyDescent="0.25">
      <c r="A21" s="10" t="s">
        <v>24</v>
      </c>
      <c r="C21" s="45"/>
      <c r="D21" s="45"/>
      <c r="E21" s="52"/>
      <c r="F21" s="52"/>
      <c r="G21" s="52"/>
      <c r="H21" s="53"/>
      <c r="I21" s="45"/>
      <c r="J21" s="55"/>
      <c r="K21" s="50"/>
      <c r="L21" s="45"/>
      <c r="M21" s="45"/>
      <c r="N21" s="87">
        <f t="shared" si="0"/>
        <v>0</v>
      </c>
      <c r="P21" s="45">
        <v>9.3480000000000008</v>
      </c>
      <c r="Q21" s="51">
        <v>9.0673919999999999</v>
      </c>
      <c r="R21" s="51">
        <v>9.0673919999999999</v>
      </c>
      <c r="S21" s="51">
        <v>8.6844629999999992</v>
      </c>
      <c r="T21" s="51">
        <v>17.368928</v>
      </c>
      <c r="U21" s="87">
        <f t="shared" si="1"/>
        <v>53.536175</v>
      </c>
      <c r="W21" s="51">
        <v>18.759418</v>
      </c>
      <c r="X21" s="51">
        <f>0.166666+19</f>
        <v>19.166665999999999</v>
      </c>
      <c r="Y21" s="51">
        <f>0.181818+18.818181+0.178571</f>
        <v>19.178570000000001</v>
      </c>
      <c r="Z21" s="51">
        <f>18.85+0.160714</f>
        <v>19.010714</v>
      </c>
      <c r="AA21" s="51">
        <f>18.6881+35+35-30</f>
        <v>58.688099999999991</v>
      </c>
      <c r="AB21" s="87">
        <f t="shared" si="2"/>
        <v>134.80346800000001</v>
      </c>
      <c r="AD21" s="95">
        <f t="shared" si="3"/>
        <v>188.33964300000002</v>
      </c>
      <c r="AE21" s="34"/>
      <c r="AF21" s="105">
        <f>15+15+30</f>
        <v>60</v>
      </c>
      <c r="AH21" s="95">
        <f t="shared" si="4"/>
        <v>248.33964300000002</v>
      </c>
    </row>
    <row r="22" spans="1:34" ht="13.5" thickBot="1" x14ac:dyDescent="0.25">
      <c r="A22" s="29" t="s">
        <v>25</v>
      </c>
      <c r="C22" s="45"/>
      <c r="D22" s="45"/>
      <c r="E22" s="52"/>
      <c r="F22" s="52"/>
      <c r="G22" s="52"/>
      <c r="H22" s="53"/>
      <c r="I22" s="45"/>
      <c r="J22" s="55"/>
      <c r="K22" s="50"/>
      <c r="L22" s="45"/>
      <c r="M22" s="45"/>
      <c r="N22" s="87">
        <f t="shared" si="0"/>
        <v>0</v>
      </c>
      <c r="P22" s="45"/>
      <c r="Q22" s="51"/>
      <c r="R22" s="51"/>
      <c r="S22" s="51"/>
      <c r="T22" s="51"/>
      <c r="U22" s="87">
        <f t="shared" si="1"/>
        <v>0</v>
      </c>
      <c r="W22" s="51"/>
      <c r="X22" s="51"/>
      <c r="Y22" s="51"/>
      <c r="Z22" s="51">
        <v>0.5</v>
      </c>
      <c r="AA22" s="51">
        <v>0.5</v>
      </c>
      <c r="AB22" s="87">
        <f t="shared" si="2"/>
        <v>1</v>
      </c>
      <c r="AD22" s="95">
        <f t="shared" si="3"/>
        <v>1</v>
      </c>
      <c r="AE22" s="34"/>
      <c r="AF22" s="105">
        <v>10</v>
      </c>
      <c r="AH22" s="95">
        <f t="shared" si="4"/>
        <v>11</v>
      </c>
    </row>
    <row r="23" spans="1:34" ht="13.5" thickBot="1" x14ac:dyDescent="0.25">
      <c r="A23" s="10" t="s">
        <v>26</v>
      </c>
      <c r="C23" s="45"/>
      <c r="D23" s="45"/>
      <c r="E23" s="52"/>
      <c r="F23" s="52"/>
      <c r="G23" s="52"/>
      <c r="H23" s="56">
        <v>0.64515</v>
      </c>
      <c r="I23" s="45">
        <v>1.318775</v>
      </c>
      <c r="J23" s="55">
        <v>0.81184000000000001</v>
      </c>
      <c r="K23" s="50">
        <v>1.4229000000000001</v>
      </c>
      <c r="L23" s="45">
        <v>1.1912400000000001</v>
      </c>
      <c r="M23" s="45">
        <v>1.1004400000000001</v>
      </c>
      <c r="N23" s="87">
        <f t="shared" si="0"/>
        <v>6.4903450000000005</v>
      </c>
      <c r="P23" s="45">
        <v>1.1859999999999999</v>
      </c>
      <c r="Q23" s="51">
        <v>1.0752701</v>
      </c>
      <c r="R23" s="51">
        <v>1.0590259</v>
      </c>
      <c r="S23" s="51">
        <v>1.1205940000000001</v>
      </c>
      <c r="T23" s="51">
        <v>0.92074765999999997</v>
      </c>
      <c r="U23" s="87">
        <f t="shared" si="1"/>
        <v>5.3616376599999995</v>
      </c>
      <c r="W23" s="51">
        <v>0.89615856999999999</v>
      </c>
      <c r="X23" s="51">
        <v>0.863788</v>
      </c>
      <c r="Y23" s="51">
        <v>0.91593999999999998</v>
      </c>
      <c r="Z23" s="51">
        <v>0.88240200000000002</v>
      </c>
      <c r="AA23" s="51">
        <v>0.94431200000000004</v>
      </c>
      <c r="AB23" s="87">
        <f t="shared" si="2"/>
        <v>4.5026005700000002</v>
      </c>
      <c r="AD23" s="95">
        <f t="shared" si="3"/>
        <v>16.354583229999999</v>
      </c>
      <c r="AE23" s="34"/>
      <c r="AF23" s="105"/>
      <c r="AH23" s="95">
        <f t="shared" si="4"/>
        <v>16.354583229999999</v>
      </c>
    </row>
    <row r="24" spans="1:34" ht="13.5" thickBot="1" x14ac:dyDescent="0.25">
      <c r="A24" s="10" t="s">
        <v>27</v>
      </c>
      <c r="C24" s="45"/>
      <c r="D24" s="45"/>
      <c r="E24" s="52"/>
      <c r="F24" s="52"/>
      <c r="G24" s="52"/>
      <c r="H24" s="56"/>
      <c r="I24" s="45"/>
      <c r="J24" s="55"/>
      <c r="K24" s="50"/>
      <c r="L24" s="45"/>
      <c r="M24" s="45"/>
      <c r="N24" s="87">
        <f t="shared" si="0"/>
        <v>0</v>
      </c>
      <c r="P24" s="45"/>
      <c r="Q24" s="51"/>
      <c r="R24" s="51"/>
      <c r="S24" s="51"/>
      <c r="T24" s="51"/>
      <c r="U24" s="87">
        <f t="shared" si="1"/>
        <v>0</v>
      </c>
      <c r="W24" s="51"/>
      <c r="X24" s="51"/>
      <c r="Y24" s="51"/>
      <c r="Z24" s="51"/>
      <c r="AA24" s="51">
        <v>2.5000000000000001E-3</v>
      </c>
      <c r="AB24" s="87">
        <f t="shared" si="2"/>
        <v>2.5000000000000001E-3</v>
      </c>
      <c r="AD24" s="95">
        <f t="shared" si="3"/>
        <v>2.5000000000000001E-3</v>
      </c>
      <c r="AE24" s="34"/>
      <c r="AF24" s="105"/>
      <c r="AH24" s="95">
        <f t="shared" si="4"/>
        <v>2.5000000000000001E-3</v>
      </c>
    </row>
    <row r="25" spans="1:34" ht="13.5" thickBot="1" x14ac:dyDescent="0.25">
      <c r="A25" s="29" t="s">
        <v>28</v>
      </c>
      <c r="C25" s="45"/>
      <c r="D25" s="45"/>
      <c r="E25" s="52"/>
      <c r="F25" s="52"/>
      <c r="G25" s="52"/>
      <c r="H25" s="56"/>
      <c r="I25" s="45"/>
      <c r="J25" s="55"/>
      <c r="K25" s="50"/>
      <c r="L25" s="45"/>
      <c r="M25" s="45"/>
      <c r="N25" s="87">
        <f t="shared" si="0"/>
        <v>0</v>
      </c>
      <c r="P25" s="45"/>
      <c r="Q25" s="51"/>
      <c r="R25" s="51"/>
      <c r="S25" s="51"/>
      <c r="T25" s="51"/>
      <c r="U25" s="87">
        <f t="shared" si="1"/>
        <v>0</v>
      </c>
      <c r="W25" s="51"/>
      <c r="X25" s="35">
        <v>0.107821</v>
      </c>
      <c r="Y25" s="35">
        <v>0.18451200000000001</v>
      </c>
      <c r="Z25" s="35">
        <v>0.16945199999999999</v>
      </c>
      <c r="AA25" s="51">
        <f>0.168615+0.65088</f>
        <v>0.81949499999999997</v>
      </c>
      <c r="AB25" s="87">
        <f t="shared" si="2"/>
        <v>1.28128</v>
      </c>
      <c r="AD25" s="95">
        <f t="shared" si="3"/>
        <v>1.28128</v>
      </c>
      <c r="AE25" s="34"/>
      <c r="AF25" s="113">
        <f>0.023876+0.03648861</f>
        <v>6.0364609999999999E-2</v>
      </c>
      <c r="AH25" s="95">
        <f t="shared" si="4"/>
        <v>1.3416446099999999</v>
      </c>
    </row>
    <row r="26" spans="1:34" ht="13.5" thickBot="1" x14ac:dyDescent="0.25">
      <c r="A26" s="10" t="s">
        <v>29</v>
      </c>
      <c r="C26" s="45"/>
      <c r="D26" s="45">
        <v>24.060334619999999</v>
      </c>
      <c r="E26" s="45">
        <v>13.375171870000001</v>
      </c>
      <c r="F26" s="45">
        <v>16.492641949999999</v>
      </c>
      <c r="G26" s="52">
        <v>17.329866450000001</v>
      </c>
      <c r="H26" s="53">
        <v>15.85941435</v>
      </c>
      <c r="I26" s="45"/>
      <c r="J26" s="55">
        <v>33.547469</v>
      </c>
      <c r="K26" s="50">
        <v>38.885300999999998</v>
      </c>
      <c r="L26" s="45">
        <v>31.20579</v>
      </c>
      <c r="M26" s="45">
        <v>25.1113845</v>
      </c>
      <c r="N26" s="87">
        <f t="shared" si="0"/>
        <v>215.86737374000001</v>
      </c>
      <c r="P26" s="45">
        <v>26.3</v>
      </c>
      <c r="Q26" s="51">
        <v>14.2065</v>
      </c>
      <c r="R26" s="51">
        <v>34.427500000000002</v>
      </c>
      <c r="S26" s="51">
        <v>39.8048</v>
      </c>
      <c r="T26" s="51">
        <v>33.945599999999999</v>
      </c>
      <c r="U26" s="87">
        <f t="shared" si="1"/>
        <v>148.68439999999998</v>
      </c>
      <c r="W26" s="51">
        <v>38.309967</v>
      </c>
      <c r="X26" s="51">
        <f>0.68127625+1.17542486+57.47701758</f>
        <v>59.333718690000005</v>
      </c>
      <c r="Y26" s="51">
        <f>1.48437318+0.11609+1.102855+25.4222244375+18.245615625</f>
        <v>46.371158242500002</v>
      </c>
      <c r="Z26" s="51">
        <f>42.96047813+4.05511412</f>
        <v>47.015592249999997</v>
      </c>
      <c r="AA26" s="51">
        <f>28.1911025+2.8549211</f>
        <v>31.046023599999998</v>
      </c>
      <c r="AB26" s="87">
        <f t="shared" si="2"/>
        <v>222.07645978250002</v>
      </c>
      <c r="AD26" s="95">
        <f t="shared" si="3"/>
        <v>586.62823352250007</v>
      </c>
      <c r="AE26" s="34"/>
      <c r="AF26" s="105">
        <v>6.0685000000000002</v>
      </c>
      <c r="AH26" s="95">
        <f t="shared" si="4"/>
        <v>592.69673352250004</v>
      </c>
    </row>
    <row r="27" spans="1:34" ht="13.5" thickBot="1" x14ac:dyDescent="0.25">
      <c r="A27" s="29" t="s">
        <v>30</v>
      </c>
      <c r="C27" s="45"/>
      <c r="D27" s="52"/>
      <c r="E27" s="52"/>
      <c r="F27" s="52"/>
      <c r="G27" s="52"/>
      <c r="H27" s="53"/>
      <c r="I27" s="45"/>
      <c r="J27" s="57"/>
      <c r="K27" s="50"/>
      <c r="L27" s="45"/>
      <c r="M27" s="45"/>
      <c r="N27" s="87">
        <f t="shared" ref="N27" si="5">SUM(C27:M27)</f>
        <v>0</v>
      </c>
      <c r="P27" s="45"/>
      <c r="Q27" s="51"/>
      <c r="R27" s="51"/>
      <c r="S27" s="51"/>
      <c r="T27" s="51"/>
      <c r="U27" s="87">
        <f t="shared" ref="U27" si="6">SUM(P27:T27)</f>
        <v>0</v>
      </c>
      <c r="W27" s="51"/>
      <c r="X27" s="51"/>
      <c r="Y27" s="51"/>
      <c r="Z27" s="51"/>
      <c r="AA27" s="51"/>
      <c r="AB27" s="87">
        <f t="shared" ref="AB27" si="7">SUM(W27:AA27)</f>
        <v>0</v>
      </c>
      <c r="AD27" s="95">
        <f t="shared" ref="AD27" si="8">SUM(AB27,U27,N27)</f>
        <v>0</v>
      </c>
      <c r="AE27" s="34"/>
      <c r="AF27" s="105">
        <v>4.9181999999999997</v>
      </c>
      <c r="AH27" s="95">
        <f t="shared" ref="AH27" si="9">SUM(AD27,AF27)</f>
        <v>4.9181999999999997</v>
      </c>
    </row>
    <row r="28" spans="1:34" ht="13.5" thickBot="1" x14ac:dyDescent="0.25">
      <c r="A28" s="10" t="s">
        <v>31</v>
      </c>
      <c r="C28" s="45"/>
      <c r="D28" s="52">
        <v>17.894689750000001</v>
      </c>
      <c r="E28" s="52">
        <v>21.325656089999999</v>
      </c>
      <c r="F28" s="52">
        <v>21.791086740000001</v>
      </c>
      <c r="G28" s="52">
        <v>40.92459264</v>
      </c>
      <c r="H28" s="53">
        <v>39.53459411</v>
      </c>
      <c r="I28" s="45">
        <v>67.379313700000012</v>
      </c>
      <c r="J28" s="57">
        <v>86.156761000000003</v>
      </c>
      <c r="K28" s="50">
        <v>65.449483259999994</v>
      </c>
      <c r="L28" s="45">
        <v>82.800324709999998</v>
      </c>
      <c r="M28" s="45">
        <v>76.483608000000004</v>
      </c>
      <c r="N28" s="87">
        <f t="shared" si="0"/>
        <v>519.74010999999996</v>
      </c>
      <c r="P28" s="45">
        <v>79.2</v>
      </c>
      <c r="Q28" s="51">
        <v>106.8762334</v>
      </c>
      <c r="R28" s="51">
        <v>126.86237634</v>
      </c>
      <c r="S28" s="51">
        <f>119.73607283+27.869</f>
        <v>147.60507282999998</v>
      </c>
      <c r="T28" s="51">
        <v>157.46568500000001</v>
      </c>
      <c r="U28" s="87">
        <f t="shared" si="1"/>
        <v>618.00936756999999</v>
      </c>
      <c r="W28" s="51">
        <v>139.66753800000001</v>
      </c>
      <c r="X28" s="51">
        <f>133.06601234+26.36814516</f>
        <v>159.4341575</v>
      </c>
      <c r="Y28" s="51">
        <f>137.30391502+7.37424108</f>
        <v>144.6781561</v>
      </c>
      <c r="Z28" s="51">
        <f>151.0231769+10.41453192</f>
        <v>161.43770882000001</v>
      </c>
      <c r="AA28" s="51">
        <v>164.81642147421601</v>
      </c>
      <c r="AB28" s="87">
        <f t="shared" si="2"/>
        <v>770.03398189421603</v>
      </c>
      <c r="AD28" s="95">
        <f t="shared" si="3"/>
        <v>1907.7834594642161</v>
      </c>
      <c r="AE28" s="34"/>
      <c r="AF28" s="105">
        <v>18.685122629999999</v>
      </c>
      <c r="AH28" s="95">
        <f t="shared" si="4"/>
        <v>1926.4685820942161</v>
      </c>
    </row>
    <row r="29" spans="1:34" ht="13.5" thickBot="1" x14ac:dyDescent="0.25">
      <c r="A29" s="29" t="s">
        <v>32</v>
      </c>
      <c r="C29" s="45"/>
      <c r="D29" s="52"/>
      <c r="E29" s="52"/>
      <c r="F29" s="52"/>
      <c r="G29" s="52"/>
      <c r="H29" s="53"/>
      <c r="I29" s="45"/>
      <c r="J29" s="57"/>
      <c r="K29" s="50"/>
      <c r="L29" s="45"/>
      <c r="M29" s="45"/>
      <c r="N29" s="87">
        <f t="shared" si="0"/>
        <v>0</v>
      </c>
      <c r="P29" s="45"/>
      <c r="Q29" s="51"/>
      <c r="R29" s="51"/>
      <c r="S29" s="51"/>
      <c r="T29" s="51">
        <v>0.6</v>
      </c>
      <c r="U29" s="87">
        <f t="shared" si="1"/>
        <v>0.6</v>
      </c>
      <c r="W29" s="51"/>
      <c r="X29" s="51">
        <v>0.6</v>
      </c>
      <c r="Y29" s="51">
        <v>0.6</v>
      </c>
      <c r="Z29" s="51">
        <v>0.6</v>
      </c>
      <c r="AA29" s="51">
        <v>0.6</v>
      </c>
      <c r="AB29" s="87">
        <f t="shared" si="2"/>
        <v>2.4</v>
      </c>
      <c r="AD29" s="95">
        <f t="shared" si="3"/>
        <v>3</v>
      </c>
      <c r="AE29" s="34"/>
      <c r="AF29" s="105"/>
      <c r="AH29" s="95">
        <f t="shared" si="4"/>
        <v>3</v>
      </c>
    </row>
    <row r="30" spans="1:34" ht="13.5" thickBot="1" x14ac:dyDescent="0.25">
      <c r="A30" s="29" t="s">
        <v>33</v>
      </c>
      <c r="C30" s="45"/>
      <c r="D30" s="52"/>
      <c r="E30" s="52"/>
      <c r="F30" s="52"/>
      <c r="G30" s="52"/>
      <c r="H30" s="53"/>
      <c r="I30" s="45"/>
      <c r="J30" s="57"/>
      <c r="K30" s="50"/>
      <c r="L30" s="45"/>
      <c r="M30" s="45"/>
      <c r="N30" s="87">
        <f t="shared" si="0"/>
        <v>0</v>
      </c>
      <c r="P30" s="45"/>
      <c r="Q30" s="51"/>
      <c r="R30" s="51"/>
      <c r="S30" s="51"/>
      <c r="T30" s="51"/>
      <c r="U30" s="87">
        <f t="shared" si="1"/>
        <v>0</v>
      </c>
      <c r="W30" s="51">
        <v>2</v>
      </c>
      <c r="X30" s="51">
        <v>2</v>
      </c>
      <c r="Y30" s="51"/>
      <c r="Z30" s="51"/>
      <c r="AA30" s="51">
        <v>6</v>
      </c>
      <c r="AB30" s="87">
        <f t="shared" si="2"/>
        <v>10</v>
      </c>
      <c r="AD30" s="95">
        <f t="shared" si="3"/>
        <v>10</v>
      </c>
      <c r="AE30" s="34"/>
      <c r="AF30" s="105"/>
      <c r="AH30" s="95">
        <f t="shared" si="4"/>
        <v>10</v>
      </c>
    </row>
    <row r="31" spans="1:34" ht="13.5" thickBot="1" x14ac:dyDescent="0.25">
      <c r="A31" s="10" t="s">
        <v>34</v>
      </c>
      <c r="C31" s="45"/>
      <c r="D31" s="52"/>
      <c r="E31" s="52"/>
      <c r="F31" s="52"/>
      <c r="G31" s="52"/>
      <c r="H31" s="53"/>
      <c r="I31" s="45"/>
      <c r="J31" s="45"/>
      <c r="K31" s="50"/>
      <c r="L31" s="45"/>
      <c r="M31" s="11">
        <v>0.4</v>
      </c>
      <c r="N31" s="87">
        <f t="shared" si="0"/>
        <v>0.4</v>
      </c>
      <c r="P31" s="11">
        <v>0.3</v>
      </c>
      <c r="Q31" s="35">
        <v>0.3</v>
      </c>
      <c r="R31" s="51">
        <v>1</v>
      </c>
      <c r="S31" s="51">
        <v>1</v>
      </c>
      <c r="T31" s="51">
        <v>4</v>
      </c>
      <c r="U31" s="87">
        <f t="shared" si="1"/>
        <v>6.6</v>
      </c>
      <c r="W31" s="51">
        <v>4</v>
      </c>
      <c r="X31" s="51">
        <v>4</v>
      </c>
      <c r="Y31" s="51">
        <v>4</v>
      </c>
      <c r="Z31" s="51">
        <v>4.7372954399999996</v>
      </c>
      <c r="AA31" s="51">
        <v>5.4808400900000001</v>
      </c>
      <c r="AB31" s="87">
        <f t="shared" si="2"/>
        <v>22.218135530000001</v>
      </c>
      <c r="AD31" s="95">
        <f t="shared" si="3"/>
        <v>29.218135529999998</v>
      </c>
      <c r="AE31" s="34"/>
      <c r="AF31" s="105"/>
      <c r="AH31" s="95">
        <f t="shared" si="4"/>
        <v>29.218135529999998</v>
      </c>
    </row>
    <row r="32" spans="1:34" ht="13.5" thickBot="1" x14ac:dyDescent="0.25">
      <c r="A32" s="29" t="s">
        <v>35</v>
      </c>
      <c r="C32" s="45"/>
      <c r="D32" s="52"/>
      <c r="E32" s="52"/>
      <c r="F32" s="52"/>
      <c r="G32" s="52"/>
      <c r="H32" s="53"/>
      <c r="I32" s="45"/>
      <c r="J32" s="45"/>
      <c r="K32" s="50"/>
      <c r="L32" s="45"/>
      <c r="M32" s="45"/>
      <c r="N32" s="87">
        <f t="shared" si="0"/>
        <v>0</v>
      </c>
      <c r="P32" s="45"/>
      <c r="Q32" s="51"/>
      <c r="R32" s="51"/>
      <c r="S32" s="51"/>
      <c r="T32" s="51"/>
      <c r="U32" s="87">
        <f t="shared" si="1"/>
        <v>0</v>
      </c>
      <c r="W32" s="51">
        <v>2.5</v>
      </c>
      <c r="X32" s="51">
        <f>2.5+2.5</f>
        <v>5</v>
      </c>
      <c r="Y32" s="51">
        <f>2.5+2.5</f>
        <v>5</v>
      </c>
      <c r="Z32" s="51">
        <f>2.5+2.5</f>
        <v>5</v>
      </c>
      <c r="AA32" s="51">
        <f>2.5+2.5</f>
        <v>5</v>
      </c>
      <c r="AB32" s="87">
        <f t="shared" si="2"/>
        <v>22.5</v>
      </c>
      <c r="AD32" s="95">
        <f t="shared" si="3"/>
        <v>22.5</v>
      </c>
      <c r="AE32" s="34"/>
      <c r="AF32" s="105"/>
      <c r="AH32" s="95">
        <f t="shared" si="4"/>
        <v>22.5</v>
      </c>
    </row>
    <row r="33" spans="1:34" ht="13.5" thickBot="1" x14ac:dyDescent="0.25">
      <c r="A33" s="10" t="s">
        <v>36</v>
      </c>
      <c r="C33" s="45"/>
      <c r="D33" s="45"/>
      <c r="E33" s="45"/>
      <c r="F33" s="45"/>
      <c r="G33" s="45"/>
      <c r="H33" s="53"/>
      <c r="I33" s="45"/>
      <c r="J33" s="45"/>
      <c r="K33" s="50">
        <v>40.536200000000001</v>
      </c>
      <c r="L33" s="45"/>
      <c r="M33" s="45"/>
      <c r="N33" s="87">
        <f t="shared" si="0"/>
        <v>40.536200000000001</v>
      </c>
      <c r="P33" s="45">
        <v>2.6659999999999999</v>
      </c>
      <c r="Q33" s="51"/>
      <c r="R33" s="51"/>
      <c r="S33" s="51"/>
      <c r="T33" s="51"/>
      <c r="U33" s="87">
        <f t="shared" si="1"/>
        <v>2.6659999999999999</v>
      </c>
      <c r="W33" s="51"/>
      <c r="X33" s="51"/>
      <c r="Y33" s="51"/>
      <c r="Z33" s="51"/>
      <c r="AA33" s="51"/>
      <c r="AB33" s="87">
        <f t="shared" si="2"/>
        <v>0</v>
      </c>
      <c r="AD33" s="95">
        <f t="shared" si="3"/>
        <v>43.202199999999998</v>
      </c>
      <c r="AE33" s="34"/>
      <c r="AF33" s="105"/>
      <c r="AH33" s="95">
        <f t="shared" si="4"/>
        <v>43.202199999999998</v>
      </c>
    </row>
    <row r="34" spans="1:34" ht="13.5" thickBot="1" x14ac:dyDescent="0.25">
      <c r="A34" s="10" t="s">
        <v>37</v>
      </c>
      <c r="C34" s="45"/>
      <c r="D34" s="52">
        <v>1.8921325899999999</v>
      </c>
      <c r="E34" s="52">
        <v>1.1147999799999999</v>
      </c>
      <c r="F34" s="52">
        <v>2.38518169</v>
      </c>
      <c r="G34" s="52">
        <v>4.9314298799999996</v>
      </c>
      <c r="H34" s="53">
        <v>12.66340061</v>
      </c>
      <c r="I34" s="45">
        <v>14.593975029999999</v>
      </c>
      <c r="J34" s="45">
        <v>15.514976000000001</v>
      </c>
      <c r="K34" s="50">
        <v>19.151976000000001</v>
      </c>
      <c r="L34" s="45">
        <v>13.80099952</v>
      </c>
      <c r="M34" s="45">
        <v>36.487497500000003</v>
      </c>
      <c r="N34" s="87">
        <f t="shared" si="0"/>
        <v>122.53636880000002</v>
      </c>
      <c r="P34" s="45">
        <v>92.7</v>
      </c>
      <c r="Q34" s="51"/>
      <c r="R34" s="51">
        <v>70.900080489999993</v>
      </c>
      <c r="S34" s="51">
        <v>49.84</v>
      </c>
      <c r="T34" s="51">
        <v>41.475000000000001</v>
      </c>
      <c r="U34" s="87">
        <f t="shared" si="1"/>
        <v>254.91508048999998</v>
      </c>
      <c r="W34" s="51">
        <v>36.391199999999998</v>
      </c>
      <c r="X34" s="51">
        <v>33.504578960000003</v>
      </c>
      <c r="Y34" s="51">
        <v>42.436950889999999</v>
      </c>
      <c r="Z34" s="51">
        <f>19.58512008+16.14</f>
        <v>35.725120079999996</v>
      </c>
      <c r="AA34" s="51">
        <v>40.858379999999997</v>
      </c>
      <c r="AB34" s="87">
        <f t="shared" si="2"/>
        <v>188.91622992999999</v>
      </c>
      <c r="AD34" s="95">
        <f t="shared" si="3"/>
        <v>566.36767922000001</v>
      </c>
      <c r="AE34" s="34"/>
      <c r="AF34" s="105">
        <v>11.58512058</v>
      </c>
      <c r="AH34" s="95">
        <f t="shared" si="4"/>
        <v>577.95279979999998</v>
      </c>
    </row>
    <row r="35" spans="1:34" ht="13.5" thickBot="1" x14ac:dyDescent="0.25">
      <c r="A35" s="29" t="s">
        <v>38</v>
      </c>
      <c r="C35" s="45"/>
      <c r="D35" s="52"/>
      <c r="E35" s="52"/>
      <c r="F35" s="52"/>
      <c r="G35" s="52"/>
      <c r="H35" s="53"/>
      <c r="I35" s="45"/>
      <c r="J35" s="45"/>
      <c r="K35" s="50"/>
      <c r="L35" s="45"/>
      <c r="M35" s="45"/>
      <c r="N35" s="87">
        <f t="shared" si="0"/>
        <v>0</v>
      </c>
      <c r="P35" s="45"/>
      <c r="Q35" s="51"/>
      <c r="R35" s="51"/>
      <c r="S35" s="51"/>
      <c r="T35" s="51"/>
      <c r="U35" s="87">
        <f t="shared" si="1"/>
        <v>0</v>
      </c>
      <c r="W35" s="51">
        <v>1.5797791999999999</v>
      </c>
      <c r="X35" s="51"/>
      <c r="Y35" s="51"/>
      <c r="Z35" s="51"/>
      <c r="AA35" s="51">
        <f>11.2905+0.56177087</f>
        <v>11.85227087</v>
      </c>
      <c r="AB35" s="87">
        <f t="shared" si="2"/>
        <v>13.432050069999999</v>
      </c>
      <c r="AD35" s="95">
        <f t="shared" si="3"/>
        <v>13.432050069999999</v>
      </c>
      <c r="AE35" s="34"/>
      <c r="AF35" s="105">
        <v>22.477137939999999</v>
      </c>
      <c r="AH35" s="95">
        <f t="shared" si="4"/>
        <v>35.909188009999994</v>
      </c>
    </row>
    <row r="36" spans="1:34" ht="13.5" thickBot="1" x14ac:dyDescent="0.25">
      <c r="A36" s="10" t="s">
        <v>39</v>
      </c>
      <c r="C36" s="45">
        <v>4.4634</v>
      </c>
      <c r="D36" s="45"/>
      <c r="E36" s="52">
        <v>15.048249999999999</v>
      </c>
      <c r="F36" s="45">
        <v>5.60595</v>
      </c>
      <c r="G36" s="52">
        <v>18.491534999999999</v>
      </c>
      <c r="H36" s="53">
        <v>6.6251490000000004</v>
      </c>
      <c r="I36" s="45">
        <v>23.214072000000002</v>
      </c>
      <c r="J36" s="55">
        <v>48.113951999999998</v>
      </c>
      <c r="K36" s="50"/>
      <c r="L36" s="45"/>
      <c r="M36" s="50">
        <v>15.883044</v>
      </c>
      <c r="N36" s="88">
        <f t="shared" si="0"/>
        <v>137.44535199999999</v>
      </c>
      <c r="P36" s="50">
        <v>85.1</v>
      </c>
      <c r="Q36" s="58">
        <v>206.88</v>
      </c>
      <c r="R36" s="58">
        <v>447.88005122999999</v>
      </c>
      <c r="S36" s="58">
        <v>302.55504000000002</v>
      </c>
      <c r="T36" s="58">
        <f>418.55298+23.91142691</f>
        <v>442.46440690999998</v>
      </c>
      <c r="U36" s="88">
        <f t="shared" si="1"/>
        <v>1484.8794981399999</v>
      </c>
      <c r="W36" s="58">
        <v>304.83199999999999</v>
      </c>
      <c r="X36" s="58">
        <v>282.065</v>
      </c>
      <c r="Y36" s="58">
        <f>237.859968+15.02140486</f>
        <v>252.88137286</v>
      </c>
      <c r="Z36" s="58">
        <v>267.42500000000001</v>
      </c>
      <c r="AA36" s="51">
        <v>270.52</v>
      </c>
      <c r="AB36" s="88">
        <f t="shared" si="2"/>
        <v>1377.7233728599999</v>
      </c>
      <c r="AD36" s="95">
        <f t="shared" si="3"/>
        <v>3000.0482230000002</v>
      </c>
      <c r="AE36" s="34"/>
      <c r="AF36" s="105"/>
      <c r="AH36" s="95">
        <f t="shared" si="4"/>
        <v>3000.0482230000002</v>
      </c>
    </row>
    <row r="37" spans="1:34" ht="13.5" thickBot="1" x14ac:dyDescent="0.25">
      <c r="A37" s="13" t="s">
        <v>40</v>
      </c>
      <c r="C37" s="59"/>
      <c r="D37" s="60">
        <v>48.091999999999999</v>
      </c>
      <c r="E37" s="60">
        <v>53</v>
      </c>
      <c r="F37" s="60">
        <v>58</v>
      </c>
      <c r="G37" s="60">
        <v>59.64</v>
      </c>
      <c r="H37" s="61">
        <v>64.48</v>
      </c>
      <c r="I37" s="62">
        <v>69.3</v>
      </c>
      <c r="J37" s="63">
        <v>69.3</v>
      </c>
      <c r="K37" s="64">
        <v>71.912999999999997</v>
      </c>
      <c r="L37" s="62">
        <v>75</v>
      </c>
      <c r="M37" s="62">
        <v>78</v>
      </c>
      <c r="N37" s="89">
        <f t="shared" si="0"/>
        <v>646.72500000000002</v>
      </c>
      <c r="P37" s="62">
        <v>89.8</v>
      </c>
      <c r="Q37" s="59">
        <v>130</v>
      </c>
      <c r="R37" s="59">
        <v>137.978655</v>
      </c>
      <c r="S37" s="59">
        <v>175</v>
      </c>
      <c r="T37" s="59">
        <v>200</v>
      </c>
      <c r="U37" s="89">
        <f t="shared" si="1"/>
        <v>732.77865500000007</v>
      </c>
      <c r="W37" s="59">
        <v>235</v>
      </c>
      <c r="X37" s="59">
        <v>275</v>
      </c>
      <c r="Y37" s="59">
        <v>290</v>
      </c>
      <c r="Z37" s="59">
        <v>290</v>
      </c>
      <c r="AA37" s="59">
        <v>290</v>
      </c>
      <c r="AB37" s="89">
        <f t="shared" si="2"/>
        <v>1380</v>
      </c>
      <c r="AD37" s="96">
        <f t="shared" si="3"/>
        <v>2759.503655</v>
      </c>
      <c r="AE37" s="34"/>
      <c r="AF37" s="106"/>
      <c r="AH37" s="96">
        <f t="shared" si="4"/>
        <v>2759.503655</v>
      </c>
    </row>
    <row r="38" spans="1:34" ht="13.5" thickBot="1" x14ac:dyDescent="0.25">
      <c r="A38" s="14" t="s">
        <v>41</v>
      </c>
      <c r="C38" s="65">
        <f t="shared" ref="C38:AD38" si="10">SUM(C7:C37)</f>
        <v>4.4634</v>
      </c>
      <c r="D38" s="65">
        <f t="shared" si="10"/>
        <v>93.086564390000007</v>
      </c>
      <c r="E38" s="65">
        <f t="shared" si="10"/>
        <v>106.25498396</v>
      </c>
      <c r="F38" s="65">
        <f t="shared" si="10"/>
        <v>110.91403173</v>
      </c>
      <c r="G38" s="65">
        <f t="shared" si="10"/>
        <v>160.39815135999999</v>
      </c>
      <c r="H38" s="65">
        <f t="shared" si="10"/>
        <v>274.92391606000001</v>
      </c>
      <c r="I38" s="65">
        <f t="shared" si="10"/>
        <v>216.20010949000005</v>
      </c>
      <c r="J38" s="65">
        <f t="shared" si="10"/>
        <v>282.29137800000001</v>
      </c>
      <c r="K38" s="65">
        <f t="shared" si="10"/>
        <v>269.32929425999998</v>
      </c>
      <c r="L38" s="65">
        <f t="shared" si="10"/>
        <v>255.98825982</v>
      </c>
      <c r="M38" s="65">
        <f t="shared" si="10"/>
        <v>252.64002400000001</v>
      </c>
      <c r="N38" s="109">
        <f t="shared" si="10"/>
        <v>2026.49011307</v>
      </c>
      <c r="P38" s="65">
        <f t="shared" si="10"/>
        <v>512.89099999999996</v>
      </c>
      <c r="Q38" s="65">
        <f t="shared" si="10"/>
        <v>615.20465434000005</v>
      </c>
      <c r="R38" s="65">
        <f t="shared" si="10"/>
        <v>994.33653315000004</v>
      </c>
      <c r="S38" s="65">
        <f t="shared" si="10"/>
        <v>920.80762834000006</v>
      </c>
      <c r="T38" s="65">
        <f t="shared" si="10"/>
        <v>1001.98051419</v>
      </c>
      <c r="U38" s="109">
        <f t="shared" si="10"/>
        <v>4045.2203300199999</v>
      </c>
      <c r="W38" s="65">
        <f t="shared" si="10"/>
        <v>1173.2561867700001</v>
      </c>
      <c r="X38" s="65">
        <f t="shared" si="10"/>
        <v>1125.5441614700001</v>
      </c>
      <c r="Y38" s="65">
        <f t="shared" si="10"/>
        <v>1137.9701698325</v>
      </c>
      <c r="Z38" s="65">
        <f t="shared" si="10"/>
        <v>1280.0316882200002</v>
      </c>
      <c r="AA38" s="65">
        <f t="shared" si="10"/>
        <v>1150.7076543858161</v>
      </c>
      <c r="AB38" s="109">
        <f t="shared" si="10"/>
        <v>5867.5098606783158</v>
      </c>
      <c r="AD38" s="109">
        <f t="shared" si="10"/>
        <v>11939.220303768316</v>
      </c>
      <c r="AE38" s="12"/>
      <c r="AF38" s="111">
        <f>SUM(AF7:AF37)</f>
        <v>284.03593762999998</v>
      </c>
      <c r="AH38" s="109">
        <f>SUM(AH7:AH37)</f>
        <v>12223.256241398316</v>
      </c>
    </row>
    <row r="39" spans="1:34" ht="13.5" thickBot="1" x14ac:dyDescent="0.25">
      <c r="A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P39" s="16"/>
      <c r="Q39" s="16"/>
      <c r="R39" s="16"/>
      <c r="S39" s="16"/>
      <c r="T39" s="16"/>
      <c r="U39" s="16"/>
      <c r="W39" s="66"/>
      <c r="X39" s="66"/>
      <c r="Y39" s="66"/>
      <c r="Z39" s="66"/>
      <c r="AA39" s="66"/>
      <c r="AB39" s="16"/>
      <c r="AD39" s="16"/>
      <c r="AE39" s="12"/>
      <c r="AF39" s="16"/>
      <c r="AH39" s="16"/>
    </row>
    <row r="40" spans="1:34" ht="13.5" thickBot="1" x14ac:dyDescent="0.25">
      <c r="A40" s="40" t="s">
        <v>42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90">
        <f t="shared" ref="N40:N63" si="11">SUM(C40:M40)</f>
        <v>0</v>
      </c>
      <c r="P40" s="68"/>
      <c r="Q40" s="68"/>
      <c r="R40" s="68"/>
      <c r="S40" s="68"/>
      <c r="T40" s="68"/>
      <c r="U40" s="90">
        <f t="shared" ref="U40:U63" si="12">SUM(P40:T40)</f>
        <v>0</v>
      </c>
      <c r="W40" s="68"/>
      <c r="X40" s="68"/>
      <c r="Y40" s="68"/>
      <c r="Z40" s="68">
        <f>0.35+0.35</f>
        <v>0.7</v>
      </c>
      <c r="AA40" s="68">
        <v>0.3</v>
      </c>
      <c r="AB40" s="90">
        <f t="shared" ref="AB40:AB63" si="13">SUM(W40:AA40)</f>
        <v>1</v>
      </c>
      <c r="AD40" s="97">
        <f t="shared" ref="AD40:AD63" si="14">SUM(AB40,U40,N40)</f>
        <v>1</v>
      </c>
      <c r="AE40" s="34"/>
      <c r="AF40" s="104"/>
      <c r="AH40" s="97">
        <f>SUM(AD40,AF40)</f>
        <v>1</v>
      </c>
    </row>
    <row r="41" spans="1:34" ht="13.5" thickBot="1" x14ac:dyDescent="0.25">
      <c r="A41" s="17" t="s">
        <v>43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91">
        <f t="shared" si="11"/>
        <v>0</v>
      </c>
      <c r="P41" s="70"/>
      <c r="Q41" s="70"/>
      <c r="R41" s="70"/>
      <c r="S41" s="70"/>
      <c r="T41" s="70"/>
      <c r="U41" s="91">
        <f t="shared" si="12"/>
        <v>0</v>
      </c>
      <c r="W41" s="38">
        <v>0.20119999999999999</v>
      </c>
      <c r="X41" s="38">
        <v>0.20119999999999999</v>
      </c>
      <c r="Y41" s="38">
        <v>0.20119999999999999</v>
      </c>
      <c r="Z41" s="38">
        <v>0.20119999999999999</v>
      </c>
      <c r="AA41" s="71">
        <f>2+0.2012</f>
        <v>2.2012</v>
      </c>
      <c r="AB41" s="91">
        <f t="shared" si="13"/>
        <v>3.0060000000000002</v>
      </c>
      <c r="AD41" s="98">
        <f t="shared" si="14"/>
        <v>3.0060000000000002</v>
      </c>
      <c r="AE41" s="34"/>
      <c r="AF41" s="105"/>
      <c r="AH41" s="98">
        <f t="shared" ref="AH41:AH63" si="15">SUM(AD41,AF41)</f>
        <v>3.0060000000000002</v>
      </c>
    </row>
    <row r="42" spans="1:34" ht="13.5" thickBot="1" x14ac:dyDescent="0.25">
      <c r="A42" s="17" t="s">
        <v>44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91">
        <f t="shared" si="11"/>
        <v>0</v>
      </c>
      <c r="P42" s="70"/>
      <c r="Q42" s="70"/>
      <c r="R42" s="70"/>
      <c r="S42" s="70"/>
      <c r="T42" s="70"/>
      <c r="U42" s="91">
        <f t="shared" si="12"/>
        <v>0</v>
      </c>
      <c r="W42" s="38"/>
      <c r="X42" s="38"/>
      <c r="Y42" s="38"/>
      <c r="Z42" s="38"/>
      <c r="AA42" s="71"/>
      <c r="AB42" s="91">
        <f t="shared" si="13"/>
        <v>0</v>
      </c>
      <c r="AD42" s="98">
        <f t="shared" si="14"/>
        <v>0</v>
      </c>
      <c r="AE42" s="34"/>
      <c r="AF42" s="105">
        <v>22</v>
      </c>
      <c r="AH42" s="98">
        <f t="shared" si="15"/>
        <v>22</v>
      </c>
    </row>
    <row r="43" spans="1:34" ht="13.5" thickBot="1" x14ac:dyDescent="0.25">
      <c r="A43" s="17" t="s">
        <v>45</v>
      </c>
      <c r="C43" s="69">
        <v>325</v>
      </c>
      <c r="D43" s="69">
        <v>425</v>
      </c>
      <c r="E43" s="69"/>
      <c r="F43" s="69">
        <v>3.5</v>
      </c>
      <c r="G43" s="69">
        <v>5</v>
      </c>
      <c r="H43" s="69">
        <v>154.33799999999999</v>
      </c>
      <c r="I43" s="69"/>
      <c r="J43" s="69">
        <v>75</v>
      </c>
      <c r="K43" s="69">
        <v>75</v>
      </c>
      <c r="L43" s="69">
        <v>75</v>
      </c>
      <c r="M43" s="69">
        <v>75</v>
      </c>
      <c r="N43" s="91">
        <f t="shared" si="11"/>
        <v>1212.838</v>
      </c>
      <c r="P43" s="70">
        <v>264.10000000000002</v>
      </c>
      <c r="Q43" s="70">
        <v>268.8</v>
      </c>
      <c r="R43" s="70">
        <v>283.10000000000002</v>
      </c>
      <c r="S43" s="70">
        <f>75+100.6+50</f>
        <v>225.6</v>
      </c>
      <c r="T43" s="70">
        <v>245</v>
      </c>
      <c r="U43" s="91">
        <f t="shared" si="12"/>
        <v>1286.6000000000001</v>
      </c>
      <c r="W43" s="71">
        <f>260+14.6048+2.8952+2.5</f>
        <v>280</v>
      </c>
      <c r="X43" s="71">
        <f>300+13.7578+2.5+3.7422</f>
        <v>320</v>
      </c>
      <c r="Y43" s="71">
        <f>325+15</f>
        <v>340</v>
      </c>
      <c r="Z43" s="71">
        <f>300+15+1.544372</f>
        <v>316.54437200000001</v>
      </c>
      <c r="AA43" s="71">
        <f>290+5</f>
        <v>295</v>
      </c>
      <c r="AB43" s="91">
        <f t="shared" si="13"/>
        <v>1551.5443720000001</v>
      </c>
      <c r="AD43" s="98">
        <f t="shared" si="14"/>
        <v>4050.9823720000004</v>
      </c>
      <c r="AE43" s="34"/>
      <c r="AF43" s="105"/>
      <c r="AH43" s="98">
        <f t="shared" si="15"/>
        <v>4050.9823720000004</v>
      </c>
    </row>
    <row r="44" spans="1:34" ht="26.25" thickBot="1" x14ac:dyDescent="0.25">
      <c r="A44" s="19" t="s">
        <v>46</v>
      </c>
      <c r="C44" s="69"/>
      <c r="D44" s="69"/>
      <c r="E44" s="69"/>
      <c r="F44" s="69"/>
      <c r="G44" s="69"/>
      <c r="H44" s="69"/>
      <c r="I44" s="69"/>
      <c r="J44" s="72"/>
      <c r="K44" s="70"/>
      <c r="L44" s="70"/>
      <c r="M44" s="70"/>
      <c r="N44" s="92">
        <f t="shared" si="11"/>
        <v>0</v>
      </c>
      <c r="P44" s="73"/>
      <c r="Q44" s="73">
        <v>4.3</v>
      </c>
      <c r="R44" s="73">
        <v>2.2000000000000002</v>
      </c>
      <c r="S44" s="73">
        <f>12.5+0.2754</f>
        <v>12.775399999999999</v>
      </c>
      <c r="T44" s="74">
        <v>12.5</v>
      </c>
      <c r="U44" s="92">
        <f t="shared" si="12"/>
        <v>31.775399999999998</v>
      </c>
      <c r="W44" s="74"/>
      <c r="X44" s="74"/>
      <c r="Y44" s="74"/>
      <c r="Z44" s="74"/>
      <c r="AA44" s="74"/>
      <c r="AB44" s="92">
        <f t="shared" si="13"/>
        <v>0</v>
      </c>
      <c r="AD44" s="98">
        <f t="shared" si="14"/>
        <v>31.775399999999998</v>
      </c>
      <c r="AE44" s="34"/>
      <c r="AF44" s="105"/>
      <c r="AH44" s="98">
        <f t="shared" si="15"/>
        <v>31.775399999999998</v>
      </c>
    </row>
    <row r="45" spans="1:34" ht="26.25" thickBot="1" x14ac:dyDescent="0.25">
      <c r="A45" s="36" t="s">
        <v>47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91">
        <f t="shared" si="11"/>
        <v>0</v>
      </c>
      <c r="P45" s="70"/>
      <c r="Q45" s="70"/>
      <c r="R45" s="70"/>
      <c r="S45" s="70"/>
      <c r="T45" s="71"/>
      <c r="U45" s="91">
        <f t="shared" si="12"/>
        <v>0</v>
      </c>
      <c r="W45" s="71"/>
      <c r="X45" s="71">
        <v>0.5</v>
      </c>
      <c r="Y45" s="71">
        <v>0.5</v>
      </c>
      <c r="Z45" s="71">
        <v>0.5</v>
      </c>
      <c r="AA45" s="71"/>
      <c r="AB45" s="91">
        <f t="shared" si="13"/>
        <v>1.5</v>
      </c>
      <c r="AD45" s="98">
        <f t="shared" si="14"/>
        <v>1.5</v>
      </c>
      <c r="AE45" s="34"/>
      <c r="AF45" s="105"/>
      <c r="AH45" s="98">
        <f t="shared" si="15"/>
        <v>1.5</v>
      </c>
    </row>
    <row r="46" spans="1:34" ht="13.5" thickBot="1" x14ac:dyDescent="0.25">
      <c r="A46" s="17" t="s">
        <v>48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75"/>
      <c r="N46" s="91">
        <f t="shared" si="11"/>
        <v>0</v>
      </c>
      <c r="P46" s="70"/>
      <c r="Q46" s="70">
        <v>3.2</v>
      </c>
      <c r="R46" s="70">
        <v>6.8552952600000001</v>
      </c>
      <c r="S46" s="70">
        <f>4.20525+1.5662+0.0658</f>
        <v>5.8372500000000009</v>
      </c>
      <c r="T46" s="71">
        <f>3.116+0.7803</f>
        <v>3.8963000000000001</v>
      </c>
      <c r="U46" s="91">
        <f t="shared" si="12"/>
        <v>19.788845260000002</v>
      </c>
      <c r="W46" s="71">
        <f>0.66092+1.30805+0.622055</f>
        <v>2.5910250000000001</v>
      </c>
      <c r="X46" s="71">
        <f>1.35152579+1.33697</f>
        <v>2.6884957900000002</v>
      </c>
      <c r="Y46" s="71">
        <v>1.89882</v>
      </c>
      <c r="Z46" s="71">
        <v>0.63432999999999995</v>
      </c>
      <c r="AA46" s="71"/>
      <c r="AB46" s="91">
        <f t="shared" si="13"/>
        <v>7.8126707900000003</v>
      </c>
      <c r="AD46" s="98">
        <f t="shared" si="14"/>
        <v>27.601516050000001</v>
      </c>
      <c r="AE46" s="34"/>
      <c r="AF46" s="105"/>
      <c r="AH46" s="98">
        <f t="shared" si="15"/>
        <v>27.601516050000001</v>
      </c>
    </row>
    <row r="47" spans="1:34" ht="26.25" customHeight="1" thickBot="1" x14ac:dyDescent="0.25">
      <c r="A47" s="36" t="s">
        <v>49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91">
        <f t="shared" si="11"/>
        <v>0</v>
      </c>
      <c r="P47" s="70"/>
      <c r="Q47" s="70"/>
      <c r="R47" s="70"/>
      <c r="S47" s="70">
        <f>0.8+1.2</f>
        <v>2</v>
      </c>
      <c r="T47" s="71"/>
      <c r="U47" s="91">
        <f t="shared" si="12"/>
        <v>2</v>
      </c>
      <c r="W47" s="71"/>
      <c r="X47" s="71"/>
      <c r="Y47" s="71">
        <v>0.855078</v>
      </c>
      <c r="Z47" s="71"/>
      <c r="AA47" s="71">
        <v>0.31638899999999998</v>
      </c>
      <c r="AB47" s="91">
        <f t="shared" si="13"/>
        <v>1.171467</v>
      </c>
      <c r="AD47" s="98">
        <f t="shared" si="14"/>
        <v>3.1714669999999998</v>
      </c>
      <c r="AE47" s="34"/>
      <c r="AF47" s="105"/>
      <c r="AH47" s="98">
        <f t="shared" si="15"/>
        <v>3.1714669999999998</v>
      </c>
    </row>
    <row r="48" spans="1:34" ht="26.25" thickBot="1" x14ac:dyDescent="0.25">
      <c r="A48" s="17" t="s">
        <v>50</v>
      </c>
      <c r="C48" s="69"/>
      <c r="D48" s="69"/>
      <c r="E48" s="69"/>
      <c r="F48" s="69"/>
      <c r="G48" s="69"/>
      <c r="H48" s="69"/>
      <c r="I48" s="69"/>
      <c r="J48" s="72"/>
      <c r="K48" s="70"/>
      <c r="L48" s="70"/>
      <c r="M48" s="70"/>
      <c r="N48" s="92">
        <f t="shared" si="11"/>
        <v>0</v>
      </c>
      <c r="P48" s="70">
        <v>14.077608</v>
      </c>
      <c r="Q48" s="70">
        <v>8.8254854999999992</v>
      </c>
      <c r="R48" s="70">
        <v>10.096907</v>
      </c>
      <c r="S48" s="70"/>
      <c r="T48" s="71"/>
      <c r="U48" s="92">
        <f t="shared" si="12"/>
        <v>33.000000499999999</v>
      </c>
      <c r="W48" s="71"/>
      <c r="X48" s="71">
        <v>5</v>
      </c>
      <c r="Y48" s="71"/>
      <c r="Z48" s="71"/>
      <c r="AA48" s="71"/>
      <c r="AB48" s="92">
        <f t="shared" si="13"/>
        <v>5</v>
      </c>
      <c r="AD48" s="98">
        <f t="shared" si="14"/>
        <v>38.000000499999999</v>
      </c>
      <c r="AE48" s="34"/>
      <c r="AF48" s="105"/>
      <c r="AH48" s="98">
        <f t="shared" si="15"/>
        <v>38.000000499999999</v>
      </c>
    </row>
    <row r="49" spans="1:34" ht="26.25" thickBot="1" x14ac:dyDescent="0.25">
      <c r="A49" s="36" t="s">
        <v>51</v>
      </c>
      <c r="C49" s="69"/>
      <c r="D49" s="69"/>
      <c r="E49" s="69"/>
      <c r="F49" s="69"/>
      <c r="G49" s="69"/>
      <c r="H49" s="69"/>
      <c r="I49" s="69"/>
      <c r="J49" s="72"/>
      <c r="K49" s="70"/>
      <c r="L49" s="70"/>
      <c r="M49" s="70"/>
      <c r="N49" s="92">
        <f t="shared" si="11"/>
        <v>0</v>
      </c>
      <c r="P49" s="70"/>
      <c r="Q49" s="76"/>
      <c r="R49" s="70"/>
      <c r="S49" s="70"/>
      <c r="T49" s="71"/>
      <c r="U49" s="92">
        <f t="shared" si="12"/>
        <v>0</v>
      </c>
      <c r="W49" s="71">
        <f>0.10916441+0.03383559</f>
        <v>0.14300000000000002</v>
      </c>
      <c r="X49" s="71">
        <f>0.075+0.143</f>
        <v>0.21799999999999997</v>
      </c>
      <c r="Y49" s="71">
        <f>0.211+0.5+0.143</f>
        <v>0.85399999999999998</v>
      </c>
      <c r="Z49" s="71">
        <f>0.3+0.143</f>
        <v>0.44299999999999995</v>
      </c>
      <c r="AA49" s="71"/>
      <c r="AB49" s="92">
        <f t="shared" si="13"/>
        <v>1.6579999999999999</v>
      </c>
      <c r="AD49" s="98">
        <f t="shared" si="14"/>
        <v>1.6579999999999999</v>
      </c>
      <c r="AE49" s="34"/>
      <c r="AF49" s="105"/>
      <c r="AH49" s="98">
        <f t="shared" si="15"/>
        <v>1.6579999999999999</v>
      </c>
    </row>
    <row r="50" spans="1:34" ht="13.5" thickBot="1" x14ac:dyDescent="0.25">
      <c r="A50" s="10" t="s">
        <v>52</v>
      </c>
      <c r="C50" s="69"/>
      <c r="D50" s="69"/>
      <c r="E50" s="69"/>
      <c r="F50" s="69"/>
      <c r="G50" s="69"/>
      <c r="H50" s="69"/>
      <c r="I50" s="69"/>
      <c r="J50" s="72"/>
      <c r="K50" s="70">
        <v>5.8</v>
      </c>
      <c r="L50" s="70">
        <v>5.9</v>
      </c>
      <c r="M50" s="70">
        <v>4</v>
      </c>
      <c r="N50" s="92">
        <f t="shared" si="11"/>
        <v>15.7</v>
      </c>
      <c r="P50" s="73">
        <v>3.1</v>
      </c>
      <c r="Q50" s="77">
        <v>2.8415940000000002</v>
      </c>
      <c r="R50" s="70">
        <v>2.0267418500000001</v>
      </c>
      <c r="S50" s="70">
        <f>0.08282487+1.3589+0.41790755-0.05290269</f>
        <v>1.80672973</v>
      </c>
      <c r="T50" s="71">
        <f>0.12171144+1.0905+0.10330079+0.00749712</f>
        <v>1.32300935</v>
      </c>
      <c r="U50" s="92">
        <f t="shared" si="12"/>
        <v>11.098074930000001</v>
      </c>
      <c r="W50" s="71">
        <f>0.54553356+0.02381135+1.09579371+0.52189105+0.15054668</f>
        <v>2.3375763500000004</v>
      </c>
      <c r="X50" s="71">
        <f>0.01439096+0.0742438+0.03536211+1.1219873+0.16116763+0.47137176+0.68446473</f>
        <v>2.5629882899999998</v>
      </c>
      <c r="Y50" s="71">
        <f>0.50279334+1.14379384</f>
        <v>1.64658718</v>
      </c>
      <c r="Z50" s="71">
        <f>2.1173994+1.2991243+1.0956</f>
        <v>4.5121237000000001</v>
      </c>
      <c r="AA50" s="71">
        <f>3.25925629+1.169+1.33320411+0.25327518+0.14542811</f>
        <v>6.160163690000001</v>
      </c>
      <c r="AB50" s="92">
        <f t="shared" si="13"/>
        <v>17.219439210000001</v>
      </c>
      <c r="AD50" s="98">
        <f t="shared" si="14"/>
        <v>44.017514140000003</v>
      </c>
      <c r="AE50" s="34"/>
      <c r="AF50" s="105"/>
      <c r="AH50" s="98">
        <f t="shared" si="15"/>
        <v>44.017514140000003</v>
      </c>
    </row>
    <row r="51" spans="1:34" ht="13.5" thickBot="1" x14ac:dyDescent="0.25">
      <c r="A51" s="18" t="s">
        <v>53</v>
      </c>
      <c r="C51" s="69"/>
      <c r="D51" s="69"/>
      <c r="E51" s="69"/>
      <c r="F51" s="69"/>
      <c r="G51" s="69"/>
      <c r="H51" s="69"/>
      <c r="I51" s="69"/>
      <c r="J51" s="72"/>
      <c r="K51" s="70"/>
      <c r="L51" s="70"/>
      <c r="M51" s="70"/>
      <c r="N51" s="92">
        <f t="shared" si="11"/>
        <v>0</v>
      </c>
      <c r="P51" s="73"/>
      <c r="Q51" s="73">
        <v>1.5</v>
      </c>
      <c r="R51" s="73">
        <v>2.5</v>
      </c>
      <c r="S51" s="73">
        <v>2</v>
      </c>
      <c r="T51" s="74">
        <v>1</v>
      </c>
      <c r="U51" s="92">
        <f t="shared" si="12"/>
        <v>7</v>
      </c>
      <c r="W51" s="74">
        <v>1.2</v>
      </c>
      <c r="X51" s="74">
        <v>1</v>
      </c>
      <c r="Y51" s="74"/>
      <c r="Z51" s="74">
        <v>2.0000499999999999</v>
      </c>
      <c r="AA51" s="74"/>
      <c r="AB51" s="92">
        <f t="shared" si="13"/>
        <v>4.2000500000000001</v>
      </c>
      <c r="AD51" s="98">
        <f t="shared" si="14"/>
        <v>11.200050000000001</v>
      </c>
      <c r="AE51" s="34"/>
      <c r="AF51" s="105"/>
      <c r="AH51" s="98">
        <f t="shared" si="15"/>
        <v>11.200050000000001</v>
      </c>
    </row>
    <row r="52" spans="1:34" ht="13.5" thickBot="1" x14ac:dyDescent="0.25">
      <c r="A52" s="28" t="s">
        <v>54</v>
      </c>
      <c r="C52" s="69"/>
      <c r="D52" s="69"/>
      <c r="E52" s="69"/>
      <c r="F52" s="69"/>
      <c r="G52" s="69"/>
      <c r="H52" s="69"/>
      <c r="I52" s="69"/>
      <c r="J52" s="72"/>
      <c r="K52" s="70"/>
      <c r="L52" s="70"/>
      <c r="M52" s="70"/>
      <c r="N52" s="92">
        <f t="shared" si="11"/>
        <v>0</v>
      </c>
      <c r="P52" s="73"/>
      <c r="Q52" s="73"/>
      <c r="R52" s="73"/>
      <c r="S52" s="73">
        <f>2+3+2.5</f>
        <v>7.5</v>
      </c>
      <c r="T52" s="74">
        <f>2.5+2.5+2.5</f>
        <v>7.5</v>
      </c>
      <c r="U52" s="92">
        <f t="shared" si="12"/>
        <v>15</v>
      </c>
      <c r="W52" s="74">
        <f>1.5+1+2.392+0.108+0.5</f>
        <v>5.4999999999999991</v>
      </c>
      <c r="X52" s="74">
        <f>2+2+1+2.5+2</f>
        <v>9.5</v>
      </c>
      <c r="Y52" s="74"/>
      <c r="Z52" s="74"/>
      <c r="AA52" s="74"/>
      <c r="AB52" s="92">
        <f t="shared" si="13"/>
        <v>15</v>
      </c>
      <c r="AD52" s="98">
        <f t="shared" si="14"/>
        <v>30</v>
      </c>
      <c r="AE52" s="34"/>
      <c r="AF52" s="105"/>
      <c r="AH52" s="98">
        <f t="shared" si="15"/>
        <v>30</v>
      </c>
    </row>
    <row r="53" spans="1:34" ht="26.25" thickBot="1" x14ac:dyDescent="0.25">
      <c r="A53" s="17" t="s">
        <v>55</v>
      </c>
      <c r="C53" s="69"/>
      <c r="D53" s="69"/>
      <c r="E53" s="69"/>
      <c r="F53" s="69"/>
      <c r="G53" s="69"/>
      <c r="H53" s="69"/>
      <c r="I53" s="69"/>
      <c r="J53" s="72"/>
      <c r="K53" s="70"/>
      <c r="L53" s="70"/>
      <c r="M53" s="70"/>
      <c r="N53" s="92">
        <f t="shared" si="11"/>
        <v>0</v>
      </c>
      <c r="P53" s="73"/>
      <c r="Q53" s="77"/>
      <c r="R53" s="70">
        <v>0.65</v>
      </c>
      <c r="S53" s="37">
        <v>0.45</v>
      </c>
      <c r="T53" s="71"/>
      <c r="U53" s="92">
        <f t="shared" si="12"/>
        <v>1.1000000000000001</v>
      </c>
      <c r="W53" s="71"/>
      <c r="X53" s="71"/>
      <c r="Y53" s="71"/>
      <c r="Z53" s="71"/>
      <c r="AA53" s="71"/>
      <c r="AB53" s="92">
        <f t="shared" si="13"/>
        <v>0</v>
      </c>
      <c r="AD53" s="98">
        <f t="shared" si="14"/>
        <v>1.1000000000000001</v>
      </c>
      <c r="AE53" s="34"/>
      <c r="AF53" s="105"/>
      <c r="AH53" s="98">
        <f t="shared" si="15"/>
        <v>1.1000000000000001</v>
      </c>
    </row>
    <row r="54" spans="1:34" ht="13.5" thickBot="1" x14ac:dyDescent="0.25">
      <c r="A54" s="18" t="s">
        <v>56</v>
      </c>
      <c r="C54" s="69"/>
      <c r="D54" s="69"/>
      <c r="E54" s="69"/>
      <c r="F54" s="69"/>
      <c r="G54" s="69"/>
      <c r="H54" s="69"/>
      <c r="I54" s="69"/>
      <c r="J54" s="72"/>
      <c r="K54" s="70"/>
      <c r="L54" s="70"/>
      <c r="M54" s="70"/>
      <c r="N54" s="92">
        <f t="shared" si="11"/>
        <v>0</v>
      </c>
      <c r="P54" s="73"/>
      <c r="Q54" s="73"/>
      <c r="R54" s="73"/>
      <c r="S54" s="73"/>
      <c r="T54" s="74"/>
      <c r="U54" s="92">
        <f t="shared" si="12"/>
        <v>0</v>
      </c>
      <c r="W54" s="74"/>
      <c r="X54" s="74"/>
      <c r="Y54" s="74">
        <v>1.3858200000000001</v>
      </c>
      <c r="Z54" s="74"/>
      <c r="AA54" s="74"/>
      <c r="AB54" s="92">
        <f t="shared" si="13"/>
        <v>1.3858200000000001</v>
      </c>
      <c r="AD54" s="98">
        <f t="shared" si="14"/>
        <v>1.3858200000000001</v>
      </c>
      <c r="AE54" s="34"/>
      <c r="AF54" s="105"/>
      <c r="AH54" s="98">
        <f t="shared" si="15"/>
        <v>1.3858200000000001</v>
      </c>
    </row>
    <row r="55" spans="1:34" ht="13.5" thickBot="1" x14ac:dyDescent="0.25">
      <c r="A55" s="10" t="s">
        <v>57</v>
      </c>
      <c r="C55" s="69"/>
      <c r="D55" s="69"/>
      <c r="E55" s="69"/>
      <c r="F55" s="69"/>
      <c r="G55" s="69"/>
      <c r="H55" s="69"/>
      <c r="I55" s="69"/>
      <c r="J55" s="72"/>
      <c r="K55" s="70"/>
      <c r="L55" s="70"/>
      <c r="M55" s="70"/>
      <c r="N55" s="92">
        <f t="shared" si="11"/>
        <v>0</v>
      </c>
      <c r="P55" s="73"/>
      <c r="Q55" s="77"/>
      <c r="R55" s="70"/>
      <c r="S55" s="70"/>
      <c r="T55" s="71">
        <v>1.05</v>
      </c>
      <c r="U55" s="92">
        <f t="shared" si="12"/>
        <v>1.05</v>
      </c>
      <c r="W55" s="71">
        <f>0.1+2</f>
        <v>2.1</v>
      </c>
      <c r="X55" s="71">
        <v>2</v>
      </c>
      <c r="Y55" s="71">
        <f>0.5+0.5+0.9</f>
        <v>1.9</v>
      </c>
      <c r="Z55" s="38">
        <v>0.1</v>
      </c>
      <c r="AA55" s="71"/>
      <c r="AB55" s="92">
        <f t="shared" si="13"/>
        <v>6.1</v>
      </c>
      <c r="AD55" s="98">
        <f t="shared" si="14"/>
        <v>7.1499999999999995</v>
      </c>
      <c r="AE55" s="34"/>
      <c r="AF55" s="105"/>
      <c r="AH55" s="98">
        <f t="shared" si="15"/>
        <v>7.1499999999999995</v>
      </c>
    </row>
    <row r="56" spans="1:34" ht="13.5" thickBot="1" x14ac:dyDescent="0.25">
      <c r="A56" s="28" t="s">
        <v>58</v>
      </c>
      <c r="C56" s="69"/>
      <c r="D56" s="69"/>
      <c r="E56" s="69"/>
      <c r="F56" s="69"/>
      <c r="G56" s="69"/>
      <c r="H56" s="69"/>
      <c r="I56" s="69"/>
      <c r="J56" s="72"/>
      <c r="K56" s="70"/>
      <c r="L56" s="70"/>
      <c r="M56" s="70"/>
      <c r="N56" s="92">
        <f t="shared" si="11"/>
        <v>0</v>
      </c>
      <c r="P56" s="73"/>
      <c r="Q56" s="73"/>
      <c r="R56" s="73"/>
      <c r="S56" s="73"/>
      <c r="T56" s="74"/>
      <c r="U56" s="92">
        <f t="shared" si="12"/>
        <v>0</v>
      </c>
      <c r="W56" s="74"/>
      <c r="X56" s="74"/>
      <c r="Y56" s="74"/>
      <c r="Z56" s="74"/>
      <c r="AA56" s="74"/>
      <c r="AB56" s="92">
        <f t="shared" si="13"/>
        <v>0</v>
      </c>
      <c r="AD56" s="98">
        <f t="shared" si="14"/>
        <v>0</v>
      </c>
      <c r="AE56" s="34"/>
      <c r="AF56" s="105">
        <v>30</v>
      </c>
      <c r="AH56" s="98">
        <f t="shared" si="15"/>
        <v>30</v>
      </c>
    </row>
    <row r="57" spans="1:34" ht="13.5" thickBot="1" x14ac:dyDescent="0.25">
      <c r="A57" s="10" t="s">
        <v>59</v>
      </c>
      <c r="C57" s="69"/>
      <c r="D57" s="69"/>
      <c r="E57" s="69"/>
      <c r="F57" s="69"/>
      <c r="G57" s="69"/>
      <c r="H57" s="69"/>
      <c r="I57" s="69"/>
      <c r="J57" s="72"/>
      <c r="K57" s="70"/>
      <c r="L57" s="70"/>
      <c r="M57" s="70"/>
      <c r="N57" s="92">
        <f t="shared" si="11"/>
        <v>0</v>
      </c>
      <c r="P57" s="73"/>
      <c r="Q57" s="77"/>
      <c r="R57" s="70"/>
      <c r="S57" s="70"/>
      <c r="T57" s="71"/>
      <c r="U57" s="92">
        <f t="shared" si="12"/>
        <v>0</v>
      </c>
      <c r="W57" s="71"/>
      <c r="X57" s="71"/>
      <c r="Y57" s="71"/>
      <c r="Z57" s="71">
        <v>3</v>
      </c>
      <c r="AA57" s="71"/>
      <c r="AB57" s="92">
        <f t="shared" si="13"/>
        <v>3</v>
      </c>
      <c r="AD57" s="98">
        <f t="shared" si="14"/>
        <v>3</v>
      </c>
      <c r="AE57" s="34"/>
      <c r="AF57" s="105"/>
      <c r="AH57" s="98">
        <f t="shared" si="15"/>
        <v>3</v>
      </c>
    </row>
    <row r="58" spans="1:34" ht="13.5" thickBot="1" x14ac:dyDescent="0.25">
      <c r="A58" s="18" t="s">
        <v>60</v>
      </c>
      <c r="C58" s="69"/>
      <c r="D58" s="69"/>
      <c r="E58" s="69"/>
      <c r="F58" s="69"/>
      <c r="G58" s="69"/>
      <c r="H58" s="69"/>
      <c r="I58" s="69"/>
      <c r="J58" s="72"/>
      <c r="K58" s="70"/>
      <c r="L58" s="70"/>
      <c r="M58" s="70"/>
      <c r="N58" s="92">
        <f t="shared" si="11"/>
        <v>0</v>
      </c>
      <c r="P58" s="73"/>
      <c r="Q58" s="77"/>
      <c r="R58" s="70"/>
      <c r="S58" s="70"/>
      <c r="T58" s="71"/>
      <c r="U58" s="92">
        <f t="shared" si="12"/>
        <v>0</v>
      </c>
      <c r="W58" s="71"/>
      <c r="X58" s="71"/>
      <c r="Y58" s="71"/>
      <c r="Z58" s="71"/>
      <c r="AA58" s="71"/>
      <c r="AB58" s="92">
        <f t="shared" si="13"/>
        <v>0</v>
      </c>
      <c r="AD58" s="98">
        <f t="shared" si="14"/>
        <v>0</v>
      </c>
      <c r="AE58" s="34"/>
      <c r="AF58" s="105">
        <v>10</v>
      </c>
      <c r="AH58" s="98">
        <f t="shared" si="15"/>
        <v>10</v>
      </c>
    </row>
    <row r="59" spans="1:34" ht="13.5" thickBot="1" x14ac:dyDescent="0.25">
      <c r="A59" s="28" t="s">
        <v>61</v>
      </c>
      <c r="C59" s="69"/>
      <c r="D59" s="69"/>
      <c r="E59" s="69"/>
      <c r="F59" s="69"/>
      <c r="G59" s="69"/>
      <c r="H59" s="69"/>
      <c r="I59" s="69"/>
      <c r="J59" s="72"/>
      <c r="K59" s="70"/>
      <c r="L59" s="70"/>
      <c r="M59" s="70"/>
      <c r="N59" s="92">
        <f t="shared" ref="N59" si="16">SUM(C59:M59)</f>
        <v>0</v>
      </c>
      <c r="P59" s="73"/>
      <c r="Q59" s="73"/>
      <c r="R59" s="73"/>
      <c r="S59" s="73"/>
      <c r="T59" s="74"/>
      <c r="U59" s="92">
        <f t="shared" ref="U59" si="17">SUM(P59:T59)</f>
        <v>0</v>
      </c>
      <c r="W59" s="74"/>
      <c r="X59" s="74"/>
      <c r="Y59" s="74"/>
      <c r="Z59" s="74"/>
      <c r="AA59" s="74">
        <v>5</v>
      </c>
      <c r="AB59" s="92">
        <f t="shared" ref="AB59" si="18">SUM(W59:AA59)</f>
        <v>5</v>
      </c>
      <c r="AD59" s="98">
        <f t="shared" ref="AD59" si="19">SUM(AB59,U59,N59)</f>
        <v>5</v>
      </c>
      <c r="AE59" s="34"/>
      <c r="AF59" s="105">
        <v>5</v>
      </c>
      <c r="AH59" s="98">
        <f t="shared" ref="AH59" si="20">SUM(AD59,AF59)</f>
        <v>10</v>
      </c>
    </row>
    <row r="60" spans="1:34" ht="13.5" thickBot="1" x14ac:dyDescent="0.25">
      <c r="A60" s="28" t="s">
        <v>62</v>
      </c>
      <c r="C60" s="69"/>
      <c r="D60" s="69"/>
      <c r="E60" s="69"/>
      <c r="F60" s="69"/>
      <c r="G60" s="69"/>
      <c r="H60" s="69"/>
      <c r="I60" s="69"/>
      <c r="J60" s="72"/>
      <c r="K60" s="70"/>
      <c r="L60" s="70"/>
      <c r="M60" s="70"/>
      <c r="N60" s="92">
        <f t="shared" si="11"/>
        <v>0</v>
      </c>
      <c r="P60" s="73"/>
      <c r="Q60" s="73"/>
      <c r="R60" s="73"/>
      <c r="S60" s="73"/>
      <c r="T60" s="74"/>
      <c r="U60" s="92">
        <f t="shared" si="12"/>
        <v>0</v>
      </c>
      <c r="W60" s="74"/>
      <c r="X60" s="74"/>
      <c r="Y60" s="74"/>
      <c r="Z60" s="74"/>
      <c r="AA60" s="74"/>
      <c r="AB60" s="92">
        <f t="shared" si="13"/>
        <v>0</v>
      </c>
      <c r="AD60" s="98">
        <f t="shared" si="14"/>
        <v>0</v>
      </c>
      <c r="AE60" s="34"/>
      <c r="AF60" s="105">
        <v>3.2370000000000001E-4</v>
      </c>
      <c r="AH60" s="98">
        <f t="shared" si="15"/>
        <v>3.2370000000000001E-4</v>
      </c>
    </row>
    <row r="61" spans="1:34" ht="15" thickBot="1" x14ac:dyDescent="0.25">
      <c r="A61" s="29" t="s">
        <v>63</v>
      </c>
      <c r="C61" s="69"/>
      <c r="D61" s="69"/>
      <c r="E61" s="69"/>
      <c r="F61" s="69"/>
      <c r="G61" s="69"/>
      <c r="H61" s="69"/>
      <c r="I61" s="69"/>
      <c r="J61" s="72"/>
      <c r="K61" s="70"/>
      <c r="L61" s="70"/>
      <c r="M61" s="70"/>
      <c r="N61" s="92">
        <f t="shared" si="11"/>
        <v>0</v>
      </c>
      <c r="P61" s="73"/>
      <c r="Q61" s="77"/>
      <c r="R61" s="70"/>
      <c r="S61" s="70"/>
      <c r="T61" s="71"/>
      <c r="U61" s="92">
        <f t="shared" si="12"/>
        <v>0</v>
      </c>
      <c r="W61" s="71">
        <v>1.0444</v>
      </c>
      <c r="X61" s="71">
        <v>1.10490844</v>
      </c>
      <c r="Y61" s="71">
        <v>1.0774045000000001</v>
      </c>
      <c r="Z61" s="71">
        <v>0.55359999999999998</v>
      </c>
      <c r="AA61" s="71">
        <f>1.0259925+0.6058</f>
        <v>1.6317925</v>
      </c>
      <c r="AB61" s="92">
        <f t="shared" si="13"/>
        <v>5.4121054399999995</v>
      </c>
      <c r="AD61" s="98">
        <f t="shared" si="14"/>
        <v>5.4121054399999995</v>
      </c>
      <c r="AE61" s="34"/>
      <c r="AF61" s="105"/>
      <c r="AH61" s="98">
        <f t="shared" si="15"/>
        <v>5.4121054399999995</v>
      </c>
    </row>
    <row r="62" spans="1:34" ht="13.5" thickBot="1" x14ac:dyDescent="0.25">
      <c r="A62" s="28" t="s">
        <v>64</v>
      </c>
      <c r="C62" s="69"/>
      <c r="D62" s="69"/>
      <c r="E62" s="69"/>
      <c r="F62" s="69"/>
      <c r="G62" s="69"/>
      <c r="H62" s="69"/>
      <c r="I62" s="69"/>
      <c r="J62" s="72"/>
      <c r="K62" s="70"/>
      <c r="L62" s="70"/>
      <c r="M62" s="70"/>
      <c r="N62" s="92">
        <f t="shared" ref="N62" si="21">SUM(C62:M62)</f>
        <v>0</v>
      </c>
      <c r="P62" s="73"/>
      <c r="Q62" s="73"/>
      <c r="R62" s="73"/>
      <c r="S62" s="73"/>
      <c r="T62" s="74"/>
      <c r="U62" s="92">
        <f t="shared" ref="U62" si="22">SUM(P62:T62)</f>
        <v>0</v>
      </c>
      <c r="W62" s="74"/>
      <c r="X62" s="74"/>
      <c r="Y62" s="74"/>
      <c r="Z62" s="74"/>
      <c r="AA62" s="74">
        <v>0.75</v>
      </c>
      <c r="AB62" s="92">
        <f t="shared" ref="AB62" si="23">SUM(W62:AA62)</f>
        <v>0.75</v>
      </c>
      <c r="AD62" s="98">
        <f t="shared" si="14"/>
        <v>0.75</v>
      </c>
      <c r="AE62" s="34"/>
      <c r="AF62" s="105"/>
      <c r="AH62" s="98">
        <f t="shared" si="15"/>
        <v>0.75</v>
      </c>
    </row>
    <row r="63" spans="1:34" ht="15" thickBot="1" x14ac:dyDescent="0.25">
      <c r="A63" s="27" t="s">
        <v>65</v>
      </c>
      <c r="C63" s="103">
        <v>0.02</v>
      </c>
      <c r="D63" s="70"/>
      <c r="E63" s="70">
        <v>1.6303609999999999</v>
      </c>
      <c r="F63" s="70">
        <v>2.5808469999999999</v>
      </c>
      <c r="G63" s="70">
        <v>1.805051</v>
      </c>
      <c r="H63" s="37">
        <v>0.47348000000000001</v>
      </c>
      <c r="I63" s="70">
        <v>1.904352</v>
      </c>
      <c r="J63" s="70">
        <v>1.1000000000000001</v>
      </c>
      <c r="K63" s="70">
        <v>0.8</v>
      </c>
      <c r="L63" s="70">
        <v>1</v>
      </c>
      <c r="M63" s="70">
        <v>1</v>
      </c>
      <c r="N63" s="92">
        <f t="shared" si="11"/>
        <v>12.314090999999999</v>
      </c>
      <c r="P63" s="70">
        <v>4.1880000000000006</v>
      </c>
      <c r="Q63" s="70">
        <v>3.4104000000000001</v>
      </c>
      <c r="R63" s="70">
        <v>5.7363503400000004</v>
      </c>
      <c r="S63" s="70">
        <v>2.32958709</v>
      </c>
      <c r="T63" s="71">
        <v>0.85855387000000005</v>
      </c>
      <c r="U63" s="92">
        <f t="shared" si="12"/>
        <v>16.522891300000001</v>
      </c>
      <c r="W63" s="38">
        <v>0.12480490000000002</v>
      </c>
      <c r="X63" s="38">
        <v>0.18140292</v>
      </c>
      <c r="Y63" s="38">
        <v>8.4956599999999993E-2</v>
      </c>
      <c r="Z63" s="71">
        <f>0.68882139+0.5+0.25</f>
        <v>1.43882139</v>
      </c>
      <c r="AA63" s="71">
        <v>1.1763695000000001</v>
      </c>
      <c r="AB63" s="92">
        <f t="shared" si="13"/>
        <v>3.00635531</v>
      </c>
      <c r="AD63" s="99">
        <f t="shared" si="14"/>
        <v>31.843337609999999</v>
      </c>
      <c r="AE63" s="34"/>
      <c r="AF63" s="105">
        <v>4.3314999999999999E-2</v>
      </c>
      <c r="AH63" s="99">
        <f t="shared" si="15"/>
        <v>31.886652609999999</v>
      </c>
    </row>
    <row r="64" spans="1:34" ht="13.5" thickBot="1" x14ac:dyDescent="0.25">
      <c r="A64" s="14" t="s">
        <v>66</v>
      </c>
      <c r="C64" s="78">
        <f t="shared" ref="C64:AD64" si="24">SUM(C40:C63)</f>
        <v>325.02</v>
      </c>
      <c r="D64" s="78">
        <f t="shared" si="24"/>
        <v>425</v>
      </c>
      <c r="E64" s="78">
        <f t="shared" si="24"/>
        <v>1.6303609999999999</v>
      </c>
      <c r="F64" s="78">
        <f t="shared" si="24"/>
        <v>6.0808470000000003</v>
      </c>
      <c r="G64" s="78">
        <f t="shared" si="24"/>
        <v>6.8050509999999997</v>
      </c>
      <c r="H64" s="78">
        <f t="shared" si="24"/>
        <v>154.81147999999999</v>
      </c>
      <c r="I64" s="78">
        <f t="shared" si="24"/>
        <v>1.904352</v>
      </c>
      <c r="J64" s="78">
        <f t="shared" si="24"/>
        <v>76.099999999999994</v>
      </c>
      <c r="K64" s="78">
        <f t="shared" si="24"/>
        <v>81.599999999999994</v>
      </c>
      <c r="L64" s="78">
        <f t="shared" si="24"/>
        <v>81.900000000000006</v>
      </c>
      <c r="M64" s="78">
        <f t="shared" si="24"/>
        <v>80</v>
      </c>
      <c r="N64" s="110">
        <f t="shared" si="24"/>
        <v>1240.852091</v>
      </c>
      <c r="P64" s="78">
        <f t="shared" si="24"/>
        <v>285.46560800000003</v>
      </c>
      <c r="Q64" s="78">
        <f t="shared" si="24"/>
        <v>292.87747949999999</v>
      </c>
      <c r="R64" s="78">
        <f t="shared" si="24"/>
        <v>313.16529444999998</v>
      </c>
      <c r="S64" s="78">
        <f t="shared" si="24"/>
        <v>260.29896681999998</v>
      </c>
      <c r="T64" s="78">
        <f t="shared" si="24"/>
        <v>273.12786321999999</v>
      </c>
      <c r="U64" s="110">
        <f t="shared" si="24"/>
        <v>1424.93521199</v>
      </c>
      <c r="W64" s="78">
        <f t="shared" si="24"/>
        <v>295.24200624999997</v>
      </c>
      <c r="X64" s="78">
        <f t="shared" si="24"/>
        <v>344.95699543999996</v>
      </c>
      <c r="Y64" s="78">
        <f t="shared" si="24"/>
        <v>350.40386627999993</v>
      </c>
      <c r="Z64" s="78">
        <f t="shared" si="24"/>
        <v>330.62749709000002</v>
      </c>
      <c r="AA64" s="78">
        <f t="shared" si="24"/>
        <v>312.53591469000003</v>
      </c>
      <c r="AB64" s="110">
        <f t="shared" si="24"/>
        <v>1633.7662797499997</v>
      </c>
      <c r="AD64" s="109">
        <f t="shared" si="24"/>
        <v>4299.5535827400017</v>
      </c>
      <c r="AE64" s="12"/>
      <c r="AF64" s="111">
        <f>SUM(AF40:AF63)</f>
        <v>67.043638700000002</v>
      </c>
      <c r="AH64" s="109">
        <f>SUM(AH40:AH63)</f>
        <v>4366.5972214400017</v>
      </c>
    </row>
    <row r="65" spans="1:34" ht="13.5" thickBot="1" x14ac:dyDescent="0.25">
      <c r="A65" s="15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20"/>
      <c r="P65" s="79"/>
      <c r="Q65" s="79"/>
      <c r="R65" s="79"/>
      <c r="S65" s="79"/>
      <c r="T65" s="79"/>
      <c r="U65" s="20"/>
      <c r="W65" s="79"/>
      <c r="X65" s="79"/>
      <c r="Y65" s="79"/>
      <c r="Z65" s="79"/>
      <c r="AA65" s="79"/>
      <c r="AB65" s="20"/>
      <c r="AD65" s="112"/>
      <c r="AE65" s="12"/>
      <c r="AF65" s="107"/>
      <c r="AH65" s="114"/>
    </row>
    <row r="66" spans="1:34" ht="13.5" thickBot="1" x14ac:dyDescent="0.25">
      <c r="A66" s="21" t="s">
        <v>67</v>
      </c>
      <c r="C66" s="80">
        <f t="shared" ref="C66:AH66" si="25">C38+C64</f>
        <v>329.48339999999996</v>
      </c>
      <c r="D66" s="80">
        <f t="shared" si="25"/>
        <v>518.08656439000004</v>
      </c>
      <c r="E66" s="80">
        <f t="shared" si="25"/>
        <v>107.88534496</v>
      </c>
      <c r="F66" s="80">
        <f t="shared" si="25"/>
        <v>116.99487873000001</v>
      </c>
      <c r="G66" s="80">
        <f t="shared" si="25"/>
        <v>167.20320235999998</v>
      </c>
      <c r="H66" s="80">
        <f t="shared" si="25"/>
        <v>429.73539605999997</v>
      </c>
      <c r="I66" s="80">
        <f t="shared" si="25"/>
        <v>218.10446149000003</v>
      </c>
      <c r="J66" s="80">
        <f t="shared" si="25"/>
        <v>358.39137800000003</v>
      </c>
      <c r="K66" s="80">
        <f t="shared" si="25"/>
        <v>350.92929426000001</v>
      </c>
      <c r="L66" s="80">
        <f t="shared" si="25"/>
        <v>337.88825982000003</v>
      </c>
      <c r="M66" s="80">
        <f t="shared" si="25"/>
        <v>332.64002400000004</v>
      </c>
      <c r="N66" s="108">
        <f t="shared" si="25"/>
        <v>3267.3422040699998</v>
      </c>
      <c r="P66" s="80">
        <f t="shared" si="25"/>
        <v>798.35660800000005</v>
      </c>
      <c r="Q66" s="80">
        <f t="shared" si="25"/>
        <v>908.0821338400001</v>
      </c>
      <c r="R66" s="80">
        <f t="shared" si="25"/>
        <v>1307.5018276000001</v>
      </c>
      <c r="S66" s="80">
        <f t="shared" si="25"/>
        <v>1181.1065951600001</v>
      </c>
      <c r="T66" s="80">
        <f t="shared" si="25"/>
        <v>1275.10837741</v>
      </c>
      <c r="U66" s="108">
        <f t="shared" si="25"/>
        <v>5470.1555420099994</v>
      </c>
      <c r="W66" s="80">
        <f t="shared" si="25"/>
        <v>1468.4981930200001</v>
      </c>
      <c r="X66" s="80">
        <f t="shared" si="25"/>
        <v>1470.50115691</v>
      </c>
      <c r="Y66" s="80">
        <f t="shared" si="25"/>
        <v>1488.3740361124999</v>
      </c>
      <c r="Z66" s="80">
        <f t="shared" si="25"/>
        <v>1610.6591853100003</v>
      </c>
      <c r="AA66" s="80">
        <f t="shared" si="25"/>
        <v>1463.2435690758161</v>
      </c>
      <c r="AB66" s="108">
        <f t="shared" si="25"/>
        <v>7501.2761404283156</v>
      </c>
      <c r="AD66" s="108">
        <f t="shared" si="25"/>
        <v>16238.773886508317</v>
      </c>
      <c r="AE66" s="12"/>
      <c r="AF66" s="111">
        <f t="shared" si="25"/>
        <v>351.07957633000001</v>
      </c>
      <c r="AH66" s="108">
        <f t="shared" si="25"/>
        <v>16589.853462838317</v>
      </c>
    </row>
    <row r="67" spans="1:34" ht="13.5" thickBot="1" x14ac:dyDescent="0.25">
      <c r="A67" s="22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20"/>
      <c r="P67" s="79"/>
      <c r="Q67" s="79"/>
      <c r="R67" s="79"/>
      <c r="S67" s="79"/>
      <c r="T67" s="79"/>
      <c r="U67" s="20"/>
      <c r="W67" s="79"/>
      <c r="X67" s="79"/>
      <c r="Y67" s="79"/>
      <c r="Z67" s="79"/>
      <c r="AA67" s="79"/>
      <c r="AB67" s="20"/>
      <c r="AD67" s="20"/>
      <c r="AE67" s="12"/>
    </row>
    <row r="68" spans="1:34" ht="15" thickBot="1" x14ac:dyDescent="0.25">
      <c r="A68" s="23" t="s">
        <v>68</v>
      </c>
      <c r="C68" s="65"/>
      <c r="D68" s="65"/>
      <c r="E68" s="65"/>
      <c r="F68" s="65"/>
      <c r="G68" s="65"/>
      <c r="H68" s="65"/>
      <c r="I68" s="65">
        <v>524.74928499999999</v>
      </c>
      <c r="J68" s="65">
        <v>428.268866</v>
      </c>
      <c r="K68" s="65">
        <v>272.63813299999998</v>
      </c>
      <c r="L68" s="65">
        <v>330.02699999999999</v>
      </c>
      <c r="M68" s="65">
        <v>320</v>
      </c>
      <c r="N68" s="109">
        <f t="shared" ref="N68:N69" si="26">SUM(C68:M68)</f>
        <v>1875.683284</v>
      </c>
      <c r="P68" s="65">
        <v>300</v>
      </c>
      <c r="Q68" s="65">
        <v>100</v>
      </c>
      <c r="R68" s="65">
        <v>200</v>
      </c>
      <c r="S68" s="81">
        <v>0</v>
      </c>
      <c r="T68" s="81">
        <v>0</v>
      </c>
      <c r="U68" s="109">
        <f t="shared" ref="U68:U69" si="27">SUM(P68:T68)</f>
        <v>600</v>
      </c>
      <c r="W68" s="81">
        <v>100</v>
      </c>
      <c r="X68" s="81">
        <v>0</v>
      </c>
      <c r="Y68" s="81">
        <v>50</v>
      </c>
      <c r="Z68" s="81">
        <f>65.69998245+250</f>
        <v>315.69998244999999</v>
      </c>
      <c r="AA68" s="81">
        <f>200+200.36460762+6.07750001</f>
        <v>406.44210763000001</v>
      </c>
      <c r="AB68" s="109">
        <f t="shared" ref="AB68:AB69" si="28">SUM(W68:AA68)</f>
        <v>872.14209008</v>
      </c>
      <c r="AD68" s="109">
        <f>SUM(AB68,U68,N68)</f>
        <v>3347.8253740800001</v>
      </c>
      <c r="AE68" s="9"/>
    </row>
    <row r="69" spans="1:34" ht="15" thickBot="1" x14ac:dyDescent="0.25">
      <c r="A69" s="23" t="s">
        <v>69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>
        <v>42.877049999999997</v>
      </c>
      <c r="N69" s="109">
        <f t="shared" si="26"/>
        <v>42.877049999999997</v>
      </c>
      <c r="P69" s="65">
        <f>128165700/1000000</f>
        <v>128.16569999999999</v>
      </c>
      <c r="Q69" s="65">
        <v>223.5</v>
      </c>
      <c r="R69" s="65">
        <v>214.42</v>
      </c>
      <c r="S69" s="65">
        <f>25+65+6+36.72+105</f>
        <v>237.72</v>
      </c>
      <c r="T69" s="65">
        <f>10+100+12.96</f>
        <v>122.96000000000001</v>
      </c>
      <c r="U69" s="109">
        <f t="shared" si="27"/>
        <v>926.76570000000004</v>
      </c>
      <c r="W69" s="65">
        <f>17+73+8.5+8.64</f>
        <v>107.14</v>
      </c>
      <c r="X69" s="65">
        <f>18.21725+16.5</f>
        <v>34.71725</v>
      </c>
      <c r="Y69" s="65">
        <f>25+20+11.5425</f>
        <v>56.542500000000004</v>
      </c>
      <c r="Z69" s="65">
        <f>55+7.695+6.7625</f>
        <v>69.457499999999996</v>
      </c>
      <c r="AA69" s="65">
        <f>27+48</f>
        <v>75</v>
      </c>
      <c r="AB69" s="109">
        <f t="shared" si="28"/>
        <v>342.85724999999996</v>
      </c>
      <c r="AD69" s="109">
        <f>SUM(AB69,U69,N69)</f>
        <v>1312.5</v>
      </c>
      <c r="AE69" s="9"/>
      <c r="AF69" s="39"/>
    </row>
    <row r="70" spans="1:34" ht="13.5" thickBot="1" x14ac:dyDescent="0.25">
      <c r="A70" s="22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16"/>
      <c r="P70" s="66"/>
      <c r="Q70" s="66"/>
      <c r="R70" s="66"/>
      <c r="S70" s="66"/>
      <c r="T70" s="66"/>
      <c r="U70" s="16"/>
      <c r="W70" s="66"/>
      <c r="X70" s="66"/>
      <c r="Y70" s="66"/>
      <c r="Z70" s="66"/>
      <c r="AA70" s="66"/>
      <c r="AB70" s="16"/>
      <c r="AD70" s="16"/>
      <c r="AE70" s="12"/>
    </row>
    <row r="71" spans="1:34" ht="13.5" thickBot="1" x14ac:dyDescent="0.25">
      <c r="A71" s="24" t="s">
        <v>70</v>
      </c>
      <c r="C71" s="82">
        <f t="shared" ref="C71:AD71" si="29">SUM(C66:C69)</f>
        <v>329.48339999999996</v>
      </c>
      <c r="D71" s="82">
        <f t="shared" si="29"/>
        <v>518.08656439000004</v>
      </c>
      <c r="E71" s="82">
        <f t="shared" si="29"/>
        <v>107.88534496</v>
      </c>
      <c r="F71" s="82">
        <f t="shared" si="29"/>
        <v>116.99487873000001</v>
      </c>
      <c r="G71" s="82">
        <f t="shared" si="29"/>
        <v>167.20320235999998</v>
      </c>
      <c r="H71" s="82">
        <f t="shared" si="29"/>
        <v>429.73539605999997</v>
      </c>
      <c r="I71" s="82">
        <f t="shared" si="29"/>
        <v>742.85374649000005</v>
      </c>
      <c r="J71" s="82">
        <f t="shared" si="29"/>
        <v>786.66024400000003</v>
      </c>
      <c r="K71" s="82">
        <f t="shared" si="29"/>
        <v>623.56742725999993</v>
      </c>
      <c r="L71" s="82">
        <f t="shared" si="29"/>
        <v>667.91525982000007</v>
      </c>
      <c r="M71" s="82">
        <f t="shared" si="29"/>
        <v>695.51707400000009</v>
      </c>
      <c r="N71" s="108">
        <f t="shared" si="29"/>
        <v>5185.9025380699995</v>
      </c>
      <c r="P71" s="82">
        <f t="shared" si="29"/>
        <v>1226.5223080000001</v>
      </c>
      <c r="Q71" s="82">
        <f t="shared" si="29"/>
        <v>1231.5821338400001</v>
      </c>
      <c r="R71" s="82">
        <f t="shared" si="29"/>
        <v>1721.9218276000001</v>
      </c>
      <c r="S71" s="82">
        <f t="shared" si="29"/>
        <v>1418.8265951600001</v>
      </c>
      <c r="T71" s="82">
        <f t="shared" si="29"/>
        <v>1398.06837741</v>
      </c>
      <c r="U71" s="108">
        <f t="shared" si="29"/>
        <v>6996.9212420099993</v>
      </c>
      <c r="W71" s="82">
        <f t="shared" si="29"/>
        <v>1675.6381930200002</v>
      </c>
      <c r="X71" s="82">
        <f t="shared" si="29"/>
        <v>1505.2184069099999</v>
      </c>
      <c r="Y71" s="82">
        <f t="shared" si="29"/>
        <v>1594.9165361124999</v>
      </c>
      <c r="Z71" s="82">
        <f t="shared" si="29"/>
        <v>1995.8166677600002</v>
      </c>
      <c r="AA71" s="82">
        <f t="shared" si="29"/>
        <v>1944.6856767058161</v>
      </c>
      <c r="AB71" s="108">
        <f t="shared" si="29"/>
        <v>8716.275480508315</v>
      </c>
      <c r="AD71" s="108">
        <f t="shared" si="29"/>
        <v>20899.099260588318</v>
      </c>
      <c r="AE71" s="12"/>
      <c r="AF71" s="115"/>
    </row>
    <row r="72" spans="1:34" x14ac:dyDescent="0.2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P72" s="25"/>
      <c r="Q72" s="25"/>
      <c r="R72" s="25"/>
      <c r="S72" s="25"/>
      <c r="T72" s="25"/>
      <c r="U72" s="25"/>
      <c r="W72" s="25"/>
      <c r="X72" s="25"/>
      <c r="Y72" s="25"/>
      <c r="Z72" s="25"/>
      <c r="AA72" s="25"/>
      <c r="AB72" s="25"/>
      <c r="AD72" s="25"/>
    </row>
    <row r="73" spans="1:34" ht="14.25" customHeight="1" x14ac:dyDescent="0.2">
      <c r="A73" s="26" t="s">
        <v>71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P73" s="25"/>
      <c r="Q73" s="25"/>
      <c r="R73" s="25"/>
      <c r="S73" s="25"/>
      <c r="T73" s="25"/>
      <c r="U73" s="25"/>
      <c r="W73" s="25"/>
      <c r="X73" s="25"/>
      <c r="Y73" s="25"/>
      <c r="Z73" s="25"/>
      <c r="AA73" s="25"/>
      <c r="AB73" s="25"/>
      <c r="AD73" s="25"/>
      <c r="AE73" s="25"/>
      <c r="AF73" s="12"/>
    </row>
    <row r="74" spans="1:34" ht="30" customHeight="1" x14ac:dyDescent="0.2">
      <c r="A74" s="118" t="s">
        <v>72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</row>
    <row r="75" spans="1:34" ht="18.75" customHeight="1" x14ac:dyDescent="0.2">
      <c r="A75" s="26" t="s">
        <v>73</v>
      </c>
      <c r="L75" s="4"/>
      <c r="M75" s="4"/>
      <c r="N75" s="4"/>
      <c r="P75" s="4"/>
      <c r="Q75" s="4"/>
      <c r="R75" s="4"/>
      <c r="S75" s="4"/>
      <c r="T75" s="4"/>
      <c r="U75" s="4"/>
      <c r="W75" s="4"/>
      <c r="X75" s="4"/>
      <c r="Y75" s="4"/>
      <c r="Z75" s="4"/>
      <c r="AA75" s="4"/>
      <c r="AB75" s="4"/>
    </row>
    <row r="76" spans="1:34" ht="56.25" customHeight="1" x14ac:dyDescent="0.2">
      <c r="A76" s="118" t="s">
        <v>74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</row>
    <row r="77" spans="1:34" ht="20.25" customHeight="1" x14ac:dyDescent="0.2">
      <c r="A77" s="26" t="s">
        <v>75</v>
      </c>
    </row>
    <row r="80" spans="1:34" ht="42" customHeight="1" x14ac:dyDescent="0.35">
      <c r="A80" s="32" t="s">
        <v>76</v>
      </c>
    </row>
    <row r="81" spans="1:31" ht="15.75" x14ac:dyDescent="0.25">
      <c r="A81" s="2" t="s">
        <v>1</v>
      </c>
      <c r="P81" s="1"/>
      <c r="Q81" s="1"/>
      <c r="R81" s="1"/>
      <c r="S81" s="1"/>
      <c r="T81" s="1"/>
      <c r="W81" s="1"/>
      <c r="X81" s="1"/>
      <c r="Y81" s="1"/>
      <c r="Z81" s="1"/>
      <c r="AA81" s="1"/>
    </row>
    <row r="82" spans="1:31" ht="15.75" x14ac:dyDescent="0.25">
      <c r="A82" s="3" t="s">
        <v>2</v>
      </c>
      <c r="C82" s="4"/>
      <c r="D82" s="4"/>
      <c r="E82" s="4"/>
      <c r="F82" s="4"/>
      <c r="G82" s="4"/>
      <c r="H82" s="4"/>
      <c r="I82" s="4"/>
      <c r="J82" s="4"/>
    </row>
    <row r="83" spans="1:31" ht="13.5" thickBot="1" x14ac:dyDescent="0.25"/>
    <row r="84" spans="1:31" ht="30.75" thickBot="1" x14ac:dyDescent="0.3">
      <c r="A84" s="5"/>
      <c r="C84" s="6">
        <v>2000</v>
      </c>
      <c r="D84" s="6">
        <v>2001</v>
      </c>
      <c r="E84" s="6">
        <v>2002</v>
      </c>
      <c r="F84" s="6">
        <v>2003</v>
      </c>
      <c r="G84" s="6">
        <v>2004</v>
      </c>
      <c r="H84" s="7">
        <v>2005</v>
      </c>
      <c r="I84" s="6">
        <v>2006</v>
      </c>
      <c r="J84" s="7">
        <v>2007</v>
      </c>
      <c r="K84" s="6">
        <v>2008</v>
      </c>
      <c r="L84" s="7">
        <v>2009</v>
      </c>
      <c r="M84" s="7">
        <v>2010</v>
      </c>
      <c r="N84" s="43" t="s">
        <v>6</v>
      </c>
      <c r="P84" s="7">
        <v>2011</v>
      </c>
      <c r="Q84" s="7">
        <v>2012</v>
      </c>
      <c r="R84" s="7">
        <v>2013</v>
      </c>
      <c r="S84" s="7">
        <v>2014</v>
      </c>
      <c r="T84" s="7">
        <v>2015</v>
      </c>
      <c r="U84" s="43" t="s">
        <v>7</v>
      </c>
      <c r="W84" s="7">
        <v>2016</v>
      </c>
      <c r="X84" s="7">
        <v>2017</v>
      </c>
      <c r="Y84" s="7">
        <v>2018</v>
      </c>
      <c r="Z84" s="7">
        <v>2019</v>
      </c>
      <c r="AA84" s="7">
        <v>2020</v>
      </c>
      <c r="AB84" s="43" t="s">
        <v>8</v>
      </c>
      <c r="AD84" s="44" t="s">
        <v>9</v>
      </c>
    </row>
    <row r="85" spans="1:31" ht="13.5" thickBot="1" x14ac:dyDescent="0.25">
      <c r="A85" s="10" t="s">
        <v>31</v>
      </c>
      <c r="C85" s="45"/>
      <c r="D85" s="52"/>
      <c r="E85" s="52"/>
      <c r="F85" s="52"/>
      <c r="G85" s="52"/>
      <c r="H85" s="53"/>
      <c r="I85" s="45"/>
      <c r="J85" s="57"/>
      <c r="K85" s="50"/>
      <c r="L85" s="45"/>
      <c r="M85" s="45"/>
      <c r="N85" s="90"/>
      <c r="P85" s="45"/>
      <c r="Q85" s="51"/>
      <c r="R85" s="51"/>
      <c r="S85" s="51">
        <v>30.742000000000001</v>
      </c>
      <c r="T85" s="51">
        <v>24.263000000000002</v>
      </c>
      <c r="U85" s="90">
        <f t="shared" ref="U85:U86" si="30">SUM(P85:T85)</f>
        <v>55.005000000000003</v>
      </c>
      <c r="W85" s="51">
        <v>22.976890000000001</v>
      </c>
      <c r="X85" s="51">
        <v>22.191076850000002</v>
      </c>
      <c r="Y85" s="51">
        <v>24.479173379999999</v>
      </c>
      <c r="Z85" s="51">
        <v>22.397200000000002</v>
      </c>
      <c r="AA85" s="51"/>
      <c r="AB85" s="90">
        <f t="shared" ref="AB85:AB86" si="31">SUM(W85:AA85)</f>
        <v>92.044340229999989</v>
      </c>
      <c r="AD85" s="100">
        <f t="shared" ref="AD85:AD86" si="32">SUM(AB85,U85,N85)</f>
        <v>147.04934022999998</v>
      </c>
    </row>
    <row r="86" spans="1:31" ht="13.5" thickBot="1" x14ac:dyDescent="0.25">
      <c r="A86" s="29" t="s">
        <v>39</v>
      </c>
      <c r="C86" s="45"/>
      <c r="D86" s="52"/>
      <c r="E86" s="52"/>
      <c r="F86" s="52"/>
      <c r="G86" s="52"/>
      <c r="H86" s="53"/>
      <c r="I86" s="45"/>
      <c r="J86" s="57"/>
      <c r="K86" s="50"/>
      <c r="L86" s="45"/>
      <c r="M86" s="45"/>
      <c r="N86" s="92"/>
      <c r="P86" s="45"/>
      <c r="Q86" s="51"/>
      <c r="R86" s="51"/>
      <c r="S86" s="51"/>
      <c r="T86" s="51">
        <v>4.7321999999999997</v>
      </c>
      <c r="U86" s="92">
        <f t="shared" si="30"/>
        <v>4.7321999999999997</v>
      </c>
      <c r="W86" s="51">
        <v>18.600539999999999</v>
      </c>
      <c r="X86" s="51">
        <v>11.45331</v>
      </c>
      <c r="Y86" s="51">
        <v>5.2708399999999997</v>
      </c>
      <c r="Z86" s="51"/>
      <c r="AA86" s="51"/>
      <c r="AB86" s="92">
        <f t="shared" si="31"/>
        <v>35.324689999999997</v>
      </c>
      <c r="AD86" s="100">
        <f t="shared" si="32"/>
        <v>40.056889999999996</v>
      </c>
    </row>
    <row r="87" spans="1:31" ht="13.5" thickBot="1" x14ac:dyDescent="0.25">
      <c r="A87" s="14" t="s">
        <v>41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109"/>
      <c r="P87" s="65"/>
      <c r="Q87" s="65"/>
      <c r="R87" s="65"/>
      <c r="S87" s="65">
        <f t="shared" ref="S87:AD87" si="33">SUM(S85:S86)</f>
        <v>30.742000000000001</v>
      </c>
      <c r="T87" s="65">
        <f t="shared" si="33"/>
        <v>28.995200000000001</v>
      </c>
      <c r="U87" s="93">
        <f t="shared" si="33"/>
        <v>59.737200000000001</v>
      </c>
      <c r="W87" s="65">
        <f t="shared" si="33"/>
        <v>41.57743</v>
      </c>
      <c r="X87" s="65">
        <f t="shared" si="33"/>
        <v>33.644386850000004</v>
      </c>
      <c r="Y87" s="65">
        <f t="shared" si="33"/>
        <v>29.750013379999999</v>
      </c>
      <c r="Z87" s="65">
        <f t="shared" si="33"/>
        <v>22.397200000000002</v>
      </c>
      <c r="AA87" s="65">
        <f t="shared" si="33"/>
        <v>0</v>
      </c>
      <c r="AB87" s="93">
        <f t="shared" si="33"/>
        <v>127.36903022999999</v>
      </c>
      <c r="AD87" s="109">
        <f t="shared" si="33"/>
        <v>187.10623022999999</v>
      </c>
    </row>
    <row r="88" spans="1:31" ht="13.5" thickBot="1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P88" s="4"/>
      <c r="Q88" s="4"/>
      <c r="R88" s="4"/>
      <c r="S88" s="4"/>
      <c r="T88" s="4"/>
      <c r="W88" s="4"/>
      <c r="X88" s="4"/>
      <c r="Y88" s="4"/>
      <c r="Z88" s="4"/>
      <c r="AA88" s="4"/>
    </row>
    <row r="89" spans="1:31" ht="13.5" thickBot="1" x14ac:dyDescent="0.25">
      <c r="A89" s="31" t="s">
        <v>45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90"/>
      <c r="P89" s="84"/>
      <c r="Q89" s="84"/>
      <c r="R89" s="84"/>
      <c r="S89" s="84"/>
      <c r="T89" s="85">
        <v>105</v>
      </c>
      <c r="U89" s="90">
        <f t="shared" ref="U89" si="34">SUM(P89:T89)</f>
        <v>105</v>
      </c>
      <c r="W89" s="85">
        <v>51.6</v>
      </c>
      <c r="X89" s="85">
        <v>40</v>
      </c>
      <c r="Y89" s="85">
        <v>44.6</v>
      </c>
      <c r="Z89" s="85"/>
      <c r="AA89" s="85"/>
      <c r="AB89" s="90">
        <f t="shared" ref="AB89" si="35">SUM(W89:AA89)</f>
        <v>136.19999999999999</v>
      </c>
      <c r="AD89" s="101">
        <f t="shared" ref="AD89" si="36">SUM(AB89,U89,N89)</f>
        <v>241.2</v>
      </c>
      <c r="AE89" s="34"/>
    </row>
    <row r="90" spans="1:31" ht="13.5" thickBot="1" x14ac:dyDescent="0.25">
      <c r="A90" s="14" t="s">
        <v>66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109"/>
      <c r="P90" s="78"/>
      <c r="Q90" s="78"/>
      <c r="R90" s="78"/>
      <c r="S90" s="78"/>
      <c r="T90" s="78">
        <f t="shared" ref="T90:AD90" si="37">SUM(T89)</f>
        <v>105</v>
      </c>
      <c r="U90" s="93">
        <f t="shared" si="37"/>
        <v>105</v>
      </c>
      <c r="W90" s="78">
        <f t="shared" si="37"/>
        <v>51.6</v>
      </c>
      <c r="X90" s="78">
        <f t="shared" si="37"/>
        <v>40</v>
      </c>
      <c r="Y90" s="78">
        <f t="shared" si="37"/>
        <v>44.6</v>
      </c>
      <c r="Z90" s="78">
        <f t="shared" si="37"/>
        <v>0</v>
      </c>
      <c r="AA90" s="78">
        <f t="shared" si="37"/>
        <v>0</v>
      </c>
      <c r="AB90" s="93">
        <f t="shared" si="37"/>
        <v>136.19999999999999</v>
      </c>
      <c r="AD90" s="109">
        <f t="shared" si="37"/>
        <v>241.2</v>
      </c>
      <c r="AE90" s="12"/>
    </row>
    <row r="91" spans="1:31" ht="13.5" thickBot="1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P91" s="4"/>
      <c r="Q91" s="4"/>
      <c r="R91" s="4"/>
      <c r="S91" s="4"/>
      <c r="T91" s="4"/>
      <c r="W91" s="4"/>
      <c r="X91" s="4"/>
      <c r="Y91" s="4"/>
      <c r="Z91" s="4"/>
      <c r="AA91" s="4"/>
    </row>
    <row r="92" spans="1:31" ht="13.5" thickBot="1" x14ac:dyDescent="0.25">
      <c r="A92" s="24" t="s">
        <v>70</v>
      </c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108"/>
      <c r="P92" s="82"/>
      <c r="Q92" s="82"/>
      <c r="R92" s="82"/>
      <c r="S92" s="82">
        <f t="shared" ref="S92:AD92" si="38">SUM(S87,S90)</f>
        <v>30.742000000000001</v>
      </c>
      <c r="T92" s="82">
        <f t="shared" si="38"/>
        <v>133.99520000000001</v>
      </c>
      <c r="U92" s="108">
        <f t="shared" si="38"/>
        <v>164.7372</v>
      </c>
      <c r="W92" s="82">
        <f t="shared" si="38"/>
        <v>93.177430000000001</v>
      </c>
      <c r="X92" s="82">
        <f t="shared" si="38"/>
        <v>73.644386850000004</v>
      </c>
      <c r="Y92" s="82">
        <f t="shared" si="38"/>
        <v>74.350013380000007</v>
      </c>
      <c r="Z92" s="82">
        <f t="shared" si="38"/>
        <v>22.397200000000002</v>
      </c>
      <c r="AA92" s="82">
        <f t="shared" si="38"/>
        <v>0</v>
      </c>
      <c r="AB92" s="108">
        <f t="shared" si="38"/>
        <v>263.56903022999995</v>
      </c>
      <c r="AD92" s="108">
        <f t="shared" si="38"/>
        <v>428.30623022999998</v>
      </c>
    </row>
  </sheetData>
  <mergeCells count="3">
    <mergeCell ref="AH5:AH6"/>
    <mergeCell ref="A74:AH74"/>
    <mergeCell ref="A76:AH76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AB27 N27 U27 N59 U59 AB59 AB62 U62 N6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CD6342080A01E84CA9870E8F3E644D78" ma:contentTypeVersion="239" ma:contentTypeDescription="" ma:contentTypeScope="" ma:versionID="08d168cbdf92577c5a917e7c01e0544b">
  <xsd:schema xmlns:xsd="http://www.w3.org/2001/XMLSchema" xmlns:xs="http://www.w3.org/2001/XMLSchema" xmlns:p="http://schemas.microsoft.com/office/2006/metadata/properties" xmlns:ns2="d0706217-df7c-4bf4-936d-b09aa3b837af" xmlns:ns3="57a992bc-bd44-4bca-8c15-5d6bcceffd31" targetNamespace="http://schemas.microsoft.com/office/2006/metadata/properties" ma:root="true" ma:fieldsID="6ffad984cde5fa98058814460da1d393" ns2:_="" ns3:_="">
    <xsd:import namespace="d0706217-df7c-4bf4-936d-b09aa3b837af"/>
    <xsd:import namespace="57a992bc-bd44-4bca-8c15-5d6bcceffd3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b12ebb60-5d4a-407c-9ab8-0b5826b57b5f}" ma:internalName="TaxCatchAll" ma:showField="CatchAllData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b12ebb60-5d4a-407c-9ab8-0b5826b57b5f}" ma:internalName="TaxCatchAllLabel" ma:readOnly="true" ma:showField="CatchAllDataLabel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992bc-bd44-4bca-8c15-5d6bcceffd31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7a992bc-bd44-4bca-8c15-5d6bcceffd31">GAVI-1705067222-935153</_dlc_DocId>
    <_dlc_DocIdUrl xmlns="57a992bc-bd44-4bca-8c15-5d6bcceffd31">
      <Url>https://gavinet.sharepoint.com/teams/fop/fin/_layouts/15/DocIdRedir.aspx?ID=GAVI-1705067222-935153</Url>
      <Description>GAVI-1705067222-935153</Description>
    </_dlc_DocIdUrl>
  </documentManagement>
</p:properties>
</file>

<file path=customXml/itemProps1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0DF71A9-012B-46DD-9CA1-69F14A590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7a992bc-bd44-4bca-8c15-5d6bcceff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7FB11A6-D140-4432-835C-73F5F457BFA5}">
  <ds:schemaRefs>
    <ds:schemaRef ds:uri="http://purl.org/dc/elements/1.1/"/>
    <ds:schemaRef ds:uri="57a992bc-bd44-4bca-8c15-5d6bcceffd31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0706217-df7c-4bf4-936d-b09aa3b837a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2000-2020 Cash Receipts</vt:lpstr>
      <vt:lpstr>'2000-2020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2022-02-22T09:30:12Z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0x01010091DD660C2743444EACB0CAF77741226300CD6342080A01E84CA9870E8F3E644D78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0a62d050-cecf-42c0-9647-a7a109d74581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</Properties>
</file>