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vinet.sharepoint.com/teams/fop/fin/Documents/Finance/FPA/Donor Forecasting/Web updates/2021/Q4 2021/"/>
    </mc:Choice>
  </mc:AlternateContent>
  <xr:revisionPtr revIDLastSave="5" documentId="8_{1BC72BFF-125F-4FAF-AC6A-C3C91F284459}" xr6:coauthVersionLast="47" xr6:coauthVersionMax="47" xr10:uidLastSave="{28363F03-2BB7-4286-B08A-844C086EC2EA}"/>
  <bookViews>
    <workbookView xWindow="-120" yWindow="-120" windowWidth="29040" windowHeight="15840" xr2:uid="{00000000-000D-0000-FFFF-FFFF00000000}"/>
  </bookViews>
  <sheets>
    <sheet name="2000-2021 Cash Receipts" sheetId="5" r:id="rId1"/>
  </sheets>
  <definedNames>
    <definedName name="_xlnm.Print_Area" localSheetId="0">'2000-2021 Cash Receipts'!$A$1:$AF$166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11" i="5" l="1"/>
  <c r="AB111" i="5"/>
  <c r="U111" i="5"/>
  <c r="AF111" i="5" s="1"/>
  <c r="AL111" i="5" s="1"/>
  <c r="N111" i="5"/>
  <c r="AD67" i="5" l="1"/>
  <c r="AI13" i="5"/>
  <c r="AI28" i="5"/>
  <c r="AJ135" i="5"/>
  <c r="AJ134" i="5"/>
  <c r="AJ133" i="5"/>
  <c r="AJ132" i="5"/>
  <c r="AJ126" i="5"/>
  <c r="AJ125" i="5"/>
  <c r="AJ127" i="5"/>
  <c r="AJ128" i="5"/>
  <c r="AI141" i="5"/>
  <c r="AH141" i="5"/>
  <c r="AJ140" i="5"/>
  <c r="AJ139" i="5"/>
  <c r="AI137" i="5"/>
  <c r="AH137" i="5"/>
  <c r="AJ136" i="5"/>
  <c r="AI113" i="5"/>
  <c r="AJ112" i="5"/>
  <c r="AB112" i="5"/>
  <c r="U112" i="5"/>
  <c r="N112" i="5"/>
  <c r="AI109" i="5"/>
  <c r="AJ105" i="5"/>
  <c r="AB105" i="5"/>
  <c r="U105" i="5"/>
  <c r="N105" i="5"/>
  <c r="AJ106" i="5"/>
  <c r="AB106" i="5"/>
  <c r="U106" i="5"/>
  <c r="N106" i="5"/>
  <c r="AI80" i="5"/>
  <c r="AJ101" i="5"/>
  <c r="AB101" i="5"/>
  <c r="U101" i="5"/>
  <c r="N101" i="5"/>
  <c r="AJ74" i="5"/>
  <c r="AB74" i="5"/>
  <c r="U74" i="5"/>
  <c r="N74" i="5"/>
  <c r="AJ98" i="5"/>
  <c r="AB98" i="5"/>
  <c r="U98" i="5"/>
  <c r="N98" i="5"/>
  <c r="AJ99" i="5"/>
  <c r="AB99" i="5"/>
  <c r="U99" i="5"/>
  <c r="N99" i="5"/>
  <c r="AI95" i="5"/>
  <c r="AJ94" i="5"/>
  <c r="AB94" i="5"/>
  <c r="U94" i="5"/>
  <c r="N94" i="5"/>
  <c r="AJ90" i="5"/>
  <c r="AB90" i="5"/>
  <c r="U90" i="5"/>
  <c r="N90" i="5"/>
  <c r="AI85" i="5"/>
  <c r="AJ78" i="5"/>
  <c r="AB78" i="5"/>
  <c r="U78" i="5"/>
  <c r="N78" i="5"/>
  <c r="AJ77" i="5"/>
  <c r="AB77" i="5"/>
  <c r="U77" i="5"/>
  <c r="N77" i="5"/>
  <c r="AJ76" i="5"/>
  <c r="AB76" i="5"/>
  <c r="U76" i="5"/>
  <c r="N76" i="5"/>
  <c r="AJ79" i="5"/>
  <c r="AB79" i="5"/>
  <c r="U79" i="5"/>
  <c r="N79" i="5"/>
  <c r="AJ71" i="5"/>
  <c r="AB71" i="5"/>
  <c r="U71" i="5"/>
  <c r="N71" i="5"/>
  <c r="AJ72" i="5"/>
  <c r="AB72" i="5"/>
  <c r="U72" i="5"/>
  <c r="N72" i="5"/>
  <c r="AI70" i="5"/>
  <c r="AJ70" i="5" s="1"/>
  <c r="AB70" i="5"/>
  <c r="U70" i="5"/>
  <c r="N70" i="5"/>
  <c r="AJ73" i="5"/>
  <c r="AJ69" i="5"/>
  <c r="AB69" i="5"/>
  <c r="U69" i="5"/>
  <c r="N69" i="5"/>
  <c r="AJ68" i="5"/>
  <c r="AB68" i="5"/>
  <c r="U68" i="5"/>
  <c r="N68" i="5"/>
  <c r="AB73" i="5"/>
  <c r="U73" i="5"/>
  <c r="N73" i="5"/>
  <c r="AI67" i="5"/>
  <c r="AJ62" i="5"/>
  <c r="AB62" i="5"/>
  <c r="U62" i="5"/>
  <c r="N62" i="5"/>
  <c r="AJ141" i="5" l="1"/>
  <c r="AF105" i="5"/>
  <c r="AL105" i="5" s="1"/>
  <c r="AJ137" i="5"/>
  <c r="AF112" i="5"/>
  <c r="AL112" i="5" s="1"/>
  <c r="AF106" i="5"/>
  <c r="AL106" i="5" s="1"/>
  <c r="AF101" i="5"/>
  <c r="AL101" i="5" s="1"/>
  <c r="AF74" i="5"/>
  <c r="AL74" i="5" s="1"/>
  <c r="AF98" i="5"/>
  <c r="AL98" i="5" s="1"/>
  <c r="AF99" i="5"/>
  <c r="AL99" i="5" s="1"/>
  <c r="AF94" i="5"/>
  <c r="AL94" i="5" s="1"/>
  <c r="AF90" i="5"/>
  <c r="AL90" i="5" s="1"/>
  <c r="AF76" i="5"/>
  <c r="AL76" i="5" s="1"/>
  <c r="AF78" i="5"/>
  <c r="AL78" i="5" s="1"/>
  <c r="AF77" i="5"/>
  <c r="AL77" i="5" s="1"/>
  <c r="AF79" i="5"/>
  <c r="AL79" i="5" s="1"/>
  <c r="AF71" i="5"/>
  <c r="AL71" i="5" s="1"/>
  <c r="AF72" i="5"/>
  <c r="AL72" i="5" s="1"/>
  <c r="AF69" i="5"/>
  <c r="AL69" i="5" s="1"/>
  <c r="AF70" i="5"/>
  <c r="AL70" i="5" s="1"/>
  <c r="AF68" i="5"/>
  <c r="AL68" i="5" s="1"/>
  <c r="AF73" i="5"/>
  <c r="AL73" i="5" s="1"/>
  <c r="AF62" i="5"/>
  <c r="AL62" i="5" s="1"/>
  <c r="AJ63" i="5" l="1"/>
  <c r="AB63" i="5"/>
  <c r="U63" i="5"/>
  <c r="N63" i="5"/>
  <c r="AJ61" i="5"/>
  <c r="AB61" i="5"/>
  <c r="U61" i="5"/>
  <c r="N61" i="5"/>
  <c r="AI57" i="5"/>
  <c r="AJ57" i="5" s="1"/>
  <c r="AD57" i="5"/>
  <c r="AB57" i="5"/>
  <c r="U57" i="5"/>
  <c r="N57" i="5"/>
  <c r="AJ51" i="5"/>
  <c r="AB51" i="5"/>
  <c r="U51" i="5"/>
  <c r="N51" i="5"/>
  <c r="AJ52" i="5"/>
  <c r="AB52" i="5"/>
  <c r="U52" i="5"/>
  <c r="N52" i="5"/>
  <c r="AI49" i="5"/>
  <c r="AI45" i="5"/>
  <c r="AI43" i="5"/>
  <c r="AI41" i="5"/>
  <c r="AI38" i="5"/>
  <c r="AJ35" i="5"/>
  <c r="AB35" i="5"/>
  <c r="U35" i="5"/>
  <c r="N35" i="5"/>
  <c r="AJ36" i="5"/>
  <c r="AB36" i="5"/>
  <c r="U36" i="5"/>
  <c r="N36" i="5"/>
  <c r="AJ32" i="5"/>
  <c r="AB32" i="5"/>
  <c r="U32" i="5"/>
  <c r="N32" i="5"/>
  <c r="AA34" i="5"/>
  <c r="AJ33" i="5"/>
  <c r="AB33" i="5"/>
  <c r="U33" i="5"/>
  <c r="N33" i="5"/>
  <c r="AI31" i="5"/>
  <c r="AI30" i="5"/>
  <c r="AI29" i="5"/>
  <c r="AI47" i="5"/>
  <c r="AI27" i="5"/>
  <c r="AI26" i="5"/>
  <c r="AI21" i="5"/>
  <c r="AJ14" i="5"/>
  <c r="AB14" i="5"/>
  <c r="U14" i="5"/>
  <c r="N14" i="5"/>
  <c r="AJ9" i="5"/>
  <c r="AB9" i="5"/>
  <c r="U9" i="5"/>
  <c r="N9" i="5"/>
  <c r="AI8" i="5"/>
  <c r="AD84" i="5"/>
  <c r="AD56" i="5"/>
  <c r="AD54" i="5"/>
  <c r="AJ48" i="5"/>
  <c r="AB48" i="5"/>
  <c r="U48" i="5"/>
  <c r="N48" i="5"/>
  <c r="AF63" i="5" l="1"/>
  <c r="AL63" i="5" s="1"/>
  <c r="AF61" i="5"/>
  <c r="AL61" i="5" s="1"/>
  <c r="AF57" i="5"/>
  <c r="AL57" i="5" s="1"/>
  <c r="AF51" i="5"/>
  <c r="AL51" i="5" s="1"/>
  <c r="AF36" i="5"/>
  <c r="AL36" i="5" s="1"/>
  <c r="AF52" i="5"/>
  <c r="AL52" i="5" s="1"/>
  <c r="AF35" i="5"/>
  <c r="AL35" i="5" s="1"/>
  <c r="AF32" i="5"/>
  <c r="AL32" i="5" s="1"/>
  <c r="AF14" i="5"/>
  <c r="AL14" i="5" s="1"/>
  <c r="AF33" i="5"/>
  <c r="AL33" i="5" s="1"/>
  <c r="AF9" i="5"/>
  <c r="AL9" i="5" s="1"/>
  <c r="AF48" i="5"/>
  <c r="AL48" i="5" s="1"/>
  <c r="AD41" i="5" l="1"/>
  <c r="AD25" i="5"/>
  <c r="AD22" i="5"/>
  <c r="AD19" i="5"/>
  <c r="AH130" i="5" l="1"/>
  <c r="AI130" i="5"/>
  <c r="AJ124" i="5"/>
  <c r="AJ100" i="5" l="1"/>
  <c r="AB100" i="5"/>
  <c r="U100" i="5"/>
  <c r="N100" i="5"/>
  <c r="AF100" i="5" l="1"/>
  <c r="AL100" i="5" s="1"/>
  <c r="AJ85" i="5"/>
  <c r="AB85" i="5"/>
  <c r="U85" i="5"/>
  <c r="N85" i="5"/>
  <c r="AF85" i="5" l="1"/>
  <c r="AL85" i="5" s="1"/>
  <c r="AJ89" i="5"/>
  <c r="AB89" i="5"/>
  <c r="U89" i="5"/>
  <c r="N89" i="5"/>
  <c r="AF89" i="5" l="1"/>
  <c r="AL89" i="5" s="1"/>
  <c r="AJ82" i="5" l="1"/>
  <c r="Z82" i="5"/>
  <c r="Y82" i="5"/>
  <c r="X82" i="5"/>
  <c r="W82" i="5"/>
  <c r="U82" i="5"/>
  <c r="N82" i="5"/>
  <c r="AB82" i="5" l="1"/>
  <c r="AF82" i="5" s="1"/>
  <c r="AL82" i="5" s="1"/>
  <c r="AJ129" i="5" l="1"/>
  <c r="AJ130" i="5" s="1"/>
  <c r="AJ96" i="5" l="1"/>
  <c r="AB96" i="5"/>
  <c r="U96" i="5"/>
  <c r="N96" i="5"/>
  <c r="AI91" i="5"/>
  <c r="AJ91" i="5" s="1"/>
  <c r="AB91" i="5"/>
  <c r="U91" i="5"/>
  <c r="N91" i="5"/>
  <c r="AI118" i="5"/>
  <c r="AJ110" i="5"/>
  <c r="AB110" i="5"/>
  <c r="U110" i="5"/>
  <c r="N110" i="5"/>
  <c r="AJ109" i="5"/>
  <c r="AB109" i="5"/>
  <c r="U109" i="5"/>
  <c r="N109" i="5"/>
  <c r="AJ104" i="5"/>
  <c r="AB104" i="5"/>
  <c r="U104" i="5"/>
  <c r="N104" i="5"/>
  <c r="AJ95" i="5"/>
  <c r="AB95" i="5"/>
  <c r="U95" i="5"/>
  <c r="N95" i="5"/>
  <c r="AJ88" i="5"/>
  <c r="AB88" i="5"/>
  <c r="U88" i="5"/>
  <c r="N88" i="5"/>
  <c r="AJ86" i="5"/>
  <c r="AB86" i="5"/>
  <c r="U86" i="5"/>
  <c r="N86" i="5"/>
  <c r="AJ80" i="5"/>
  <c r="AB80" i="5"/>
  <c r="U80" i="5"/>
  <c r="N80" i="5"/>
  <c r="AI66" i="5"/>
  <c r="AB66" i="5"/>
  <c r="U66" i="5"/>
  <c r="N66" i="5"/>
  <c r="AJ66" i="5" l="1"/>
  <c r="AI114" i="5"/>
  <c r="AF91" i="5"/>
  <c r="AL91" i="5" s="1"/>
  <c r="AF110" i="5"/>
  <c r="AL110" i="5" s="1"/>
  <c r="AF96" i="5"/>
  <c r="AL96" i="5" s="1"/>
  <c r="AF109" i="5"/>
  <c r="AL109" i="5" s="1"/>
  <c r="AF104" i="5"/>
  <c r="AL104" i="5" s="1"/>
  <c r="AF95" i="5"/>
  <c r="AL95" i="5" s="1"/>
  <c r="AF88" i="5"/>
  <c r="AL88" i="5" s="1"/>
  <c r="AF66" i="5"/>
  <c r="AF80" i="5"/>
  <c r="AL80" i="5" s="1"/>
  <c r="AF86" i="5"/>
  <c r="AL86" i="5" s="1"/>
  <c r="AL66" i="5" l="1"/>
  <c r="AI46" i="5"/>
  <c r="AJ44" i="5"/>
  <c r="AB44" i="5"/>
  <c r="U44" i="5"/>
  <c r="N44" i="5"/>
  <c r="AJ30" i="5"/>
  <c r="AB30" i="5"/>
  <c r="U30" i="5"/>
  <c r="N30" i="5"/>
  <c r="AI24" i="5"/>
  <c r="AJ23" i="5"/>
  <c r="AB23" i="5"/>
  <c r="U23" i="5"/>
  <c r="N23" i="5"/>
  <c r="AI17" i="5"/>
  <c r="AJ10" i="5"/>
  <c r="AB10" i="5"/>
  <c r="U10" i="5"/>
  <c r="N10" i="5"/>
  <c r="AI7" i="5"/>
  <c r="AD118" i="5"/>
  <c r="AJ45" i="5"/>
  <c r="AB45" i="5"/>
  <c r="U45" i="5"/>
  <c r="N45" i="5"/>
  <c r="AJ11" i="5"/>
  <c r="AB11" i="5"/>
  <c r="U11" i="5"/>
  <c r="N11" i="5"/>
  <c r="AI59" i="5" l="1"/>
  <c r="AF44" i="5"/>
  <c r="AL44" i="5" s="1"/>
  <c r="AF30" i="5"/>
  <c r="AL30" i="5" s="1"/>
  <c r="AF23" i="5"/>
  <c r="AL23" i="5" s="1"/>
  <c r="AF10" i="5"/>
  <c r="AL10" i="5" s="1"/>
  <c r="AF45" i="5"/>
  <c r="AL45" i="5" s="1"/>
  <c r="AF11" i="5"/>
  <c r="AL11" i="5" s="1"/>
  <c r="AJ118" i="5" l="1"/>
  <c r="AJ50" i="5" l="1"/>
  <c r="AB50" i="5"/>
  <c r="U50" i="5"/>
  <c r="N50" i="5"/>
  <c r="AJ83" i="5"/>
  <c r="AB83" i="5"/>
  <c r="U83" i="5"/>
  <c r="N83" i="5"/>
  <c r="AJ43" i="5"/>
  <c r="AB43" i="5"/>
  <c r="U43" i="5"/>
  <c r="N43" i="5"/>
  <c r="AJ102" i="5"/>
  <c r="AB102" i="5"/>
  <c r="U102" i="5"/>
  <c r="N102" i="5"/>
  <c r="AJ12" i="5"/>
  <c r="AB12" i="5"/>
  <c r="U12" i="5"/>
  <c r="N12" i="5"/>
  <c r="AJ40" i="5"/>
  <c r="AB40" i="5"/>
  <c r="U40" i="5"/>
  <c r="N40" i="5"/>
  <c r="AF83" i="5" l="1"/>
  <c r="AL83" i="5" s="1"/>
  <c r="AF43" i="5"/>
  <c r="AL43" i="5" s="1"/>
  <c r="AF50" i="5"/>
  <c r="AL50" i="5" s="1"/>
  <c r="AI116" i="5"/>
  <c r="AI121" i="5" s="1"/>
  <c r="AF102" i="5"/>
  <c r="AL102" i="5" s="1"/>
  <c r="AF12" i="5"/>
  <c r="AL12" i="5" s="1"/>
  <c r="AF40" i="5"/>
  <c r="AL40" i="5" s="1"/>
  <c r="AJ113" i="5" l="1"/>
  <c r="AJ108" i="5"/>
  <c r="AJ107" i="5"/>
  <c r="AJ103" i="5"/>
  <c r="AJ97" i="5"/>
  <c r="AJ93" i="5"/>
  <c r="AJ92" i="5"/>
  <c r="AJ87" i="5"/>
  <c r="AJ84" i="5"/>
  <c r="AJ81" i="5"/>
  <c r="AJ75" i="5"/>
  <c r="AJ67" i="5"/>
  <c r="AJ65" i="5"/>
  <c r="AJ64" i="5"/>
  <c r="AJ58" i="5"/>
  <c r="AJ56" i="5"/>
  <c r="AJ55" i="5"/>
  <c r="AJ54" i="5"/>
  <c r="AJ53" i="5"/>
  <c r="AJ49" i="5"/>
  <c r="AJ47" i="5"/>
  <c r="AJ46" i="5"/>
  <c r="AJ42" i="5"/>
  <c r="AJ41" i="5"/>
  <c r="AJ39" i="5"/>
  <c r="AJ38" i="5"/>
  <c r="AJ34" i="5"/>
  <c r="AJ31" i="5"/>
  <c r="AJ29" i="5"/>
  <c r="AJ27" i="5"/>
  <c r="AJ26" i="5"/>
  <c r="AJ25" i="5"/>
  <c r="AJ24" i="5"/>
  <c r="AJ22" i="5"/>
  <c r="AJ21" i="5"/>
  <c r="AJ20" i="5"/>
  <c r="AJ19" i="5"/>
  <c r="AJ18" i="5"/>
  <c r="AJ17" i="5"/>
  <c r="AJ16" i="5"/>
  <c r="AJ15" i="5"/>
  <c r="AJ13" i="5"/>
  <c r="AJ8" i="5"/>
  <c r="AJ7" i="5"/>
  <c r="AB8" i="5"/>
  <c r="U8" i="5"/>
  <c r="N8" i="5"/>
  <c r="AJ114" i="5" l="1"/>
  <c r="AF8" i="5"/>
  <c r="AL8" i="5" s="1"/>
  <c r="AD114" i="5"/>
  <c r="AH28" i="5"/>
  <c r="AJ28" i="5" s="1"/>
  <c r="AA28" i="5"/>
  <c r="AD59" i="5" l="1"/>
  <c r="AD116" i="5" s="1"/>
  <c r="AD121" i="5" s="1"/>
  <c r="AB108" i="5"/>
  <c r="U108" i="5"/>
  <c r="N108" i="5"/>
  <c r="AF108" i="5" l="1"/>
  <c r="AL108" i="5" s="1"/>
  <c r="AA37" i="5"/>
  <c r="AB97" i="5" l="1"/>
  <c r="U97" i="5"/>
  <c r="N97" i="5"/>
  <c r="AF97" i="5" l="1"/>
  <c r="AL97" i="5" s="1"/>
  <c r="AB39" i="5"/>
  <c r="U39" i="5"/>
  <c r="N39" i="5"/>
  <c r="AH37" i="5"/>
  <c r="AJ37" i="5" s="1"/>
  <c r="AJ59" i="5" s="1"/>
  <c r="AJ116" i="5" s="1"/>
  <c r="AF39" i="5" l="1"/>
  <c r="AL39" i="5" s="1"/>
  <c r="AB103" i="5" l="1"/>
  <c r="U103" i="5"/>
  <c r="N103" i="5"/>
  <c r="AF103" i="5" l="1"/>
  <c r="AL103" i="5" s="1"/>
  <c r="AB18" i="5"/>
  <c r="U18" i="5"/>
  <c r="N18" i="5"/>
  <c r="AA118" i="5"/>
  <c r="AA119" i="5"/>
  <c r="AA55" i="5"/>
  <c r="AA49" i="5"/>
  <c r="AA38" i="5"/>
  <c r="AF18" i="5" l="1"/>
  <c r="AL18" i="5" s="1"/>
  <c r="AA107" i="5" l="1"/>
  <c r="AA84" i="5"/>
  <c r="AA67" i="5"/>
  <c r="AA22" i="5"/>
  <c r="AB20" i="5"/>
  <c r="U20" i="5"/>
  <c r="N20" i="5"/>
  <c r="AA7" i="5"/>
  <c r="AA65" i="5"/>
  <c r="AF20" i="5" l="1"/>
  <c r="AL20" i="5" s="1"/>
  <c r="AB163" i="5" l="1"/>
  <c r="U163" i="5"/>
  <c r="U164" i="5" s="1"/>
  <c r="AB160" i="5"/>
  <c r="AB159" i="5"/>
  <c r="U160" i="5"/>
  <c r="U159" i="5"/>
  <c r="AB107" i="5"/>
  <c r="AB93" i="5"/>
  <c r="AB92" i="5"/>
  <c r="AB87" i="5"/>
  <c r="AB81" i="5"/>
  <c r="AB75" i="5"/>
  <c r="AB65" i="5"/>
  <c r="AB58" i="5"/>
  <c r="AB55" i="5"/>
  <c r="AB53" i="5"/>
  <c r="AB47" i="5"/>
  <c r="AB46" i="5"/>
  <c r="AB42" i="5"/>
  <c r="AB37" i="5"/>
  <c r="AB34" i="5"/>
  <c r="AB31" i="5"/>
  <c r="AB29" i="5"/>
  <c r="AB27" i="5"/>
  <c r="AB26" i="5"/>
  <c r="AB24" i="5"/>
  <c r="AB21" i="5"/>
  <c r="AB17" i="5"/>
  <c r="AB16" i="5"/>
  <c r="AB15" i="5"/>
  <c r="U118" i="5"/>
  <c r="U113" i="5"/>
  <c r="U107" i="5"/>
  <c r="U93" i="5"/>
  <c r="U92" i="5"/>
  <c r="U87" i="5"/>
  <c r="U81" i="5"/>
  <c r="U65" i="5"/>
  <c r="U64" i="5"/>
  <c r="U58" i="5"/>
  <c r="U55" i="5"/>
  <c r="U54" i="5"/>
  <c r="U53" i="5"/>
  <c r="U49" i="5"/>
  <c r="U47" i="5"/>
  <c r="U46" i="5"/>
  <c r="U42" i="5"/>
  <c r="U38" i="5"/>
  <c r="U37" i="5"/>
  <c r="U34" i="5"/>
  <c r="U31" i="5"/>
  <c r="U29" i="5"/>
  <c r="U28" i="5"/>
  <c r="U27" i="5"/>
  <c r="U26" i="5"/>
  <c r="U24" i="5"/>
  <c r="U21" i="5"/>
  <c r="U19" i="5"/>
  <c r="U17" i="5"/>
  <c r="U16" i="5"/>
  <c r="U15" i="5"/>
  <c r="N119" i="5"/>
  <c r="N118" i="5"/>
  <c r="N113" i="5"/>
  <c r="N107" i="5"/>
  <c r="N93" i="5"/>
  <c r="N92" i="5"/>
  <c r="N87" i="5"/>
  <c r="N84" i="5"/>
  <c r="N81" i="5"/>
  <c r="N75" i="5"/>
  <c r="N67" i="5"/>
  <c r="N65" i="5"/>
  <c r="N64" i="5"/>
  <c r="N58" i="5"/>
  <c r="N56" i="5"/>
  <c r="N55" i="5"/>
  <c r="N54" i="5"/>
  <c r="N53" i="5"/>
  <c r="N49" i="5"/>
  <c r="N47" i="5"/>
  <c r="N46" i="5"/>
  <c r="N42" i="5"/>
  <c r="N41" i="5"/>
  <c r="N38" i="5"/>
  <c r="N37" i="5"/>
  <c r="N34" i="5"/>
  <c r="N31" i="5"/>
  <c r="N29" i="5"/>
  <c r="N28" i="5"/>
  <c r="N27" i="5"/>
  <c r="N26" i="5"/>
  <c r="N25" i="5"/>
  <c r="N24" i="5"/>
  <c r="N22" i="5"/>
  <c r="N21" i="5"/>
  <c r="N19" i="5"/>
  <c r="N17" i="5"/>
  <c r="N16" i="5"/>
  <c r="N15" i="5"/>
  <c r="N13" i="5"/>
  <c r="N7" i="5"/>
  <c r="AF107" i="5" l="1"/>
  <c r="AL107" i="5" s="1"/>
  <c r="AF21" i="5"/>
  <c r="AL21" i="5" s="1"/>
  <c r="U161" i="5"/>
  <c r="U166" i="5" s="1"/>
  <c r="AF42" i="5"/>
  <c r="AL42" i="5" s="1"/>
  <c r="AF31" i="5"/>
  <c r="AL31" i="5" s="1"/>
  <c r="AF17" i="5"/>
  <c r="AL17" i="5" s="1"/>
  <c r="AF37" i="5"/>
  <c r="AL37" i="5" s="1"/>
  <c r="AF93" i="5"/>
  <c r="AL93" i="5" s="1"/>
  <c r="AF24" i="5"/>
  <c r="AL24" i="5" s="1"/>
  <c r="AF26" i="5"/>
  <c r="AL26" i="5" s="1"/>
  <c r="AF47" i="5"/>
  <c r="AL47" i="5" s="1"/>
  <c r="AF81" i="5"/>
  <c r="AL81" i="5" s="1"/>
  <c r="AF46" i="5"/>
  <c r="AL46" i="5" s="1"/>
  <c r="AF27" i="5"/>
  <c r="AL27" i="5" s="1"/>
  <c r="AF53" i="5"/>
  <c r="AL53" i="5" s="1"/>
  <c r="AF29" i="5"/>
  <c r="AL29" i="5" s="1"/>
  <c r="AF55" i="5"/>
  <c r="AL55" i="5" s="1"/>
  <c r="AF87" i="5"/>
  <c r="AL87" i="5" s="1"/>
  <c r="AF15" i="5"/>
  <c r="AL15" i="5" s="1"/>
  <c r="AF58" i="5"/>
  <c r="AL58" i="5" s="1"/>
  <c r="AF16" i="5"/>
  <c r="AL16" i="5" s="1"/>
  <c r="AF34" i="5"/>
  <c r="AL34" i="5" s="1"/>
  <c r="AF65" i="5"/>
  <c r="AL65" i="5" s="1"/>
  <c r="AF92" i="5"/>
  <c r="AL92" i="5" s="1"/>
  <c r="AF163" i="5"/>
  <c r="N114" i="5"/>
  <c r="AF160" i="5"/>
  <c r="N59" i="5"/>
  <c r="AF159" i="5"/>
  <c r="AB164" i="5"/>
  <c r="AB161" i="5"/>
  <c r="N116" i="5" l="1"/>
  <c r="N121" i="5" s="1"/>
  <c r="AB166" i="5"/>
  <c r="AA164" i="5"/>
  <c r="Z164" i="5"/>
  <c r="Y164" i="5"/>
  <c r="X164" i="5"/>
  <c r="W164" i="5"/>
  <c r="T164" i="5"/>
  <c r="AF164" i="5"/>
  <c r="AA161" i="5"/>
  <c r="Z161" i="5"/>
  <c r="Y161" i="5"/>
  <c r="X161" i="5"/>
  <c r="W161" i="5"/>
  <c r="T161" i="5"/>
  <c r="S161" i="5"/>
  <c r="S166" i="5" s="1"/>
  <c r="Z119" i="5"/>
  <c r="Y119" i="5"/>
  <c r="X119" i="5"/>
  <c r="W119" i="5"/>
  <c r="T119" i="5"/>
  <c r="S119" i="5"/>
  <c r="P119" i="5"/>
  <c r="Z118" i="5"/>
  <c r="AB118" i="5" s="1"/>
  <c r="AF118" i="5" s="1"/>
  <c r="AL118" i="5" s="1"/>
  <c r="AH114" i="5"/>
  <c r="AA114" i="5"/>
  <c r="R114" i="5"/>
  <c r="Q114" i="5"/>
  <c r="P114" i="5"/>
  <c r="M114" i="5"/>
  <c r="L114" i="5"/>
  <c r="K114" i="5"/>
  <c r="J114" i="5"/>
  <c r="I114" i="5"/>
  <c r="H114" i="5"/>
  <c r="G114" i="5"/>
  <c r="F114" i="5"/>
  <c r="E114" i="5"/>
  <c r="D114" i="5"/>
  <c r="C114" i="5"/>
  <c r="Z84" i="5"/>
  <c r="Y84" i="5"/>
  <c r="X84" i="5"/>
  <c r="W84" i="5"/>
  <c r="T84" i="5"/>
  <c r="S84" i="5"/>
  <c r="S75" i="5"/>
  <c r="U75" i="5" s="1"/>
  <c r="Z67" i="5"/>
  <c r="Y67" i="5"/>
  <c r="X67" i="5"/>
  <c r="W67" i="5"/>
  <c r="S67" i="5"/>
  <c r="U67" i="5" s="1"/>
  <c r="Z64" i="5"/>
  <c r="AB64" i="5" s="1"/>
  <c r="AF64" i="5" s="1"/>
  <c r="AL64" i="5" s="1"/>
  <c r="AH59" i="5"/>
  <c r="W59" i="5"/>
  <c r="R59" i="5"/>
  <c r="Q59" i="5"/>
  <c r="P59" i="5"/>
  <c r="M59" i="5"/>
  <c r="L59" i="5"/>
  <c r="K59" i="5"/>
  <c r="J59" i="5"/>
  <c r="I59" i="5"/>
  <c r="H59" i="5"/>
  <c r="G59" i="5"/>
  <c r="F59" i="5"/>
  <c r="E59" i="5"/>
  <c r="D59" i="5"/>
  <c r="C59" i="5"/>
  <c r="Y56" i="5"/>
  <c r="AB56" i="5" s="1"/>
  <c r="T56" i="5"/>
  <c r="Z54" i="5"/>
  <c r="AB54" i="5" s="1"/>
  <c r="Z49" i="5"/>
  <c r="Y49" i="5"/>
  <c r="X49" i="5"/>
  <c r="Z41" i="5"/>
  <c r="Y41" i="5"/>
  <c r="X41" i="5"/>
  <c r="S41" i="5"/>
  <c r="Z38" i="5"/>
  <c r="Y38" i="5"/>
  <c r="X38" i="5"/>
  <c r="AA59" i="5"/>
  <c r="Z28" i="5"/>
  <c r="Y28" i="5"/>
  <c r="X28" i="5"/>
  <c r="Z25" i="5"/>
  <c r="AB25" i="5" s="1"/>
  <c r="S25" i="5"/>
  <c r="Z22" i="5"/>
  <c r="Y22" i="5"/>
  <c r="X22" i="5"/>
  <c r="T22" i="5"/>
  <c r="S22" i="5"/>
  <c r="Z19" i="5"/>
  <c r="Y19" i="5"/>
  <c r="X13" i="5"/>
  <c r="AB13" i="5" s="1"/>
  <c r="S13" i="5"/>
  <c r="U13" i="5" s="1"/>
  <c r="Z7" i="5"/>
  <c r="X7" i="5"/>
  <c r="S7" i="5"/>
  <c r="U22" i="5" l="1"/>
  <c r="U84" i="5"/>
  <c r="AF54" i="5"/>
  <c r="AL54" i="5" s="1"/>
  <c r="AF13" i="5"/>
  <c r="AL13" i="5" s="1"/>
  <c r="AF75" i="5"/>
  <c r="AL75" i="5" s="1"/>
  <c r="Y114" i="5"/>
  <c r="AB84" i="5"/>
  <c r="AB49" i="5"/>
  <c r="AF49" i="5" s="1"/>
  <c r="AL49" i="5" s="1"/>
  <c r="F116" i="5"/>
  <c r="F121" i="5" s="1"/>
  <c r="P116" i="5"/>
  <c r="P121" i="5" s="1"/>
  <c r="X166" i="5"/>
  <c r="U119" i="5"/>
  <c r="AB41" i="5"/>
  <c r="X114" i="5"/>
  <c r="AH116" i="5"/>
  <c r="AH121" i="5" s="1"/>
  <c r="AJ121" i="5" s="1"/>
  <c r="AB113" i="5"/>
  <c r="Y59" i="5"/>
  <c r="AB19" i="5"/>
  <c r="U25" i="5"/>
  <c r="AF25" i="5" s="1"/>
  <c r="AL25" i="5" s="1"/>
  <c r="U41" i="5"/>
  <c r="S59" i="5"/>
  <c r="U7" i="5"/>
  <c r="Z59" i="5"/>
  <c r="X59" i="5"/>
  <c r="AB7" i="5"/>
  <c r="U56" i="5"/>
  <c r="AF56" i="5" s="1"/>
  <c r="AL56" i="5" s="1"/>
  <c r="T59" i="5"/>
  <c r="AB119" i="5"/>
  <c r="Y166" i="5"/>
  <c r="AB22" i="5"/>
  <c r="S114" i="5"/>
  <c r="W114" i="5"/>
  <c r="W116" i="5" s="1"/>
  <c r="W121" i="5" s="1"/>
  <c r="AB67" i="5"/>
  <c r="AB28" i="5"/>
  <c r="AB38" i="5"/>
  <c r="T114" i="5"/>
  <c r="AA116" i="5"/>
  <c r="AA121" i="5" s="1"/>
  <c r="W166" i="5"/>
  <c r="AF161" i="5"/>
  <c r="AF166" i="5" s="1"/>
  <c r="AA166" i="5"/>
  <c r="J116" i="5"/>
  <c r="J121" i="5" s="1"/>
  <c r="M116" i="5"/>
  <c r="M121" i="5" s="1"/>
  <c r="T166" i="5"/>
  <c r="Z166" i="5"/>
  <c r="K116" i="5"/>
  <c r="K121" i="5" s="1"/>
  <c r="C116" i="5"/>
  <c r="C121" i="5" s="1"/>
  <c r="G116" i="5"/>
  <c r="G121" i="5" s="1"/>
  <c r="Q116" i="5"/>
  <c r="Q121" i="5" s="1"/>
  <c r="L116" i="5"/>
  <c r="L121" i="5" s="1"/>
  <c r="H116" i="5"/>
  <c r="H121" i="5" s="1"/>
  <c r="R116" i="5"/>
  <c r="R121" i="5" s="1"/>
  <c r="D116" i="5"/>
  <c r="D121" i="5" s="1"/>
  <c r="I116" i="5"/>
  <c r="I121" i="5" s="1"/>
  <c r="E116" i="5"/>
  <c r="E121" i="5" s="1"/>
  <c r="Z114" i="5"/>
  <c r="AF84" i="5" l="1"/>
  <c r="AL84" i="5" s="1"/>
  <c r="Y116" i="5"/>
  <c r="Y121" i="5" s="1"/>
  <c r="AF119" i="5"/>
  <c r="AL119" i="5" s="1"/>
  <c r="AF67" i="5"/>
  <c r="AL67" i="5" s="1"/>
  <c r="AF113" i="5"/>
  <c r="AL113" i="5" s="1"/>
  <c r="AF28" i="5"/>
  <c r="AL28" i="5" s="1"/>
  <c r="AF22" i="5"/>
  <c r="AL22" i="5" s="1"/>
  <c r="AF41" i="5"/>
  <c r="AL41" i="5" s="1"/>
  <c r="AF38" i="5"/>
  <c r="AL38" i="5" s="1"/>
  <c r="AF7" i="5"/>
  <c r="AL7" i="5" s="1"/>
  <c r="AF19" i="5"/>
  <c r="AL19" i="5" s="1"/>
  <c r="T116" i="5"/>
  <c r="T121" i="5" s="1"/>
  <c r="U114" i="5"/>
  <c r="Z116" i="5"/>
  <c r="Z121" i="5" s="1"/>
  <c r="X116" i="5"/>
  <c r="X121" i="5" s="1"/>
  <c r="AB114" i="5"/>
  <c r="AB59" i="5"/>
  <c r="U59" i="5"/>
  <c r="S116" i="5"/>
  <c r="S121" i="5" s="1"/>
  <c r="AF59" i="5" l="1"/>
  <c r="AL114" i="5"/>
  <c r="AF114" i="5"/>
  <c r="U116" i="5"/>
  <c r="U121" i="5" s="1"/>
  <c r="AL59" i="5"/>
  <c r="AB116" i="5"/>
  <c r="AB121" i="5" s="1"/>
  <c r="AL116" i="5" l="1"/>
  <c r="AF116" i="5"/>
  <c r="AF121" i="5" s="1"/>
  <c r="AL121" i="5" s="1"/>
</calcChain>
</file>

<file path=xl/sharedStrings.xml><?xml version="1.0" encoding="utf-8"?>
<sst xmlns="http://schemas.openxmlformats.org/spreadsheetml/2006/main" count="160" uniqueCount="136">
  <si>
    <t>Cash Received by Gavi</t>
  </si>
  <si>
    <t>Proceeds, as of 31 December 2021</t>
  </si>
  <si>
    <t>in US$ millions</t>
  </si>
  <si>
    <t>COVAX AMC</t>
  </si>
  <si>
    <r>
      <t xml:space="preserve">GRAND TOTAL 
</t>
    </r>
    <r>
      <rPr>
        <b/>
        <sz val="9"/>
        <rFont val="Arial"/>
        <family val="2"/>
      </rPr>
      <t>(incl. COVAX AMC)</t>
    </r>
  </si>
  <si>
    <t>DONOR</t>
  </si>
  <si>
    <t>2000-2010 TOTAL</t>
  </si>
  <si>
    <t>2011-2015 TOTAL</t>
  </si>
  <si>
    <t>2016-2020 TOTAL</t>
  </si>
  <si>
    <t>GRAND TOTAL</t>
  </si>
  <si>
    <t>TOTAL</t>
  </si>
  <si>
    <t>Australia</t>
  </si>
  <si>
    <t>Austria</t>
  </si>
  <si>
    <t>Bahrain</t>
  </si>
  <si>
    <t>Belgium</t>
  </si>
  <si>
    <t>Bhutan</t>
  </si>
  <si>
    <t>Burkina Faso</t>
  </si>
  <si>
    <t>Canada</t>
  </si>
  <si>
    <t>Croatia</t>
  </si>
  <si>
    <t>China</t>
  </si>
  <si>
    <t>Colombia</t>
  </si>
  <si>
    <t>Denmark</t>
  </si>
  <si>
    <t>Estonia</t>
  </si>
  <si>
    <t>European Commission (EC)</t>
  </si>
  <si>
    <t>Finland</t>
  </si>
  <si>
    <t>France</t>
  </si>
  <si>
    <t>Germany</t>
  </si>
  <si>
    <t>Greece</t>
  </si>
  <si>
    <t>Iceland</t>
  </si>
  <si>
    <t>India</t>
  </si>
  <si>
    <t>Ireland</t>
  </si>
  <si>
    <t>Italy</t>
  </si>
  <si>
    <t>Japan</t>
  </si>
  <si>
    <t>Kuwait</t>
  </si>
  <si>
    <t>Liechtenstein</t>
  </si>
  <si>
    <t>Luxembourg</t>
  </si>
  <si>
    <t>Malaysia</t>
  </si>
  <si>
    <t>Malta</t>
  </si>
  <si>
    <t>Mauritius</t>
  </si>
  <si>
    <t>Mexico</t>
  </si>
  <si>
    <t>Moldova</t>
  </si>
  <si>
    <t>Monaco</t>
  </si>
  <si>
    <t>Netherlands</t>
  </si>
  <si>
    <t>New Zealand</t>
  </si>
  <si>
    <t>Niger</t>
  </si>
  <si>
    <t xml:space="preserve">Norway </t>
  </si>
  <si>
    <t>Oman</t>
  </si>
  <si>
    <t>Philippines</t>
  </si>
  <si>
    <t>Poland</t>
  </si>
  <si>
    <t>Portugal</t>
  </si>
  <si>
    <t>Qatar</t>
  </si>
  <si>
    <t>Republic of Korea</t>
  </si>
  <si>
    <t>Russia</t>
  </si>
  <si>
    <t>Saudi Arabia</t>
  </si>
  <si>
    <t>Singapore</t>
  </si>
  <si>
    <t>Slovenia</t>
  </si>
  <si>
    <t>The Sovereign Military Order of Malta</t>
  </si>
  <si>
    <t xml:space="preserve">Sweden </t>
  </si>
  <si>
    <t>Switzerland</t>
  </si>
  <si>
    <t>United Kingdom</t>
  </si>
  <si>
    <t>United States</t>
  </si>
  <si>
    <t>Vietnam</t>
  </si>
  <si>
    <t>Donor Governments and EC</t>
  </si>
  <si>
    <t>Aercap Ireland Limited</t>
  </si>
  <si>
    <t>Alight Solutions</t>
  </si>
  <si>
    <t>Analog Devices Foundation</t>
  </si>
  <si>
    <t>Al Ansari Exchange</t>
  </si>
  <si>
    <t>Alwaleed Philanthropies</t>
  </si>
  <si>
    <t>Asia Philanthropy Circle</t>
  </si>
  <si>
    <t>Bill &amp; Melinda Gates Foundation</t>
  </si>
  <si>
    <t>Blackberry</t>
  </si>
  <si>
    <t>Centene Charitable Foundation</t>
  </si>
  <si>
    <t>Charities Trust</t>
  </si>
  <si>
    <t>Cisco</t>
  </si>
  <si>
    <t>Goodrich Corporation (Collins Aerospace)</t>
  </si>
  <si>
    <t>Coca-Cola Foundation</t>
  </si>
  <si>
    <t>Dolby Laboratories Charitable Fund</t>
  </si>
  <si>
    <t>ELMA Vaccines and Immunization Foundation</t>
  </si>
  <si>
    <t>Epiroc AB</t>
  </si>
  <si>
    <t>Etsy</t>
  </si>
  <si>
    <t>Gates Philanthropy Partners</t>
  </si>
  <si>
    <t>King Baudouin Foundation</t>
  </si>
  <si>
    <t>Google.org</t>
  </si>
  <si>
    <t>His Highness Sheikh Mohamed bin Zayed Al Nahyan</t>
  </si>
  <si>
    <t>International Federation of Pharmaceutical Wholesalers (IFPW)</t>
  </si>
  <si>
    <t>KS Relief / Gamers Without Borders</t>
  </si>
  <si>
    <t>"la Caixa" Foundation</t>
  </si>
  <si>
    <t>McHugh O'Donovan Foundation</t>
  </si>
  <si>
    <t>OPEC Fund for International Development (OFID)</t>
  </si>
  <si>
    <t>PagerDuty</t>
  </si>
  <si>
    <t>Portuguese Private Sector</t>
  </si>
  <si>
    <t>Pratt &amp; Whitney</t>
  </si>
  <si>
    <t>Proctor &amp; Gamble</t>
  </si>
  <si>
    <t>Reed Hastings and Patty Quillin</t>
  </si>
  <si>
    <t>Rockefeller Foundation</t>
  </si>
  <si>
    <t>Russell Reynolds Associates</t>
  </si>
  <si>
    <t>Salesforce</t>
  </si>
  <si>
    <t>Seadream Family Foundation</t>
  </si>
  <si>
    <t>SMBC Aviation Capital Limited</t>
  </si>
  <si>
    <t>Spotify</t>
  </si>
  <si>
    <t>Stanley Black &amp; Decker</t>
  </si>
  <si>
    <t>Symasia Happybones Foundation</t>
  </si>
  <si>
    <t>Thistledown Foundation</t>
  </si>
  <si>
    <t>TikTok</t>
  </si>
  <si>
    <t>Twilio</t>
  </si>
  <si>
    <t>UPS</t>
  </si>
  <si>
    <t>Vaccine Forward Initiative</t>
  </si>
  <si>
    <t>Visa Foundation</t>
  </si>
  <si>
    <t>Workday Foundation</t>
  </si>
  <si>
    <t>Foundations, organisations and corporations</t>
  </si>
  <si>
    <t>Sub-total</t>
  </si>
  <si>
    <t>Total contributions</t>
  </si>
  <si>
    <t>Vaccine Delivery and/or Logistics to Gavi COVAX AMC</t>
  </si>
  <si>
    <t>COVAX Dose Sharing - Ancillary Costs</t>
  </si>
  <si>
    <t>COVAX Humanitarian Buffer</t>
  </si>
  <si>
    <r>
      <t xml:space="preserve">Cash Received by Gavi </t>
    </r>
    <r>
      <rPr>
        <b/>
        <sz val="14"/>
        <color rgb="FF000000"/>
        <rFont val="Calibri"/>
        <family val="2"/>
        <scheme val="minor"/>
      </rPr>
      <t>(in support of Gavi for its role supporting the Polio Eradication and Endgame Strategic Plan 2013-2020)</t>
    </r>
  </si>
  <si>
    <t>Private Contributions</t>
  </si>
  <si>
    <t>Notes:</t>
  </si>
  <si>
    <r>
      <t>Spain</t>
    </r>
    <r>
      <rPr>
        <vertAlign val="superscript"/>
        <sz val="10"/>
        <rFont val="Arial"/>
        <family val="2"/>
      </rPr>
      <t>1</t>
    </r>
  </si>
  <si>
    <r>
      <t>Mastercard</t>
    </r>
    <r>
      <rPr>
        <vertAlign val="superscript"/>
        <sz val="10"/>
        <rFont val="Arial"/>
        <family val="2"/>
      </rPr>
      <t>2</t>
    </r>
  </si>
  <si>
    <r>
      <t>Toyota Tsusho</t>
    </r>
    <r>
      <rPr>
        <vertAlign val="superscript"/>
        <sz val="10"/>
        <rFont val="Arial"/>
        <family val="2"/>
      </rPr>
      <t>3</t>
    </r>
  </si>
  <si>
    <r>
      <t>Unilever</t>
    </r>
    <r>
      <rPr>
        <vertAlign val="superscript"/>
        <sz val="10"/>
        <rFont val="Arial"/>
        <family val="2"/>
      </rPr>
      <t>4</t>
    </r>
  </si>
  <si>
    <r>
      <t>Other private</t>
    </r>
    <r>
      <rPr>
        <vertAlign val="superscript"/>
        <sz val="10"/>
        <rFont val="Arial"/>
        <family val="2"/>
      </rPr>
      <t>5</t>
    </r>
  </si>
  <si>
    <r>
      <t>IFFIm Proceeds</t>
    </r>
    <r>
      <rPr>
        <b/>
        <vertAlign val="superscript"/>
        <sz val="10"/>
        <rFont val="Arial"/>
        <family val="2"/>
      </rPr>
      <t>6,7</t>
    </r>
  </si>
  <si>
    <r>
      <t>PCV AMC Proceeds</t>
    </r>
    <r>
      <rPr>
        <b/>
        <vertAlign val="superscript"/>
        <sz val="10"/>
        <rFont val="Arial"/>
        <family val="2"/>
      </rPr>
      <t>8</t>
    </r>
  </si>
  <si>
    <t>1 - Includes contributions from the Basque Agency for Development Cooperation and the Catalan Agency for Development Cooperation</t>
  </si>
  <si>
    <t>2 - Mastercard has pledged US$25 million to support Covax AMC including support for equitable vaccine delivery and digital solutions related to COVID-19. In addition, MasterCard is also running a consumer based fundraising campaign through its donation platform aiming at raising $5 million in total with potential matches on top of MasterCard’s contribution of US$1 million to the Duke and Duchess of Sussex initiative.</t>
  </si>
  <si>
    <t>3 - US$ 250,000 out of the contribution will be reserved for delivery support. In addition, Toyota Tsusho will donate five Vaccine Landcruisers to Gavi.</t>
  </si>
  <si>
    <t>4 - Unilever provides resources to Gavi on a leveraged partnership project</t>
  </si>
  <si>
    <t>5 - Includes contributions from other private sector, foundations and organisations.</t>
  </si>
  <si>
    <t>6 - IFFIm Proceeds:  cash disbursements from the World Bank: to the GFA (2006-2012), to Gavi (2013-2021)</t>
  </si>
  <si>
    <t>7 - In 2018, the Gavi Alliance Board approved Gavi supporting research and development of new vaccines by the Coalition for Epidemic Preparedness Innovations (CEPI) through an IFFIm transaction of NOK 600 million (US$ 66 million) to frontload an equivalent Norway grant for this purpose. Subsequently in 2020, the Gavi Alliance Board approved Gavi supporting research and development of new COVID-19 vaccines by CEPI, through a similar IFFIm arrangement. To date, IFFIm has raised US$ 206 million for this initiative supported by additional grants from Norway and Italy.</t>
  </si>
  <si>
    <t>8 - AMC Proceeds: cash transfers from the World Bank to Gavi</t>
  </si>
  <si>
    <t>Wise</t>
  </si>
  <si>
    <t>UBS Optimus Foundation</t>
  </si>
  <si>
    <t>Shell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</si>
</sst>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164" formatCode="_-* #,##0.00_-;\-* #,##0.00_-;_-* &quot;-&quot;??_-;_-@_-"/>
    <numFmt numFmtId="165" formatCode="#,##0.0"/>
    <numFmt numFmtId="166" formatCode="_-* #,##0.00\ _€_-;\-* #,##0.00\ _€_-;_-* &quot;-&quot;??\ _€_-;_-@_-"/>
    <numFmt numFmtId="167" formatCode="_-* #,##0_-;\-* #,##0_-;_-* &quot;-&quot;??_-;_-@_-"/>
    <numFmt numFmtId="168" formatCode="#,##0.0000"/>
    <numFmt numFmtId="169" formatCode="0.0000000"/>
    <numFmt numFmtId="170" formatCode="_(* #,##0.0_);_(* \(#,##0.0\);_(* &quot;-&quot;_);_(@_)"/>
    <numFmt numFmtId="171" formatCode="_(* #,##0.000000_);_(* \(#,##0.000000\);_(* &quot;-&quot;_);_(@_)"/>
    <numFmt numFmtId="172" formatCode="#,##0.000000"/>
  </numFmts>
  <fonts count="2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color rgb="FF0070C0"/>
      <name val="Arial"/>
      <family val="2"/>
    </font>
    <font>
      <u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FEFE1"/>
        <bgColor indexed="64"/>
      </patternFill>
    </fill>
    <fill>
      <patternFill patternType="solid">
        <fgColor rgb="FFDEDAC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4E4E4"/>
        <bgColor theme="0" tint="-0.14996795556505021"/>
      </patternFill>
    </fill>
    <fill>
      <patternFill patternType="mediumGray">
        <fgColor theme="0" tint="-0.24994659260841701"/>
        <bgColor theme="3" tint="0.79998168889431442"/>
      </patternFill>
    </fill>
    <fill>
      <patternFill patternType="mediumGray">
        <fgColor theme="0" tint="-0.24994659260841701"/>
        <bgColor rgb="FFFFFF00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0" tint="-0.14996795556505021"/>
      </bottom>
      <diagonal/>
    </border>
    <border>
      <left style="medium">
        <color indexed="64"/>
      </left>
      <right/>
      <top/>
      <bottom style="medium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 style="medium">
        <color theme="0" tint="-0.14996795556505021"/>
      </bottom>
      <diagonal/>
    </border>
    <border>
      <left/>
      <right style="medium">
        <color indexed="64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indexed="64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theme="0" tint="-0.1499679555650502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theme="0" tint="-0.14996795556505021"/>
      </bottom>
      <diagonal/>
    </border>
    <border>
      <left style="medium">
        <color indexed="64"/>
      </left>
      <right style="thin">
        <color indexed="64"/>
      </right>
      <top/>
      <bottom style="medium">
        <color theme="0" tint="-0.1499679555650502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medium">
        <color theme="0" tint="-0.149967955565050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 tint="-0.14996795556505021"/>
      </top>
      <bottom style="medium">
        <color indexed="64"/>
      </bottom>
      <diagonal/>
    </border>
  </borders>
  <cellStyleXfs count="7">
    <xf numFmtId="0" fontId="0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1" fillId="0" borderId="0"/>
  </cellStyleXfs>
  <cellXfs count="140">
    <xf numFmtId="0" fontId="0" fillId="0" borderId="0" xfId="0"/>
    <xf numFmtId="0" fontId="3" fillId="0" borderId="0" xfId="0" applyFont="1"/>
    <xf numFmtId="0" fontId="4" fillId="0" borderId="0" xfId="0" applyFont="1"/>
    <xf numFmtId="3" fontId="5" fillId="0" borderId="0" xfId="0" applyNumberFormat="1" applyFont="1"/>
    <xf numFmtId="3" fontId="0" fillId="0" borderId="0" xfId="0" applyNumberFormat="1"/>
    <xf numFmtId="3" fontId="5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left" vertical="center"/>
    </xf>
    <xf numFmtId="165" fontId="9" fillId="0" borderId="0" xfId="0" applyNumberFormat="1" applyFont="1"/>
    <xf numFmtId="3" fontId="3" fillId="0" borderId="3" xfId="0" applyNumberFormat="1" applyFont="1" applyBorder="1" applyAlignment="1">
      <alignment horizontal="left" vertical="center"/>
    </xf>
    <xf numFmtId="165" fontId="7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3" fontId="3" fillId="0" borderId="9" xfId="0" applyNumberFormat="1" applyFont="1" applyBorder="1" applyAlignment="1">
      <alignment horizontal="left" vertical="center"/>
    </xf>
    <xf numFmtId="3" fontId="6" fillId="3" borderId="1" xfId="0" applyNumberFormat="1" applyFont="1" applyFill="1" applyBorder="1" applyAlignment="1">
      <alignment horizontal="left" vertical="center" wrapText="1"/>
    </xf>
    <xf numFmtId="3" fontId="6" fillId="0" borderId="0" xfId="0" applyNumberFormat="1" applyFont="1" applyAlignment="1">
      <alignment horizontal="left" vertical="center" wrapText="1"/>
    </xf>
    <xf numFmtId="165" fontId="8" fillId="0" borderId="0" xfId="0" applyNumberFormat="1" applyFont="1" applyAlignment="1">
      <alignment horizontal="right" vertical="center"/>
    </xf>
    <xf numFmtId="3" fontId="3" fillId="0" borderId="3" xfId="0" applyNumberFormat="1" applyFont="1" applyBorder="1" applyAlignment="1">
      <alignment horizontal="left" vertical="center" wrapText="1"/>
    </xf>
    <xf numFmtId="3" fontId="3" fillId="0" borderId="12" xfId="0" applyNumberFormat="1" applyFont="1" applyBorder="1" applyAlignment="1">
      <alignment horizontal="left" vertical="center"/>
    </xf>
    <xf numFmtId="165" fontId="8" fillId="0" borderId="0" xfId="2" applyNumberFormat="1" applyFont="1" applyFill="1" applyBorder="1" applyAlignment="1">
      <alignment horizontal="right" vertical="center"/>
    </xf>
    <xf numFmtId="3" fontId="11" fillId="4" borderId="1" xfId="0" applyNumberFormat="1" applyFont="1" applyFill="1" applyBorder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3" fontId="6" fillId="3" borderId="1" xfId="0" applyNumberFormat="1" applyFont="1" applyFill="1" applyBorder="1" applyAlignment="1">
      <alignment horizontal="left" vertical="center"/>
    </xf>
    <xf numFmtId="3" fontId="6" fillId="4" borderId="1" xfId="0" applyNumberFormat="1" applyFont="1" applyFill="1" applyBorder="1" applyAlignment="1">
      <alignment horizontal="left" vertical="center"/>
    </xf>
    <xf numFmtId="1" fontId="0" fillId="0" borderId="0" xfId="0" applyNumberFormat="1"/>
    <xf numFmtId="0" fontId="9" fillId="0" borderId="0" xfId="0" applyFont="1"/>
    <xf numFmtId="168" fontId="0" fillId="2" borderId="3" xfId="1" applyNumberFormat="1" applyFont="1" applyFill="1" applyBorder="1" applyAlignment="1">
      <alignment vertical="center"/>
    </xf>
    <xf numFmtId="3" fontId="0" fillId="0" borderId="12" xfId="0" applyNumberFormat="1" applyBorder="1" applyAlignment="1">
      <alignment horizontal="left" vertical="center"/>
    </xf>
    <xf numFmtId="3" fontId="0" fillId="0" borderId="3" xfId="0" applyNumberFormat="1" applyBorder="1" applyAlignment="1">
      <alignment horizontal="left" vertical="center"/>
    </xf>
    <xf numFmtId="0" fontId="15" fillId="0" borderId="0" xfId="0" applyFont="1"/>
    <xf numFmtId="3" fontId="3" fillId="0" borderId="1" xfId="0" applyNumberFormat="1" applyFont="1" applyBorder="1" applyAlignment="1">
      <alignment horizontal="left" vertical="center" wrapText="1"/>
    </xf>
    <xf numFmtId="0" fontId="17" fillId="0" borderId="0" xfId="0" applyFont="1"/>
    <xf numFmtId="3" fontId="18" fillId="0" borderId="0" xfId="0" applyNumberFormat="1" applyFont="1"/>
    <xf numFmtId="0" fontId="0" fillId="0" borderId="0" xfId="0" applyAlignment="1">
      <alignment horizontal="left" indent="1"/>
    </xf>
    <xf numFmtId="165" fontId="7" fillId="0" borderId="6" xfId="0" applyNumberFormat="1" applyFont="1" applyBorder="1" applyAlignment="1">
      <alignment horizontal="right" vertical="center"/>
    </xf>
    <xf numFmtId="3" fontId="0" fillId="0" borderId="3" xfId="0" applyNumberFormat="1" applyBorder="1" applyAlignment="1">
      <alignment horizontal="left" vertical="center" wrapText="1"/>
    </xf>
    <xf numFmtId="165" fontId="7" fillId="2" borderId="3" xfId="1" applyNumberFormat="1" applyFont="1" applyFill="1" applyBorder="1" applyAlignment="1">
      <alignment vertical="center"/>
    </xf>
    <xf numFmtId="165" fontId="7" fillId="2" borderId="6" xfId="1" applyNumberFormat="1" applyFont="1" applyFill="1" applyBorder="1" applyAlignment="1">
      <alignment vertical="center"/>
    </xf>
    <xf numFmtId="169" fontId="0" fillId="0" borderId="0" xfId="0" applyNumberFormat="1"/>
    <xf numFmtId="3" fontId="0" fillId="0" borderId="4" xfId="0" applyNumberFormat="1" applyBorder="1" applyAlignment="1">
      <alignment horizontal="left" vertical="center" wrapText="1"/>
    </xf>
    <xf numFmtId="3" fontId="5" fillId="0" borderId="1" xfId="0" applyNumberFormat="1" applyFont="1" applyBorder="1" applyAlignment="1">
      <alignment vertical="center"/>
    </xf>
    <xf numFmtId="0" fontId="19" fillId="7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4" xfId="1" applyNumberFormat="1" applyFont="1" applyFill="1" applyBorder="1" applyAlignment="1">
      <alignment horizontal="right" vertical="center"/>
    </xf>
    <xf numFmtId="3" fontId="7" fillId="0" borderId="4" xfId="0" applyNumberFormat="1" applyFont="1" applyBorder="1"/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/>
    <xf numFmtId="3" fontId="7" fillId="0" borderId="6" xfId="0" applyNumberFormat="1" applyFont="1" applyBorder="1" applyAlignment="1">
      <alignment horizontal="right" vertical="center"/>
    </xf>
    <xf numFmtId="3" fontId="7" fillId="0" borderId="7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10" fillId="0" borderId="3" xfId="0" applyNumberFormat="1" applyFont="1" applyBorder="1" applyAlignment="1">
      <alignment horizontal="right" vertical="center"/>
    </xf>
    <xf numFmtId="3" fontId="7" fillId="0" borderId="3" xfId="1" applyNumberFormat="1" applyFont="1" applyFill="1" applyBorder="1" applyAlignment="1">
      <alignment horizontal="right" vertical="center"/>
    </xf>
    <xf numFmtId="3" fontId="7" fillId="0" borderId="8" xfId="2" applyNumberFormat="1" applyFont="1" applyBorder="1" applyAlignment="1">
      <alignment horizontal="right" vertical="center"/>
    </xf>
    <xf numFmtId="3" fontId="7" fillId="2" borderId="3" xfId="0" applyNumberFormat="1" applyFont="1" applyFill="1" applyBorder="1" applyAlignment="1">
      <alignment horizontal="right" vertical="center"/>
    </xf>
    <xf numFmtId="3" fontId="7" fillId="0" borderId="6" xfId="0" applyNumberFormat="1" applyFont="1" applyBorder="1"/>
    <xf numFmtId="3" fontId="7" fillId="0" borderId="9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12" xfId="0" applyNumberFormat="1" applyFont="1" applyBorder="1" applyAlignment="1">
      <alignment horizontal="right" vertical="center"/>
    </xf>
    <xf numFmtId="3" fontId="7" fillId="0" borderId="12" xfId="1" applyNumberFormat="1" applyFont="1" applyFill="1" applyBorder="1" applyAlignment="1">
      <alignment horizontal="right" vertical="center"/>
    </xf>
    <xf numFmtId="3" fontId="7" fillId="0" borderId="12" xfId="0" applyNumberFormat="1" applyFont="1" applyBorder="1"/>
    <xf numFmtId="3" fontId="8" fillId="3" borderId="1" xfId="0" applyNumberFormat="1" applyFont="1" applyFill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7" fillId="0" borderId="4" xfId="0" applyNumberFormat="1" applyFont="1" applyBorder="1" applyAlignment="1">
      <alignment vertical="center"/>
    </xf>
    <xf numFmtId="3" fontId="7" fillId="2" borderId="4" xfId="1" applyNumberFormat="1" applyFont="1" applyFill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3" fontId="7" fillId="2" borderId="3" xfId="1" applyNumberFormat="1" applyFont="1" applyFill="1" applyBorder="1" applyAlignment="1">
      <alignment vertical="center"/>
    </xf>
    <xf numFmtId="3" fontId="7" fillId="2" borderId="6" xfId="1" applyNumberFormat="1" applyFont="1" applyFill="1" applyBorder="1" applyAlignment="1">
      <alignment vertical="center"/>
    </xf>
    <xf numFmtId="3" fontId="7" fillId="2" borderId="3" xfId="0" applyNumberFormat="1" applyFont="1" applyFill="1" applyBorder="1" applyAlignment="1">
      <alignment vertical="center"/>
    </xf>
    <xf numFmtId="3" fontId="7" fillId="0" borderId="3" xfId="1" applyNumberFormat="1" applyFont="1" applyFill="1" applyBorder="1" applyAlignment="1">
      <alignment vertical="center"/>
    </xf>
    <xf numFmtId="3" fontId="7" fillId="0" borderId="6" xfId="1" applyNumberFormat="1" applyFont="1" applyFill="1" applyBorder="1" applyAlignment="1">
      <alignment vertical="center"/>
    </xf>
    <xf numFmtId="3" fontId="7" fillId="2" borderId="0" xfId="1" applyNumberFormat="1" applyFont="1" applyFill="1" applyBorder="1" applyAlignment="1">
      <alignment vertical="center"/>
    </xf>
    <xf numFmtId="3" fontId="7" fillId="0" borderId="0" xfId="0" applyNumberFormat="1" applyFont="1"/>
    <xf numFmtId="3" fontId="8" fillId="3" borderId="1" xfId="2" applyNumberFormat="1" applyFont="1" applyFill="1" applyBorder="1" applyAlignment="1">
      <alignment vertical="center"/>
    </xf>
    <xf numFmtId="3" fontId="8" fillId="0" borderId="0" xfId="2" applyNumberFormat="1" applyFont="1" applyFill="1" applyBorder="1" applyAlignment="1">
      <alignment horizontal="right" vertical="center"/>
    </xf>
    <xf numFmtId="3" fontId="12" fillId="4" borderId="1" xfId="2" applyNumberFormat="1" applyFont="1" applyFill="1" applyBorder="1" applyAlignment="1">
      <alignment horizontal="right" vertical="center"/>
    </xf>
    <xf numFmtId="3" fontId="8" fillId="3" borderId="2" xfId="0" applyNumberFormat="1" applyFont="1" applyFill="1" applyBorder="1" applyAlignment="1">
      <alignment horizontal="right" vertical="center"/>
    </xf>
    <xf numFmtId="3" fontId="8" fillId="4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Border="1" applyAlignment="1">
      <alignment vertical="center"/>
    </xf>
    <xf numFmtId="3" fontId="7" fillId="2" borderId="1" xfId="1" applyNumberFormat="1" applyFont="1" applyFill="1" applyBorder="1" applyAlignment="1">
      <alignment vertical="center"/>
    </xf>
    <xf numFmtId="3" fontId="7" fillId="2" borderId="2" xfId="1" applyNumberFormat="1" applyFont="1" applyFill="1" applyBorder="1" applyAlignment="1">
      <alignment vertical="center"/>
    </xf>
    <xf numFmtId="41" fontId="6" fillId="7" borderId="4" xfId="0" applyNumberFormat="1" applyFont="1" applyFill="1" applyBorder="1" applyAlignment="1">
      <alignment horizontal="right" vertical="center"/>
    </xf>
    <xf numFmtId="41" fontId="6" fillId="7" borderId="3" xfId="0" applyNumberFormat="1" applyFont="1" applyFill="1" applyBorder="1" applyAlignment="1">
      <alignment horizontal="right" vertical="center"/>
    </xf>
    <xf numFmtId="41" fontId="6" fillId="7" borderId="3" xfId="0" applyNumberFormat="1" applyFont="1" applyFill="1" applyBorder="1"/>
    <xf numFmtId="41" fontId="6" fillId="7" borderId="12" xfId="0" applyNumberFormat="1" applyFont="1" applyFill="1" applyBorder="1" applyAlignment="1">
      <alignment horizontal="right" vertical="center"/>
    </xf>
    <xf numFmtId="41" fontId="6" fillId="7" borderId="4" xfId="0" applyNumberFormat="1" applyFont="1" applyFill="1" applyBorder="1" applyAlignment="1">
      <alignment vertical="center"/>
    </xf>
    <xf numFmtId="41" fontId="6" fillId="7" borderId="3" xfId="0" applyNumberFormat="1" applyFont="1" applyFill="1" applyBorder="1" applyAlignment="1">
      <alignment vertical="center"/>
    </xf>
    <xf numFmtId="41" fontId="6" fillId="7" borderId="3" xfId="1" applyNumberFormat="1" applyFont="1" applyFill="1" applyBorder="1" applyAlignment="1">
      <alignment vertical="center"/>
    </xf>
    <xf numFmtId="41" fontId="6" fillId="3" borderId="1" xfId="2" applyNumberFormat="1" applyFont="1" applyFill="1" applyBorder="1" applyAlignment="1">
      <alignment vertical="center"/>
    </xf>
    <xf numFmtId="41" fontId="6" fillId="8" borderId="14" xfId="0" applyNumberFormat="1" applyFont="1" applyFill="1" applyBorder="1" applyAlignment="1">
      <alignment horizontal="right" vertical="center"/>
    </xf>
    <xf numFmtId="41" fontId="6" fillId="8" borderId="15" xfId="0" applyNumberFormat="1" applyFont="1" applyFill="1" applyBorder="1" applyAlignment="1">
      <alignment horizontal="right" vertical="center"/>
    </xf>
    <xf numFmtId="41" fontId="6" fillId="8" borderId="16" xfId="0" applyNumberFormat="1" applyFont="1" applyFill="1" applyBorder="1" applyAlignment="1">
      <alignment horizontal="right" vertical="center"/>
    </xf>
    <xf numFmtId="41" fontId="6" fillId="8" borderId="14" xfId="0" applyNumberFormat="1" applyFont="1" applyFill="1" applyBorder="1" applyAlignment="1">
      <alignment vertical="center"/>
    </xf>
    <xf numFmtId="41" fontId="6" fillId="8" borderId="15" xfId="0" applyNumberFormat="1" applyFont="1" applyFill="1" applyBorder="1" applyAlignment="1">
      <alignment vertical="center"/>
    </xf>
    <xf numFmtId="41" fontId="6" fillId="8" borderId="16" xfId="0" applyNumberFormat="1" applyFont="1" applyFill="1" applyBorder="1" applyAlignment="1">
      <alignment vertical="center"/>
    </xf>
    <xf numFmtId="41" fontId="6" fillId="8" borderId="4" xfId="0" applyNumberFormat="1" applyFont="1" applyFill="1" applyBorder="1" applyAlignment="1">
      <alignment horizontal="right" vertical="center"/>
    </xf>
    <xf numFmtId="41" fontId="6" fillId="8" borderId="4" xfId="0" applyNumberFormat="1" applyFont="1" applyFill="1" applyBorder="1" applyAlignment="1">
      <alignment vertical="center"/>
    </xf>
    <xf numFmtId="4" fontId="7" fillId="2" borderId="3" xfId="1" applyNumberFormat="1" applyFont="1" applyFill="1" applyBorder="1" applyAlignment="1">
      <alignment vertical="center"/>
    </xf>
    <xf numFmtId="41" fontId="8" fillId="0" borderId="0" xfId="2" applyNumberFormat="1" applyFont="1" applyFill="1" applyBorder="1" applyAlignment="1">
      <alignment horizontal="right" vertical="center"/>
    </xf>
    <xf numFmtId="41" fontId="11" fillId="9" borderId="1" xfId="2" applyNumberFormat="1" applyFont="1" applyFill="1" applyBorder="1" applyAlignment="1">
      <alignment horizontal="right" vertical="center"/>
    </xf>
    <xf numFmtId="41" fontId="6" fillId="10" borderId="1" xfId="0" applyNumberFormat="1" applyFont="1" applyFill="1" applyBorder="1" applyAlignment="1">
      <alignment horizontal="right" vertical="center"/>
    </xf>
    <xf numFmtId="41" fontId="6" fillId="10" borderId="1" xfId="2" applyNumberFormat="1" applyFont="1" applyFill="1" applyBorder="1" applyAlignment="1">
      <alignment vertical="center"/>
    </xf>
    <xf numFmtId="171" fontId="8" fillId="0" borderId="0" xfId="0" applyNumberFormat="1" applyFont="1" applyAlignment="1">
      <alignment horizontal="right" vertical="center"/>
    </xf>
    <xf numFmtId="41" fontId="8" fillId="0" borderId="0" xfId="0" applyNumberFormat="1" applyFont="1" applyAlignment="1">
      <alignment horizontal="right" vertical="center"/>
    </xf>
    <xf numFmtId="41" fontId="7" fillId="5" borderId="21" xfId="0" applyNumberFormat="1" applyFont="1" applyFill="1" applyBorder="1" applyAlignment="1">
      <alignment horizontal="right" vertical="center"/>
    </xf>
    <xf numFmtId="41" fontId="7" fillId="5" borderId="22" xfId="0" applyNumberFormat="1" applyFont="1" applyFill="1" applyBorder="1" applyAlignment="1">
      <alignment horizontal="right" vertical="center"/>
    </xf>
    <xf numFmtId="170" fontId="7" fillId="5" borderId="22" xfId="0" applyNumberFormat="1" applyFont="1" applyFill="1" applyBorder="1" applyAlignment="1">
      <alignment horizontal="right" vertical="center"/>
    </xf>
    <xf numFmtId="41" fontId="6" fillId="6" borderId="19" xfId="0" applyNumberFormat="1" applyFont="1" applyFill="1" applyBorder="1" applyAlignment="1">
      <alignment horizontal="right" vertical="center"/>
    </xf>
    <xf numFmtId="41" fontId="7" fillId="5" borderId="23" xfId="0" applyNumberFormat="1" applyFont="1" applyFill="1" applyBorder="1" applyAlignment="1">
      <alignment horizontal="right" vertical="center"/>
    </xf>
    <xf numFmtId="41" fontId="6" fillId="6" borderId="20" xfId="0" applyNumberFormat="1" applyFont="1" applyFill="1" applyBorder="1" applyAlignment="1">
      <alignment horizontal="right" vertical="center"/>
    </xf>
    <xf numFmtId="0" fontId="6" fillId="5" borderId="23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41" fontId="8" fillId="5" borderId="25" xfId="0" applyNumberFormat="1" applyFont="1" applyFill="1" applyBorder="1" applyAlignment="1">
      <alignment horizontal="right" vertical="center"/>
    </xf>
    <xf numFmtId="41" fontId="8" fillId="5" borderId="26" xfId="0" applyNumberFormat="1" applyFont="1" applyFill="1" applyBorder="1" applyAlignment="1">
      <alignment horizontal="right" vertical="center"/>
    </xf>
    <xf numFmtId="170" fontId="8" fillId="5" borderId="26" xfId="0" applyNumberFormat="1" applyFont="1" applyFill="1" applyBorder="1" applyAlignment="1">
      <alignment horizontal="right" vertical="center"/>
    </xf>
    <xf numFmtId="41" fontId="8" fillId="5" borderId="24" xfId="0" applyNumberFormat="1" applyFont="1" applyFill="1" applyBorder="1" applyAlignment="1">
      <alignment horizontal="right" vertical="center"/>
    </xf>
    <xf numFmtId="0" fontId="19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0" fillId="0" borderId="0" xfId="0" applyFont="1"/>
    <xf numFmtId="3" fontId="3" fillId="0" borderId="4" xfId="0" applyNumberFormat="1" applyFont="1" applyBorder="1" applyAlignment="1">
      <alignment horizontal="left" vertical="center" wrapText="1"/>
    </xf>
    <xf numFmtId="168" fontId="0" fillId="2" borderId="28" xfId="1" applyNumberFormat="1" applyFont="1" applyFill="1" applyBorder="1" applyAlignment="1">
      <alignment vertical="center"/>
    </xf>
    <xf numFmtId="168" fontId="0" fillId="2" borderId="13" xfId="1" applyNumberFormat="1" applyFont="1" applyFill="1" applyBorder="1" applyAlignment="1">
      <alignment vertical="center"/>
    </xf>
    <xf numFmtId="172" fontId="21" fillId="0" borderId="0" xfId="0" applyNumberFormat="1" applyFont="1"/>
    <xf numFmtId="0" fontId="21" fillId="0" borderId="0" xfId="0" applyFont="1"/>
    <xf numFmtId="171" fontId="21" fillId="0" borderId="0" xfId="0" applyNumberFormat="1" applyFont="1"/>
    <xf numFmtId="41" fontId="7" fillId="5" borderId="26" xfId="0" applyNumberFormat="1" applyFont="1" applyFill="1" applyBorder="1" applyAlignment="1">
      <alignment horizontal="right" vertical="center"/>
    </xf>
    <xf numFmtId="41" fontId="7" fillId="5" borderId="24" xfId="0" applyNumberFormat="1" applyFont="1" applyFill="1" applyBorder="1" applyAlignment="1">
      <alignment horizontal="right" vertical="center"/>
    </xf>
    <xf numFmtId="41" fontId="7" fillId="5" borderId="25" xfId="0" applyNumberFormat="1" applyFont="1" applyFill="1" applyBorder="1" applyAlignment="1">
      <alignment horizontal="right" vertical="center"/>
    </xf>
    <xf numFmtId="41" fontId="0" fillId="0" borderId="0" xfId="0" applyNumberFormat="1"/>
    <xf numFmtId="0" fontId="22" fillId="0" borderId="0" xfId="0" applyFont="1"/>
    <xf numFmtId="3" fontId="0" fillId="0" borderId="3" xfId="0" applyNumberFormat="1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left" wrapText="1"/>
    </xf>
    <xf numFmtId="0" fontId="9" fillId="0" borderId="0" xfId="0" applyFont="1" applyAlignment="1">
      <alignment horizontal="left" wrapText="1"/>
    </xf>
    <xf numFmtId="0" fontId="19" fillId="0" borderId="1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</cellXfs>
  <cellStyles count="7">
    <cellStyle name="Comma" xfId="1" builtinId="3"/>
    <cellStyle name="Comma 2" xfId="3" xr:uid="{00000000-0005-0000-0000-000001000000}"/>
    <cellStyle name="Comma 2 2" xfId="5" xr:uid="{00000000-0005-0000-0000-000002000000}"/>
    <cellStyle name="Comma_Sheet1" xfId="2" xr:uid="{00000000-0005-0000-0000-000003000000}"/>
    <cellStyle name="Normal" xfId="0" builtinId="0"/>
    <cellStyle name="Normal 2" xfId="4" xr:uid="{00000000-0005-0000-0000-000005000000}"/>
    <cellStyle name="Normal 2 2" xfId="6" xr:uid="{00000000-0005-0000-0000-000006000000}"/>
  </cellStyles>
  <dxfs count="0"/>
  <tableStyles count="0" defaultTableStyle="TableStyleMedium2" defaultPivotStyle="PivotStyleLight16"/>
  <colors>
    <mruColors>
      <color rgb="FFD3CDB1"/>
      <color rgb="FFE4E4E4"/>
      <color rgb="FFDEDAC4"/>
      <color rgb="FFEFEFE1"/>
      <color rgb="FFE4E4D2"/>
      <color rgb="FFEAEA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31749</xdr:colOff>
      <xdr:row>0</xdr:row>
      <xdr:rowOff>0</xdr:rowOff>
    </xdr:from>
    <xdr:to>
      <xdr:col>0</xdr:col>
      <xdr:colOff>1640351</xdr:colOff>
      <xdr:row>0</xdr:row>
      <xdr:rowOff>777974</xdr:rowOff>
    </xdr:to>
    <xdr:pic>
      <xdr:nvPicPr>
        <xdr:cNvPr id="2" name="Picture 1" descr="Description: Description: Description: Description: cid:image001.png@01CFBDF7.83202F10">
          <a:extLst>
            <a:ext uri="{FF2B5EF4-FFF2-40B4-BE49-F238E27FC236}">
              <a16:creationId xmlns:a16="http://schemas.microsoft.com/office/drawing/2014/main" id="{D1AA2D7A-4915-425F-ACE4-3CCFA53C18A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" y="0"/>
          <a:ext cx="1608602" cy="7779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9A42D-2783-43F0-B01B-8FBCA71E5B27}">
  <sheetPr>
    <pageSetUpPr fitToPage="1"/>
  </sheetPr>
  <dimension ref="A1:AL166"/>
  <sheetViews>
    <sheetView showGridLines="0" tabSelected="1" zoomScale="90" zoomScaleNormal="90" zoomScaleSheetLayoutView="11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10.28515625" defaultRowHeight="12.75" outlineLevelCol="1" x14ac:dyDescent="0.2"/>
  <cols>
    <col min="1" max="1" width="32.7109375" customWidth="1"/>
    <col min="2" max="2" width="2.5703125" customWidth="1"/>
    <col min="3" max="13" width="7.7109375" hidden="1" customWidth="1" outlineLevel="1"/>
    <col min="14" max="14" width="11.85546875" customWidth="1" collapsed="1"/>
    <col min="15" max="15" width="2.5703125" customWidth="1"/>
    <col min="16" max="17" width="7.7109375" hidden="1" customWidth="1" outlineLevel="1"/>
    <col min="18" max="20" width="7.85546875" hidden="1" customWidth="1" outlineLevel="1"/>
    <col min="21" max="21" width="11.85546875" customWidth="1" collapsed="1"/>
    <col min="22" max="22" width="2.5703125" customWidth="1"/>
    <col min="23" max="23" width="7.85546875" hidden="1" customWidth="1" outlineLevel="1"/>
    <col min="24" max="24" width="8" hidden="1" customWidth="1" outlineLevel="1"/>
    <col min="25" max="25" width="7.85546875" hidden="1" customWidth="1" outlineLevel="1"/>
    <col min="26" max="27" width="8" hidden="1" customWidth="1" outlineLevel="1"/>
    <col min="28" max="28" width="11.85546875" customWidth="1" collapsed="1"/>
    <col min="29" max="29" width="2.5703125" customWidth="1"/>
    <col min="30" max="30" width="13.140625" bestFit="1" customWidth="1" outlineLevel="1"/>
    <col min="31" max="31" width="2.5703125" customWidth="1"/>
    <col min="32" max="32" width="13.42578125" customWidth="1"/>
    <col min="33" max="33" width="4.42578125" customWidth="1"/>
    <col min="34" max="34" width="7.85546875" customWidth="1"/>
    <col min="35" max="36" width="13.42578125" customWidth="1"/>
    <col min="37" max="37" width="2.5703125" customWidth="1"/>
    <col min="38" max="38" width="13.42578125" customWidth="1"/>
    <col min="39" max="39" width="2.7109375" customWidth="1"/>
    <col min="40" max="40" width="13.28515625" bestFit="1" customWidth="1"/>
    <col min="41" max="41" width="12.7109375" bestFit="1" customWidth="1"/>
  </cols>
  <sheetData>
    <row r="1" spans="1:38" ht="70.5" customHeight="1" x14ac:dyDescent="0.2"/>
    <row r="2" spans="1:38" ht="23.25" customHeight="1" x14ac:dyDescent="0.45">
      <c r="A2" s="29" t="s">
        <v>0</v>
      </c>
      <c r="P2" s="1"/>
      <c r="Q2" s="1"/>
      <c r="R2" s="1"/>
      <c r="S2" s="1"/>
      <c r="T2" s="1"/>
      <c r="U2" s="1"/>
      <c r="W2" s="1"/>
      <c r="X2" s="1"/>
      <c r="Y2" s="1"/>
      <c r="Z2" s="1"/>
      <c r="AA2" s="1"/>
      <c r="AB2" s="1"/>
      <c r="AD2" s="1"/>
    </row>
    <row r="3" spans="1:38" ht="15.75" x14ac:dyDescent="0.25">
      <c r="A3" s="2" t="s">
        <v>1</v>
      </c>
      <c r="P3" s="1"/>
      <c r="Q3" s="1"/>
      <c r="R3" s="1"/>
      <c r="S3" s="1"/>
      <c r="T3" s="1"/>
      <c r="U3" s="1"/>
      <c r="W3" s="1"/>
      <c r="X3" s="1"/>
      <c r="Y3" s="1"/>
      <c r="Z3" s="1"/>
      <c r="AA3" s="1"/>
      <c r="AB3" s="1"/>
      <c r="AD3" s="1"/>
    </row>
    <row r="4" spans="1:38" ht="16.5" thickBot="1" x14ac:dyDescent="0.3">
      <c r="A4" s="3" t="s">
        <v>2</v>
      </c>
      <c r="C4" s="4"/>
      <c r="D4" s="4"/>
      <c r="E4" s="4"/>
      <c r="F4" s="4"/>
      <c r="G4" s="4"/>
      <c r="H4" s="4"/>
      <c r="I4" s="4"/>
      <c r="J4" s="4"/>
      <c r="W4" s="12"/>
      <c r="X4" s="12"/>
      <c r="Y4" s="12"/>
      <c r="Z4" s="12"/>
      <c r="AA4" s="12"/>
    </row>
    <row r="5" spans="1:38" ht="33" customHeight="1" thickBot="1" x14ac:dyDescent="0.3">
      <c r="A5" s="32"/>
      <c r="C5" s="4"/>
      <c r="D5" s="4"/>
      <c r="E5" s="4"/>
      <c r="F5" s="4"/>
      <c r="G5" s="4"/>
      <c r="H5" s="4"/>
      <c r="I5" s="4"/>
      <c r="J5" s="4"/>
      <c r="AH5" s="137" t="s">
        <v>3</v>
      </c>
      <c r="AI5" s="138"/>
      <c r="AJ5" s="139"/>
      <c r="AL5" s="133" t="s">
        <v>4</v>
      </c>
    </row>
    <row r="6" spans="1:38" ht="30.75" thickBot="1" x14ac:dyDescent="0.25">
      <c r="A6" s="40" t="s">
        <v>5</v>
      </c>
      <c r="C6" s="6">
        <v>2000</v>
      </c>
      <c r="D6" s="6">
        <v>2001</v>
      </c>
      <c r="E6" s="6">
        <v>2002</v>
      </c>
      <c r="F6" s="6">
        <v>2003</v>
      </c>
      <c r="G6" s="6">
        <v>2004</v>
      </c>
      <c r="H6" s="7">
        <v>2005</v>
      </c>
      <c r="I6" s="6">
        <v>2006</v>
      </c>
      <c r="J6" s="7">
        <v>2007</v>
      </c>
      <c r="K6" s="6">
        <v>2008</v>
      </c>
      <c r="L6" s="7">
        <v>2009</v>
      </c>
      <c r="M6" s="7">
        <v>2010</v>
      </c>
      <c r="N6" s="41" t="s">
        <v>6</v>
      </c>
      <c r="P6" s="7">
        <v>2011</v>
      </c>
      <c r="Q6" s="7">
        <v>2012</v>
      </c>
      <c r="R6" s="7">
        <v>2013</v>
      </c>
      <c r="S6" s="7">
        <v>2014</v>
      </c>
      <c r="T6" s="7">
        <v>2015</v>
      </c>
      <c r="U6" s="41" t="s">
        <v>7</v>
      </c>
      <c r="W6" s="7">
        <v>2016</v>
      </c>
      <c r="X6" s="7">
        <v>2017</v>
      </c>
      <c r="Y6" s="7">
        <v>2018</v>
      </c>
      <c r="Z6" s="7">
        <v>2019</v>
      </c>
      <c r="AA6" s="7">
        <v>2020</v>
      </c>
      <c r="AB6" s="41" t="s">
        <v>8</v>
      </c>
      <c r="AD6" s="7">
        <v>2021</v>
      </c>
      <c r="AF6" s="42" t="s">
        <v>9</v>
      </c>
      <c r="AH6" s="112">
        <v>2020</v>
      </c>
      <c r="AI6" s="113">
        <v>2021</v>
      </c>
      <c r="AJ6" s="118" t="s">
        <v>10</v>
      </c>
      <c r="AL6" s="134"/>
    </row>
    <row r="7" spans="1:38" ht="13.5" thickBot="1" x14ac:dyDescent="0.25">
      <c r="A7" s="8" t="s">
        <v>11</v>
      </c>
      <c r="C7" s="43"/>
      <c r="D7" s="43"/>
      <c r="E7" s="43"/>
      <c r="F7" s="43"/>
      <c r="G7" s="43"/>
      <c r="H7" s="44"/>
      <c r="I7" s="44">
        <v>5</v>
      </c>
      <c r="J7" s="45">
        <v>5</v>
      </c>
      <c r="K7" s="46">
        <v>5</v>
      </c>
      <c r="L7" s="44">
        <v>5</v>
      </c>
      <c r="M7" s="44">
        <v>8.6</v>
      </c>
      <c r="N7" s="83">
        <f>SUM(C7:M7)</f>
        <v>28.6</v>
      </c>
      <c r="P7" s="44">
        <v>48.844000000000001</v>
      </c>
      <c r="Q7" s="44">
        <v>56.485500000000002</v>
      </c>
      <c r="R7" s="44">
        <v>48.277250000000002</v>
      </c>
      <c r="S7" s="44">
        <f>45.79575+42.825</f>
        <v>88.620750000000001</v>
      </c>
      <c r="T7" s="44"/>
      <c r="U7" s="83">
        <f>SUM(P7:T7)</f>
        <v>242.22750000000002</v>
      </c>
      <c r="W7" s="44">
        <v>37.579124999999998</v>
      </c>
      <c r="X7" s="44">
        <f>1.852+13.65175</f>
        <v>15.50375</v>
      </c>
      <c r="Y7" s="44"/>
      <c r="Z7" s="44">
        <f>22.31575+20.4070375+24.071875</f>
        <v>66.794662500000001</v>
      </c>
      <c r="AA7" s="44">
        <f>7.665+29.44425</f>
        <v>37.109250000000003</v>
      </c>
      <c r="AB7" s="83">
        <f>SUM(W7:AA7)</f>
        <v>156.98678749999999</v>
      </c>
      <c r="AD7" s="44">
        <v>20.913</v>
      </c>
      <c r="AF7" s="91">
        <f>SUM(AB7,U7,N7,AD7)</f>
        <v>448.72728750000005</v>
      </c>
      <c r="AG7" s="33"/>
      <c r="AH7" s="106">
        <v>28.511231739999999</v>
      </c>
      <c r="AI7" s="129">
        <f>1.90273211+3.09078161</f>
        <v>4.9935137200000002</v>
      </c>
      <c r="AJ7" s="114">
        <f>SUM(AH7:AI7)</f>
        <v>33.504745460000002</v>
      </c>
      <c r="AL7" s="91">
        <f>SUM(AF7,AJ7)</f>
        <v>482.23203296000003</v>
      </c>
    </row>
    <row r="8" spans="1:38" ht="13.5" thickBot="1" x14ac:dyDescent="0.25">
      <c r="A8" s="28" t="s">
        <v>12</v>
      </c>
      <c r="C8" s="43"/>
      <c r="D8" s="50"/>
      <c r="E8" s="43"/>
      <c r="F8" s="43"/>
      <c r="G8" s="50"/>
      <c r="H8" s="47"/>
      <c r="I8" s="43"/>
      <c r="J8" s="43"/>
      <c r="K8" s="48"/>
      <c r="L8" s="43"/>
      <c r="M8" s="43"/>
      <c r="N8" s="84">
        <f t="shared" ref="N8:N11" si="0">SUM(C8:M8)</f>
        <v>0</v>
      </c>
      <c r="P8" s="43"/>
      <c r="Q8" s="49"/>
      <c r="R8" s="49"/>
      <c r="S8" s="49"/>
      <c r="T8" s="49"/>
      <c r="U8" s="84">
        <f t="shared" ref="U8:U11" si="1">SUM(P8:T8)</f>
        <v>0</v>
      </c>
      <c r="W8" s="49"/>
      <c r="X8" s="49"/>
      <c r="Y8" s="49"/>
      <c r="Z8" s="49"/>
      <c r="AA8" s="49"/>
      <c r="AB8" s="84">
        <f t="shared" ref="AB8:AB11" si="2">SUM(W8:AA8)</f>
        <v>0</v>
      </c>
      <c r="AD8" s="49"/>
      <c r="AF8" s="92">
        <f t="shared" ref="AF8:AF11" si="3">SUM(AB8,U8,N8,AD8)</f>
        <v>0</v>
      </c>
      <c r="AG8" s="33"/>
      <c r="AH8" s="107"/>
      <c r="AI8" s="127">
        <f>2.83512+2.94775+2.82975</f>
        <v>8.6126199999999997</v>
      </c>
      <c r="AJ8" s="115">
        <f t="shared" ref="AJ8:AJ58" si="4">SUM(AH8:AI8)</f>
        <v>8.6126199999999997</v>
      </c>
      <c r="AL8" s="92">
        <f t="shared" ref="AL8:AL58" si="5">SUM(AF8,AJ8)</f>
        <v>8.6126199999999997</v>
      </c>
    </row>
    <row r="9" spans="1:38" ht="13.5" thickBot="1" x14ac:dyDescent="0.25">
      <c r="A9" s="28" t="s">
        <v>13</v>
      </c>
      <c r="C9" s="43"/>
      <c r="D9" s="50"/>
      <c r="E9" s="43"/>
      <c r="F9" s="43"/>
      <c r="G9" s="50"/>
      <c r="H9" s="47"/>
      <c r="I9" s="43"/>
      <c r="J9" s="43"/>
      <c r="K9" s="48"/>
      <c r="L9" s="43"/>
      <c r="M9" s="43"/>
      <c r="N9" s="84">
        <f t="shared" ref="N9" si="6">SUM(C9:M9)</f>
        <v>0</v>
      </c>
      <c r="P9" s="43"/>
      <c r="Q9" s="49"/>
      <c r="R9" s="49"/>
      <c r="S9" s="49"/>
      <c r="T9" s="49"/>
      <c r="U9" s="84">
        <f t="shared" ref="U9" si="7">SUM(P9:T9)</f>
        <v>0</v>
      </c>
      <c r="W9" s="49"/>
      <c r="X9" s="49"/>
      <c r="Y9" s="49"/>
      <c r="Z9" s="49"/>
      <c r="AA9" s="49"/>
      <c r="AB9" s="84">
        <f t="shared" ref="AB9" si="8">SUM(W9:AA9)</f>
        <v>0</v>
      </c>
      <c r="AD9" s="49"/>
      <c r="AF9" s="92">
        <f t="shared" ref="AF9" si="9">SUM(AB9,U9,N9,AD9)</f>
        <v>0</v>
      </c>
      <c r="AG9" s="33"/>
      <c r="AH9" s="107"/>
      <c r="AI9" s="127">
        <v>2.5</v>
      </c>
      <c r="AJ9" s="115">
        <f t="shared" ref="AJ9" si="10">SUM(AH9:AI9)</f>
        <v>2.5</v>
      </c>
      <c r="AL9" s="92">
        <f t="shared" ref="AL9" si="11">SUM(AF9,AJ9)</f>
        <v>2.5</v>
      </c>
    </row>
    <row r="10" spans="1:38" ht="13.5" thickBot="1" x14ac:dyDescent="0.25">
      <c r="A10" s="28" t="s">
        <v>14</v>
      </c>
      <c r="C10" s="43"/>
      <c r="D10" s="50"/>
      <c r="E10" s="43"/>
      <c r="F10" s="43"/>
      <c r="G10" s="50"/>
      <c r="H10" s="47"/>
      <c r="I10" s="43"/>
      <c r="J10" s="43"/>
      <c r="K10" s="48"/>
      <c r="L10" s="43"/>
      <c r="M10" s="43"/>
      <c r="N10" s="84">
        <f t="shared" ref="N10" si="12">SUM(C10:M10)</f>
        <v>0</v>
      </c>
      <c r="P10" s="43"/>
      <c r="Q10" s="49"/>
      <c r="R10" s="49"/>
      <c r="S10" s="49"/>
      <c r="T10" s="49"/>
      <c r="U10" s="84">
        <f t="shared" ref="U10" si="13">SUM(P10:T10)</f>
        <v>0</v>
      </c>
      <c r="W10" s="49"/>
      <c r="X10" s="49"/>
      <c r="Y10" s="49"/>
      <c r="Z10" s="49"/>
      <c r="AA10" s="49"/>
      <c r="AB10" s="84">
        <f t="shared" ref="AB10" si="14">SUM(W10:AA10)</f>
        <v>0</v>
      </c>
      <c r="AD10" s="49"/>
      <c r="AF10" s="92">
        <f t="shared" ref="AF10" si="15">SUM(AB10,U10,N10,AD10)</f>
        <v>0</v>
      </c>
      <c r="AG10" s="33"/>
      <c r="AH10" s="107"/>
      <c r="AI10" s="127">
        <v>4.8844000000000003</v>
      </c>
      <c r="AJ10" s="115">
        <f t="shared" ref="AJ10" si="16">SUM(AH10:AI10)</f>
        <v>4.8844000000000003</v>
      </c>
      <c r="AL10" s="92">
        <f t="shared" ref="AL10" si="17">SUM(AF10,AJ10)</f>
        <v>4.8844000000000003</v>
      </c>
    </row>
    <row r="11" spans="1:38" ht="13.5" thickBot="1" x14ac:dyDescent="0.25">
      <c r="A11" s="28" t="s">
        <v>15</v>
      </c>
      <c r="C11" s="43"/>
      <c r="D11" s="50"/>
      <c r="E11" s="43"/>
      <c r="F11" s="43"/>
      <c r="G11" s="50"/>
      <c r="H11" s="47"/>
      <c r="I11" s="43"/>
      <c r="J11" s="43"/>
      <c r="K11" s="48"/>
      <c r="L11" s="43"/>
      <c r="M11" s="43"/>
      <c r="N11" s="84">
        <f t="shared" si="0"/>
        <v>0</v>
      </c>
      <c r="P11" s="43"/>
      <c r="Q11" s="49"/>
      <c r="R11" s="49"/>
      <c r="S11" s="49"/>
      <c r="T11" s="49"/>
      <c r="U11" s="84">
        <f t="shared" si="1"/>
        <v>0</v>
      </c>
      <c r="W11" s="49"/>
      <c r="X11" s="49"/>
      <c r="Y11" s="49"/>
      <c r="Z11" s="49"/>
      <c r="AA11" s="49"/>
      <c r="AB11" s="84">
        <f t="shared" si="2"/>
        <v>0</v>
      </c>
      <c r="AD11" s="49"/>
      <c r="AF11" s="92">
        <f t="shared" si="3"/>
        <v>0</v>
      </c>
      <c r="AG11" s="33"/>
      <c r="AH11" s="107"/>
      <c r="AI11" s="127">
        <v>5.0000000000000001E-3</v>
      </c>
      <c r="AJ11" s="115">
        <f t="shared" si="4"/>
        <v>5.0000000000000001E-3</v>
      </c>
      <c r="AL11" s="92">
        <f t="shared" si="5"/>
        <v>5.0000000000000001E-3</v>
      </c>
    </row>
    <row r="12" spans="1:38" ht="13.5" thickBot="1" x14ac:dyDescent="0.25">
      <c r="A12" s="28" t="s">
        <v>16</v>
      </c>
      <c r="C12" s="43"/>
      <c r="D12" s="50"/>
      <c r="E12" s="43"/>
      <c r="F12" s="43"/>
      <c r="G12" s="50"/>
      <c r="H12" s="47"/>
      <c r="I12" s="43"/>
      <c r="J12" s="43"/>
      <c r="K12" s="48"/>
      <c r="L12" s="43"/>
      <c r="M12" s="43"/>
      <c r="N12" s="84">
        <f t="shared" ref="N12" si="18">SUM(C12:M12)</f>
        <v>0</v>
      </c>
      <c r="P12" s="43"/>
      <c r="Q12" s="49"/>
      <c r="R12" s="49"/>
      <c r="S12" s="49"/>
      <c r="T12" s="49"/>
      <c r="U12" s="84">
        <f t="shared" ref="U12" si="19">SUM(P12:T12)</f>
        <v>0</v>
      </c>
      <c r="W12" s="49"/>
      <c r="X12" s="49"/>
      <c r="Y12" s="49"/>
      <c r="Z12" s="49"/>
      <c r="AA12" s="49"/>
      <c r="AB12" s="84">
        <f t="shared" ref="AB12" si="20">SUM(W12:AA12)</f>
        <v>0</v>
      </c>
      <c r="AD12" s="49">
        <v>1</v>
      </c>
      <c r="AF12" s="92">
        <f t="shared" ref="AF12" si="21">SUM(AB12,U12,N12,AD12)</f>
        <v>1</v>
      </c>
      <c r="AG12" s="33"/>
      <c r="AH12" s="107"/>
      <c r="AI12" s="127"/>
      <c r="AJ12" s="115">
        <f t="shared" ref="AJ12" si="22">SUM(AH12:AI12)</f>
        <v>0</v>
      </c>
      <c r="AL12" s="92">
        <f t="shared" ref="AL12" si="23">SUM(AF12,AJ12)</f>
        <v>1</v>
      </c>
    </row>
    <row r="13" spans="1:38" ht="13.5" thickBot="1" x14ac:dyDescent="0.25">
      <c r="A13" s="10" t="s">
        <v>17</v>
      </c>
      <c r="C13" s="43"/>
      <c r="D13" s="43"/>
      <c r="E13" s="43">
        <v>1.88035602</v>
      </c>
      <c r="F13" s="43">
        <v>4.7554213499999998</v>
      </c>
      <c r="G13" s="43">
        <v>9.0627342500000001</v>
      </c>
      <c r="H13" s="47">
        <v>130.86864059999999</v>
      </c>
      <c r="I13" s="43">
        <v>5.1903114199999996</v>
      </c>
      <c r="J13" s="43"/>
      <c r="K13" s="48"/>
      <c r="L13" s="43"/>
      <c r="M13" s="43"/>
      <c r="N13" s="84">
        <f t="shared" ref="N13:N58" si="24">SUM(C13:M13)</f>
        <v>151.75746364</v>
      </c>
      <c r="P13" s="43">
        <v>20.736000000000001</v>
      </c>
      <c r="Q13" s="49">
        <v>15.128593039999998</v>
      </c>
      <c r="R13" s="49">
        <v>38.974714310000003</v>
      </c>
      <c r="S13" s="49">
        <f>18.32844575+18.32844575</f>
        <v>36.6568915</v>
      </c>
      <c r="T13" s="49">
        <v>8.0340000000000007</v>
      </c>
      <c r="U13" s="84">
        <f t="shared" ref="U13:U58" si="25">SUM(P13:T13)</f>
        <v>119.53019885000002</v>
      </c>
      <c r="W13" s="49">
        <v>77.10330716</v>
      </c>
      <c r="X13" s="49">
        <f>76.26582082+16.27927621</f>
        <v>92.545097029999994</v>
      </c>
      <c r="Y13" s="49">
        <v>76.86314084</v>
      </c>
      <c r="Z13" s="49">
        <v>94.881251149999997</v>
      </c>
      <c r="AA13" s="49">
        <v>68.355820251599994</v>
      </c>
      <c r="AB13" s="84">
        <f t="shared" ref="AB13:AB58" si="26">SUM(W13:AA13)</f>
        <v>409.7486164316</v>
      </c>
      <c r="AD13" s="49">
        <v>73.72460212</v>
      </c>
      <c r="AF13" s="92">
        <f t="shared" ref="AF13:AF58" si="27">SUM(AB13,U13,N13,AD13)</f>
        <v>754.76088104159999</v>
      </c>
      <c r="AG13" s="33"/>
      <c r="AH13" s="107"/>
      <c r="AI13" s="127">
        <f>25+86.17988092+87.97184901+175.31277393</f>
        <v>374.46450385999998</v>
      </c>
      <c r="AJ13" s="115">
        <f t="shared" si="4"/>
        <v>374.46450385999998</v>
      </c>
      <c r="AL13" s="92">
        <f t="shared" si="5"/>
        <v>1129.2253849015999</v>
      </c>
    </row>
    <row r="14" spans="1:38" ht="13.5" thickBot="1" x14ac:dyDescent="0.25">
      <c r="A14" s="28" t="s">
        <v>18</v>
      </c>
      <c r="C14" s="43"/>
      <c r="D14" s="50"/>
      <c r="E14" s="43"/>
      <c r="F14" s="43"/>
      <c r="G14" s="50"/>
      <c r="H14" s="47"/>
      <c r="I14" s="43"/>
      <c r="J14" s="43"/>
      <c r="K14" s="48"/>
      <c r="L14" s="43"/>
      <c r="M14" s="43"/>
      <c r="N14" s="84">
        <f t="shared" si="24"/>
        <v>0</v>
      </c>
      <c r="P14" s="43"/>
      <c r="Q14" s="49"/>
      <c r="R14" s="49"/>
      <c r="S14" s="49"/>
      <c r="T14" s="49"/>
      <c r="U14" s="84">
        <f t="shared" ref="U14" si="28">SUM(P14:T14)</f>
        <v>0</v>
      </c>
      <c r="W14" s="49"/>
      <c r="X14" s="49"/>
      <c r="Y14" s="49"/>
      <c r="Z14" s="49"/>
      <c r="AA14" s="49"/>
      <c r="AB14" s="84">
        <f t="shared" ref="AB14" si="29">SUM(W14:AA14)</f>
        <v>0</v>
      </c>
      <c r="AD14" s="49"/>
      <c r="AF14" s="92">
        <f t="shared" si="27"/>
        <v>0</v>
      </c>
      <c r="AG14" s="33"/>
      <c r="AH14" s="107"/>
      <c r="AI14" s="127">
        <v>0.59</v>
      </c>
      <c r="AJ14" s="115">
        <f t="shared" ref="AJ14" si="30">SUM(AH14:AI14)</f>
        <v>0.59</v>
      </c>
      <c r="AL14" s="92">
        <f t="shared" ref="AL14" si="31">SUM(AF14,AJ14)</f>
        <v>0.59</v>
      </c>
    </row>
    <row r="15" spans="1:38" ht="13.5" thickBot="1" x14ac:dyDescent="0.25">
      <c r="A15" s="28" t="s">
        <v>19</v>
      </c>
      <c r="C15" s="43"/>
      <c r="D15" s="50"/>
      <c r="E15" s="43"/>
      <c r="F15" s="43"/>
      <c r="G15" s="50"/>
      <c r="H15" s="47"/>
      <c r="I15" s="43"/>
      <c r="J15" s="43"/>
      <c r="K15" s="48"/>
      <c r="L15" s="43"/>
      <c r="M15" s="43"/>
      <c r="N15" s="84">
        <f t="shared" si="24"/>
        <v>0</v>
      </c>
      <c r="P15" s="43"/>
      <c r="Q15" s="49"/>
      <c r="R15" s="49"/>
      <c r="S15" s="49"/>
      <c r="T15" s="49"/>
      <c r="U15" s="84">
        <f t="shared" si="25"/>
        <v>0</v>
      </c>
      <c r="W15" s="49">
        <v>2</v>
      </c>
      <c r="X15" s="49">
        <v>1</v>
      </c>
      <c r="Y15" s="49">
        <v>0.5</v>
      </c>
      <c r="Z15" s="49">
        <v>0.5</v>
      </c>
      <c r="AA15" s="49">
        <v>1</v>
      </c>
      <c r="AB15" s="84">
        <f t="shared" si="26"/>
        <v>5</v>
      </c>
      <c r="AD15" s="49">
        <v>4</v>
      </c>
      <c r="AF15" s="92">
        <f t="shared" si="27"/>
        <v>9</v>
      </c>
      <c r="AG15" s="33"/>
      <c r="AH15" s="107"/>
      <c r="AI15" s="127"/>
      <c r="AJ15" s="115">
        <f t="shared" si="4"/>
        <v>0</v>
      </c>
      <c r="AL15" s="92">
        <f t="shared" si="5"/>
        <v>9</v>
      </c>
    </row>
    <row r="16" spans="1:38" ht="13.5" thickBot="1" x14ac:dyDescent="0.25">
      <c r="A16" s="28" t="s">
        <v>20</v>
      </c>
      <c r="C16" s="43"/>
      <c r="D16" s="50"/>
      <c r="E16" s="43"/>
      <c r="F16" s="43"/>
      <c r="G16" s="50"/>
      <c r="H16" s="47"/>
      <c r="I16" s="43"/>
      <c r="J16" s="43"/>
      <c r="K16" s="48"/>
      <c r="L16" s="43"/>
      <c r="M16" s="43"/>
      <c r="N16" s="84">
        <f t="shared" si="24"/>
        <v>0</v>
      </c>
      <c r="P16" s="43"/>
      <c r="Q16" s="49"/>
      <c r="R16" s="49"/>
      <c r="S16" s="49"/>
      <c r="T16" s="49"/>
      <c r="U16" s="84">
        <f t="shared" si="25"/>
        <v>0</v>
      </c>
      <c r="W16" s="49"/>
      <c r="X16" s="49"/>
      <c r="Y16" s="49"/>
      <c r="Z16" s="49"/>
      <c r="AA16" s="49"/>
      <c r="AB16" s="84">
        <f t="shared" si="26"/>
        <v>0</v>
      </c>
      <c r="AD16" s="49"/>
      <c r="AF16" s="92">
        <f t="shared" si="27"/>
        <v>0</v>
      </c>
      <c r="AG16" s="33"/>
      <c r="AH16" s="107">
        <v>0.5</v>
      </c>
      <c r="AI16" s="127"/>
      <c r="AJ16" s="115">
        <f t="shared" si="4"/>
        <v>0.5</v>
      </c>
      <c r="AL16" s="92">
        <f t="shared" si="5"/>
        <v>0.5</v>
      </c>
    </row>
    <row r="17" spans="1:38" ht="13.5" thickBot="1" x14ac:dyDescent="0.25">
      <c r="A17" s="10" t="s">
        <v>21</v>
      </c>
      <c r="C17" s="43"/>
      <c r="D17" s="50">
        <v>1.1474074299999999</v>
      </c>
      <c r="E17" s="43"/>
      <c r="F17" s="43"/>
      <c r="G17" s="50">
        <v>3.3388792199999999</v>
      </c>
      <c r="H17" s="51">
        <v>3.4161073900000001</v>
      </c>
      <c r="I17" s="43">
        <v>4.4112623400000004</v>
      </c>
      <c r="J17" s="43">
        <v>4.7375400000000001</v>
      </c>
      <c r="K17" s="48"/>
      <c r="L17" s="43">
        <v>9.0983955899999991</v>
      </c>
      <c r="M17" s="43">
        <v>1.807207</v>
      </c>
      <c r="N17" s="84">
        <f t="shared" si="24"/>
        <v>27.956798970000001</v>
      </c>
      <c r="P17" s="43">
        <v>8.798</v>
      </c>
      <c r="Q17" s="49">
        <v>4.3516250000000003</v>
      </c>
      <c r="R17" s="49">
        <v>4.5993378800000002</v>
      </c>
      <c r="S17" s="49"/>
      <c r="T17" s="49"/>
      <c r="U17" s="84">
        <f t="shared" si="25"/>
        <v>17.748962880000001</v>
      </c>
      <c r="W17" s="49"/>
      <c r="X17" s="49"/>
      <c r="Y17" s="49">
        <v>3.8159674899999998</v>
      </c>
      <c r="Z17" s="49">
        <v>3.6509349800000002</v>
      </c>
      <c r="AA17" s="49">
        <v>7.8875910999999999</v>
      </c>
      <c r="AB17" s="84">
        <f t="shared" si="26"/>
        <v>15.354493569999999</v>
      </c>
      <c r="AD17" s="49"/>
      <c r="AF17" s="92">
        <f t="shared" si="27"/>
        <v>61.060255419999997</v>
      </c>
      <c r="AG17" s="33"/>
      <c r="AH17" s="107"/>
      <c r="AI17" s="127">
        <f>7.91851255+7.99475263</f>
        <v>15.91326518</v>
      </c>
      <c r="AJ17" s="115">
        <f t="shared" si="4"/>
        <v>15.91326518</v>
      </c>
      <c r="AL17" s="92">
        <f t="shared" si="5"/>
        <v>76.973520600000001</v>
      </c>
    </row>
    <row r="18" spans="1:38" ht="13.5" thickBot="1" x14ac:dyDescent="0.25">
      <c r="A18" s="10" t="s">
        <v>22</v>
      </c>
      <c r="C18" s="43"/>
      <c r="D18" s="50"/>
      <c r="E18" s="43"/>
      <c r="F18" s="50"/>
      <c r="G18" s="50"/>
      <c r="H18" s="51"/>
      <c r="I18" s="43"/>
      <c r="J18" s="43"/>
      <c r="K18" s="48"/>
      <c r="L18" s="43"/>
      <c r="M18" s="43"/>
      <c r="N18" s="84">
        <f t="shared" si="24"/>
        <v>0</v>
      </c>
      <c r="P18" s="43"/>
      <c r="Q18" s="49"/>
      <c r="R18" s="49"/>
      <c r="S18" s="49"/>
      <c r="T18" s="49"/>
      <c r="U18" s="84">
        <f t="shared" si="25"/>
        <v>0</v>
      </c>
      <c r="W18" s="49"/>
      <c r="X18" s="49"/>
      <c r="Y18" s="49"/>
      <c r="Z18" s="49"/>
      <c r="AA18" s="49"/>
      <c r="AB18" s="84">
        <f t="shared" si="26"/>
        <v>0</v>
      </c>
      <c r="AD18" s="49"/>
      <c r="AF18" s="92">
        <f t="shared" si="27"/>
        <v>0</v>
      </c>
      <c r="AG18" s="33"/>
      <c r="AH18" s="108">
        <v>8.5266999999999996E-2</v>
      </c>
      <c r="AI18" s="127">
        <v>8.2963999999999996E-2</v>
      </c>
      <c r="AJ18" s="116">
        <f t="shared" si="4"/>
        <v>0.16823099999999999</v>
      </c>
      <c r="AL18" s="92">
        <f t="shared" si="5"/>
        <v>0.16823099999999999</v>
      </c>
    </row>
    <row r="19" spans="1:38" ht="13.5" thickBot="1" x14ac:dyDescent="0.25">
      <c r="A19" s="10" t="s">
        <v>23</v>
      </c>
      <c r="C19" s="43"/>
      <c r="D19" s="43"/>
      <c r="E19" s="43"/>
      <c r="F19" s="50">
        <v>1.26</v>
      </c>
      <c r="G19" s="43"/>
      <c r="H19" s="51"/>
      <c r="I19" s="43"/>
      <c r="J19" s="43">
        <v>4.84964</v>
      </c>
      <c r="K19" s="48">
        <v>23.129114000000001</v>
      </c>
      <c r="L19" s="43">
        <v>28.630130000000001</v>
      </c>
      <c r="M19" s="43"/>
      <c r="N19" s="84">
        <f t="shared" si="24"/>
        <v>57.868884000000001</v>
      </c>
      <c r="P19" s="52"/>
      <c r="Q19" s="49">
        <v>12.54732252</v>
      </c>
      <c r="R19" s="49"/>
      <c r="S19" s="49"/>
      <c r="T19" s="49">
        <v>22.27009</v>
      </c>
      <c r="U19" s="84">
        <f t="shared" si="25"/>
        <v>34.817412519999998</v>
      </c>
      <c r="W19" s="49">
        <v>14.401260000000001</v>
      </c>
      <c r="X19" s="49">
        <v>7.8138899999999998</v>
      </c>
      <c r="Y19" s="49">
        <f>30.83275+22.80911886</f>
        <v>53.641868860000002</v>
      </c>
      <c r="Z19" s="49">
        <f>9.8694+80.7264</f>
        <v>90.595799999999997</v>
      </c>
      <c r="AA19" s="49">
        <v>16.350000000000001</v>
      </c>
      <c r="AB19" s="84">
        <f t="shared" si="26"/>
        <v>182.80281886</v>
      </c>
      <c r="AD19" s="49">
        <f>30.83275+1.0966+8.9696</f>
        <v>40.898949999999999</v>
      </c>
      <c r="AF19" s="92">
        <f t="shared" si="27"/>
        <v>316.38806538</v>
      </c>
      <c r="AG19" s="33"/>
      <c r="AH19" s="107"/>
      <c r="AI19" s="127">
        <v>338.85</v>
      </c>
      <c r="AJ19" s="115">
        <f t="shared" si="4"/>
        <v>338.85</v>
      </c>
      <c r="AL19" s="92">
        <f t="shared" si="5"/>
        <v>655.23806538000008</v>
      </c>
    </row>
    <row r="20" spans="1:38" ht="13.5" thickBot="1" x14ac:dyDescent="0.25">
      <c r="A20" s="10" t="s">
        <v>24</v>
      </c>
      <c r="C20" s="43"/>
      <c r="D20" s="43"/>
      <c r="E20" s="43"/>
      <c r="F20" s="50"/>
      <c r="G20" s="50"/>
      <c r="H20" s="51"/>
      <c r="I20" s="43"/>
      <c r="J20" s="43"/>
      <c r="K20" s="48"/>
      <c r="L20" s="43"/>
      <c r="M20" s="43"/>
      <c r="N20" s="84">
        <f t="shared" si="24"/>
        <v>0</v>
      </c>
      <c r="P20" s="52"/>
      <c r="Q20" s="49"/>
      <c r="R20" s="49"/>
      <c r="S20" s="49"/>
      <c r="T20" s="49"/>
      <c r="U20" s="84">
        <f t="shared" si="25"/>
        <v>0</v>
      </c>
      <c r="W20" s="49"/>
      <c r="X20" s="49"/>
      <c r="Y20" s="49"/>
      <c r="Z20" s="49"/>
      <c r="AA20" s="49">
        <v>3.0407500000000001</v>
      </c>
      <c r="AB20" s="84">
        <f t="shared" si="26"/>
        <v>3.0407500000000001</v>
      </c>
      <c r="AD20" s="49"/>
      <c r="AF20" s="92">
        <f t="shared" si="27"/>
        <v>3.0407500000000001</v>
      </c>
      <c r="AG20" s="33"/>
      <c r="AH20" s="107"/>
      <c r="AI20" s="127"/>
      <c r="AJ20" s="115">
        <f t="shared" si="4"/>
        <v>0</v>
      </c>
      <c r="AL20" s="92">
        <f t="shared" si="5"/>
        <v>3.0407500000000001</v>
      </c>
    </row>
    <row r="21" spans="1:38" ht="13.5" thickBot="1" x14ac:dyDescent="0.25">
      <c r="A21" s="28" t="s">
        <v>25</v>
      </c>
      <c r="C21" s="43"/>
      <c r="D21" s="43"/>
      <c r="E21" s="43"/>
      <c r="F21" s="43"/>
      <c r="G21" s="50">
        <v>6.0291139200000003</v>
      </c>
      <c r="H21" s="51"/>
      <c r="I21" s="43">
        <v>12.63</v>
      </c>
      <c r="J21" s="43"/>
      <c r="K21" s="48"/>
      <c r="L21" s="43"/>
      <c r="M21" s="43"/>
      <c r="N21" s="84">
        <f t="shared" si="24"/>
        <v>18.659113920000003</v>
      </c>
      <c r="P21" s="43">
        <v>34.5</v>
      </c>
      <c r="Q21" s="49">
        <v>20.102150000000002</v>
      </c>
      <c r="R21" s="49">
        <v>34.93515</v>
      </c>
      <c r="S21" s="49">
        <v>6.8425500000000001</v>
      </c>
      <c r="T21" s="49">
        <v>5.8586</v>
      </c>
      <c r="U21" s="84">
        <f t="shared" si="25"/>
        <v>102.23845</v>
      </c>
      <c r="W21" s="49">
        <v>134.53778</v>
      </c>
      <c r="X21" s="49"/>
      <c r="Y21" s="49"/>
      <c r="Z21" s="49"/>
      <c r="AA21" s="49">
        <v>18.169499999999999</v>
      </c>
      <c r="AB21" s="84">
        <f t="shared" si="26"/>
        <v>152.70728</v>
      </c>
      <c r="AD21" s="49">
        <v>33.595423799999999</v>
      </c>
      <c r="AF21" s="92">
        <f t="shared" si="27"/>
        <v>307.20026772</v>
      </c>
      <c r="AG21" s="33"/>
      <c r="AH21" s="107"/>
      <c r="AI21" s="127">
        <f>42.845544+29.6775+84.42825+20.60977162+23.29758782</f>
        <v>200.85865344000001</v>
      </c>
      <c r="AJ21" s="115">
        <f t="shared" si="4"/>
        <v>200.85865344000001</v>
      </c>
      <c r="AL21" s="92">
        <f t="shared" si="5"/>
        <v>508.05892116000001</v>
      </c>
    </row>
    <row r="22" spans="1:38" ht="13.5" thickBot="1" x14ac:dyDescent="0.25">
      <c r="A22" s="10" t="s">
        <v>26</v>
      </c>
      <c r="C22" s="43"/>
      <c r="D22" s="43"/>
      <c r="E22" s="43"/>
      <c r="F22" s="43"/>
      <c r="G22" s="43"/>
      <c r="H22" s="51"/>
      <c r="I22" s="43">
        <v>5.2603999999999997</v>
      </c>
      <c r="J22" s="43">
        <v>5.9480000000000004</v>
      </c>
      <c r="K22" s="48"/>
      <c r="L22" s="43">
        <v>5.7213799999999999</v>
      </c>
      <c r="M22" s="43">
        <v>5.13598</v>
      </c>
      <c r="N22" s="84">
        <f t="shared" si="24"/>
        <v>22.065760000000001</v>
      </c>
      <c r="P22" s="43">
        <v>8.5</v>
      </c>
      <c r="Q22" s="49">
        <v>34.692483279999998</v>
      </c>
      <c r="R22" s="49">
        <v>35.390059999999998</v>
      </c>
      <c r="S22" s="49">
        <f>11.6316+27.47318393+11.2563+9.96968308</f>
        <v>60.330767010000002</v>
      </c>
      <c r="T22" s="49">
        <f>13.6327654+11.148+11.243+11.265+10.744+5.26329122</f>
        <v>63.296056620000002</v>
      </c>
      <c r="U22" s="84">
        <f t="shared" si="25"/>
        <v>202.20936691</v>
      </c>
      <c r="W22" s="49">
        <v>115.24406384</v>
      </c>
      <c r="X22" s="49">
        <f>6.73968835+4.13493716+21.6599+11.2108+11.82085255+6.98574453+23.50283884+11.75141942+11.77411421+6.99919409+21.38212304+11.7821</f>
        <v>149.74371219</v>
      </c>
      <c r="Y22" s="49">
        <f>12.1637438+3.0409359375+9.1228078125+48.654975+34.1016+22.6642+28.33025</f>
        <v>158.07851255</v>
      </c>
      <c r="Z22" s="49">
        <f>18.67846875+18.69210195+18.66483555+18.67846875+77.91</f>
        <v>152.623875</v>
      </c>
      <c r="AA22" s="49">
        <f>18.962625+37.92525+18.962625</f>
        <v>75.850499999999997</v>
      </c>
      <c r="AB22" s="84">
        <f t="shared" si="26"/>
        <v>651.54066358</v>
      </c>
      <c r="AD22" s="49">
        <f>34.25025+34.25025+34.25025+34.25025+29.54</f>
        <v>166.541</v>
      </c>
      <c r="AF22" s="92">
        <f t="shared" si="27"/>
        <v>1042.3567904899999</v>
      </c>
      <c r="AG22" s="33"/>
      <c r="AH22" s="107">
        <v>121.14499313</v>
      </c>
      <c r="AI22" s="127">
        <v>827.16319318000001</v>
      </c>
      <c r="AJ22" s="115">
        <f t="shared" si="4"/>
        <v>948.30818631</v>
      </c>
      <c r="AL22" s="92">
        <f t="shared" si="5"/>
        <v>1990.6649767999997</v>
      </c>
    </row>
    <row r="23" spans="1:38" ht="13.5" thickBot="1" x14ac:dyDescent="0.25">
      <c r="A23" s="28" t="s">
        <v>27</v>
      </c>
      <c r="C23" s="43"/>
      <c r="D23" s="50"/>
      <c r="E23" s="43"/>
      <c r="F23" s="43"/>
      <c r="G23" s="50"/>
      <c r="H23" s="47"/>
      <c r="I23" s="43"/>
      <c r="J23" s="43"/>
      <c r="K23" s="48"/>
      <c r="L23" s="43"/>
      <c r="M23" s="43"/>
      <c r="N23" s="84">
        <f t="shared" si="24"/>
        <v>0</v>
      </c>
      <c r="P23" s="43"/>
      <c r="Q23" s="49"/>
      <c r="R23" s="49"/>
      <c r="S23" s="49"/>
      <c r="T23" s="49"/>
      <c r="U23" s="84">
        <f t="shared" ref="U23" si="32">SUM(P23:T23)</f>
        <v>0</v>
      </c>
      <c r="W23" s="49"/>
      <c r="X23" s="49"/>
      <c r="Y23" s="49"/>
      <c r="Z23" s="49"/>
      <c r="AA23" s="49"/>
      <c r="AB23" s="84">
        <f t="shared" ref="AB23" si="33">SUM(W23:AA23)</f>
        <v>0</v>
      </c>
      <c r="AD23" s="49"/>
      <c r="AF23" s="92">
        <f t="shared" si="27"/>
        <v>0</v>
      </c>
      <c r="AG23" s="33"/>
      <c r="AH23" s="107"/>
      <c r="AI23" s="127">
        <v>1.80585</v>
      </c>
      <c r="AJ23" s="115">
        <f t="shared" ref="AJ23" si="34">SUM(AH23:AI23)</f>
        <v>1.80585</v>
      </c>
      <c r="AL23" s="92">
        <f t="shared" ref="AL23" si="35">SUM(AF23,AJ23)</f>
        <v>1.80585</v>
      </c>
    </row>
    <row r="24" spans="1:38" ht="13.5" thickBot="1" x14ac:dyDescent="0.25">
      <c r="A24" s="28" t="s">
        <v>28</v>
      </c>
      <c r="C24" s="43"/>
      <c r="D24" s="43"/>
      <c r="E24" s="50"/>
      <c r="F24" s="50"/>
      <c r="G24" s="50"/>
      <c r="H24" s="51"/>
      <c r="I24" s="43"/>
      <c r="J24" s="43"/>
      <c r="K24" s="48"/>
      <c r="L24" s="43"/>
      <c r="M24" s="43"/>
      <c r="N24" s="84">
        <f t="shared" si="24"/>
        <v>0</v>
      </c>
      <c r="P24" s="43"/>
      <c r="Q24" s="49"/>
      <c r="R24" s="49"/>
      <c r="S24" s="49"/>
      <c r="T24" s="49"/>
      <c r="U24" s="84">
        <f t="shared" si="25"/>
        <v>0</v>
      </c>
      <c r="W24" s="49"/>
      <c r="X24" s="49"/>
      <c r="Y24" s="49">
        <v>1</v>
      </c>
      <c r="Z24" s="49"/>
      <c r="AA24" s="49"/>
      <c r="AB24" s="84">
        <f t="shared" si="26"/>
        <v>1</v>
      </c>
      <c r="AD24" s="49"/>
      <c r="AF24" s="92">
        <f t="shared" si="27"/>
        <v>1</v>
      </c>
      <c r="AG24" s="33"/>
      <c r="AH24" s="107"/>
      <c r="AI24" s="127">
        <f>1.92337283+4.12473189</f>
        <v>6.0481047199999995</v>
      </c>
      <c r="AJ24" s="115">
        <f t="shared" si="4"/>
        <v>6.0481047199999995</v>
      </c>
      <c r="AL24" s="92">
        <f t="shared" si="5"/>
        <v>7.0481047199999995</v>
      </c>
    </row>
    <row r="25" spans="1:38" ht="13.5" thickBot="1" x14ac:dyDescent="0.25">
      <c r="A25" s="28" t="s">
        <v>29</v>
      </c>
      <c r="C25" s="43"/>
      <c r="D25" s="43"/>
      <c r="E25" s="50"/>
      <c r="F25" s="50"/>
      <c r="G25" s="50"/>
      <c r="H25" s="51"/>
      <c r="I25" s="43"/>
      <c r="J25" s="43"/>
      <c r="K25" s="48"/>
      <c r="L25" s="43"/>
      <c r="M25" s="43"/>
      <c r="N25" s="84">
        <f t="shared" si="24"/>
        <v>0</v>
      </c>
      <c r="P25" s="43"/>
      <c r="Q25" s="49"/>
      <c r="R25" s="49"/>
      <c r="S25" s="49">
        <f>1+1</f>
        <v>2</v>
      </c>
      <c r="T25" s="49">
        <v>1</v>
      </c>
      <c r="U25" s="84">
        <f t="shared" si="25"/>
        <v>3</v>
      </c>
      <c r="W25" s="49">
        <v>1</v>
      </c>
      <c r="X25" s="49"/>
      <c r="Y25" s="49">
        <v>2</v>
      </c>
      <c r="Z25" s="49">
        <f>2+2</f>
        <v>4</v>
      </c>
      <c r="AA25" s="49"/>
      <c r="AB25" s="84">
        <f t="shared" si="26"/>
        <v>7</v>
      </c>
      <c r="AD25" s="49">
        <f>2+3</f>
        <v>5</v>
      </c>
      <c r="AF25" s="92">
        <f t="shared" si="27"/>
        <v>15</v>
      </c>
      <c r="AG25" s="33"/>
      <c r="AH25" s="107"/>
      <c r="AI25" s="127"/>
      <c r="AJ25" s="115">
        <f t="shared" si="4"/>
        <v>0</v>
      </c>
      <c r="AL25" s="92">
        <f t="shared" si="5"/>
        <v>15</v>
      </c>
    </row>
    <row r="26" spans="1:38" ht="13.5" thickBot="1" x14ac:dyDescent="0.25">
      <c r="A26" s="10" t="s">
        <v>30</v>
      </c>
      <c r="C26" s="43"/>
      <c r="D26" s="43"/>
      <c r="E26" s="50">
        <v>0.51075000000000004</v>
      </c>
      <c r="F26" s="50">
        <v>0.62375000000000003</v>
      </c>
      <c r="G26" s="50">
        <v>0.65</v>
      </c>
      <c r="H26" s="51">
        <v>0.83145999999999998</v>
      </c>
      <c r="I26" s="43">
        <v>7.9020000000000001</v>
      </c>
      <c r="J26" s="53">
        <v>8.3111999999999995</v>
      </c>
      <c r="K26" s="48">
        <v>3.8413200000000001</v>
      </c>
      <c r="L26" s="43">
        <v>3.54</v>
      </c>
      <c r="M26" s="43">
        <v>3.6308630000000002</v>
      </c>
      <c r="N26" s="84">
        <f t="shared" si="24"/>
        <v>29.841343000000002</v>
      </c>
      <c r="P26" s="43">
        <v>4.9130000000000003</v>
      </c>
      <c r="Q26" s="49">
        <v>3.4915850000000002</v>
      </c>
      <c r="R26" s="49">
        <v>2.9849399999999999</v>
      </c>
      <c r="S26" s="49">
        <v>0.74670000000000003</v>
      </c>
      <c r="T26" s="49">
        <v>3.2814000000000001</v>
      </c>
      <c r="U26" s="84">
        <f t="shared" si="25"/>
        <v>15.417625000000001</v>
      </c>
      <c r="W26" s="49">
        <v>3.20139</v>
      </c>
      <c r="X26" s="49">
        <v>3.53277749</v>
      </c>
      <c r="Y26" s="49">
        <v>3.4058999999999999</v>
      </c>
      <c r="Z26" s="49">
        <v>3.3682799999999999</v>
      </c>
      <c r="AA26" s="49">
        <v>3.2463000000000002</v>
      </c>
      <c r="AB26" s="84">
        <f t="shared" si="26"/>
        <v>16.75464749</v>
      </c>
      <c r="AD26" s="49">
        <v>3.5190000000000001</v>
      </c>
      <c r="AF26" s="92">
        <f t="shared" si="27"/>
        <v>65.532615489999998</v>
      </c>
      <c r="AG26" s="33"/>
      <c r="AH26" s="107"/>
      <c r="AI26" s="127">
        <f>4.772+3.47895</f>
        <v>8.2509499999999996</v>
      </c>
      <c r="AJ26" s="115">
        <f t="shared" si="4"/>
        <v>8.2509499999999996</v>
      </c>
      <c r="AL26" s="92">
        <f t="shared" si="5"/>
        <v>73.783565490000001</v>
      </c>
    </row>
    <row r="27" spans="1:38" ht="13.5" thickBot="1" x14ac:dyDescent="0.25">
      <c r="A27" s="28" t="s">
        <v>31</v>
      </c>
      <c r="C27" s="43"/>
      <c r="D27" s="43"/>
      <c r="E27" s="50"/>
      <c r="F27" s="50"/>
      <c r="G27" s="50"/>
      <c r="H27" s="51"/>
      <c r="I27" s="43"/>
      <c r="J27" s="53"/>
      <c r="K27" s="48"/>
      <c r="L27" s="43"/>
      <c r="M27" s="43"/>
      <c r="N27" s="84">
        <f t="shared" si="24"/>
        <v>0</v>
      </c>
      <c r="P27" s="43"/>
      <c r="Q27" s="49"/>
      <c r="R27" s="49"/>
      <c r="S27" s="49"/>
      <c r="T27" s="49"/>
      <c r="U27" s="84">
        <f t="shared" si="25"/>
        <v>0</v>
      </c>
      <c r="W27" s="49">
        <v>4.2531999999999996</v>
      </c>
      <c r="X27" s="49">
        <v>14.32920461</v>
      </c>
      <c r="Y27" s="49">
        <v>32.418120000000002</v>
      </c>
      <c r="Z27" s="49">
        <v>31.113600000000002</v>
      </c>
      <c r="AA27" s="49">
        <v>32.569600000000001</v>
      </c>
      <c r="AB27" s="84">
        <f t="shared" si="26"/>
        <v>114.68372461000001</v>
      </c>
      <c r="AD27" s="49">
        <v>4.7977999999999996</v>
      </c>
      <c r="AF27" s="92">
        <f t="shared" si="27"/>
        <v>119.48152461000001</v>
      </c>
      <c r="AG27" s="33"/>
      <c r="AH27" s="107"/>
      <c r="AI27" s="127">
        <f>79.375+24.492+338.85</f>
        <v>442.71700000000004</v>
      </c>
      <c r="AJ27" s="115">
        <f t="shared" si="4"/>
        <v>442.71700000000004</v>
      </c>
      <c r="AL27" s="92">
        <f t="shared" si="5"/>
        <v>562.19852461000005</v>
      </c>
    </row>
    <row r="28" spans="1:38" ht="13.5" thickBot="1" x14ac:dyDescent="0.25">
      <c r="A28" s="10" t="s">
        <v>32</v>
      </c>
      <c r="C28" s="43"/>
      <c r="D28" s="43"/>
      <c r="E28" s="50"/>
      <c r="F28" s="50"/>
      <c r="G28" s="50"/>
      <c r="H28" s="51"/>
      <c r="I28" s="43"/>
      <c r="J28" s="53"/>
      <c r="K28" s="48"/>
      <c r="L28" s="43"/>
      <c r="M28" s="43"/>
      <c r="N28" s="84">
        <f t="shared" si="24"/>
        <v>0</v>
      </c>
      <c r="P28" s="43">
        <v>9.3480000000000008</v>
      </c>
      <c r="Q28" s="49">
        <v>9.0673919999999999</v>
      </c>
      <c r="R28" s="49">
        <v>9.0673919999999999</v>
      </c>
      <c r="S28" s="49">
        <v>8.6844629999999992</v>
      </c>
      <c r="T28" s="49">
        <v>17.368928</v>
      </c>
      <c r="U28" s="84">
        <f t="shared" si="25"/>
        <v>53.536175</v>
      </c>
      <c r="W28" s="49">
        <v>18.759418</v>
      </c>
      <c r="X28" s="49">
        <f>0.166666+19</f>
        <v>19.166665999999999</v>
      </c>
      <c r="Y28" s="49">
        <f>0.181818+18.818181+0.178571</f>
        <v>19.178570000000001</v>
      </c>
      <c r="Z28" s="49">
        <f>18.85+0.160714</f>
        <v>19.010714</v>
      </c>
      <c r="AA28" s="49">
        <f>18.6881+35+35-30</f>
        <v>58.688099999999991</v>
      </c>
      <c r="AB28" s="84">
        <f t="shared" si="26"/>
        <v>134.80346800000001</v>
      </c>
      <c r="AD28" s="49">
        <v>0.122627</v>
      </c>
      <c r="AF28" s="92">
        <f t="shared" si="27"/>
        <v>188.46227000000002</v>
      </c>
      <c r="AG28" s="33"/>
      <c r="AH28" s="107">
        <f>15+15+30</f>
        <v>60</v>
      </c>
      <c r="AI28" s="127">
        <f>50+90</f>
        <v>140</v>
      </c>
      <c r="AJ28" s="115">
        <f t="shared" si="4"/>
        <v>200</v>
      </c>
      <c r="AL28" s="92">
        <f t="shared" si="5"/>
        <v>388.46226999999999</v>
      </c>
    </row>
    <row r="29" spans="1:38" ht="13.5" thickBot="1" x14ac:dyDescent="0.25">
      <c r="A29" s="28" t="s">
        <v>33</v>
      </c>
      <c r="C29" s="43"/>
      <c r="D29" s="43"/>
      <c r="E29" s="50"/>
      <c r="F29" s="50"/>
      <c r="G29" s="50"/>
      <c r="H29" s="51"/>
      <c r="I29" s="43"/>
      <c r="J29" s="53"/>
      <c r="K29" s="48"/>
      <c r="L29" s="43"/>
      <c r="M29" s="43"/>
      <c r="N29" s="84">
        <f t="shared" si="24"/>
        <v>0</v>
      </c>
      <c r="P29" s="43"/>
      <c r="Q29" s="49"/>
      <c r="R29" s="49"/>
      <c r="S29" s="49"/>
      <c r="T29" s="49"/>
      <c r="U29" s="84">
        <f t="shared" si="25"/>
        <v>0</v>
      </c>
      <c r="W29" s="49"/>
      <c r="X29" s="49"/>
      <c r="Y29" s="49"/>
      <c r="Z29" s="49">
        <v>0.5</v>
      </c>
      <c r="AA29" s="49">
        <v>0.5</v>
      </c>
      <c r="AB29" s="84">
        <f t="shared" si="26"/>
        <v>1</v>
      </c>
      <c r="AD29" s="49"/>
      <c r="AF29" s="92">
        <f t="shared" si="27"/>
        <v>1</v>
      </c>
      <c r="AG29" s="33"/>
      <c r="AH29" s="107">
        <v>10</v>
      </c>
      <c r="AI29" s="127">
        <f>20+10</f>
        <v>30</v>
      </c>
      <c r="AJ29" s="115">
        <f t="shared" si="4"/>
        <v>40</v>
      </c>
      <c r="AL29" s="92">
        <f t="shared" si="5"/>
        <v>41</v>
      </c>
    </row>
    <row r="30" spans="1:38" ht="13.5" thickBot="1" x14ac:dyDescent="0.25">
      <c r="A30" s="28" t="s">
        <v>34</v>
      </c>
      <c r="C30" s="43"/>
      <c r="D30" s="50"/>
      <c r="E30" s="43"/>
      <c r="F30" s="43"/>
      <c r="G30" s="50"/>
      <c r="H30" s="47"/>
      <c r="I30" s="43"/>
      <c r="J30" s="43"/>
      <c r="K30" s="48"/>
      <c r="L30" s="43"/>
      <c r="M30" s="43"/>
      <c r="N30" s="84">
        <f t="shared" si="24"/>
        <v>0</v>
      </c>
      <c r="P30" s="43"/>
      <c r="Q30" s="49"/>
      <c r="R30" s="49"/>
      <c r="S30" s="49"/>
      <c r="T30" s="49"/>
      <c r="U30" s="84">
        <f t="shared" ref="U30" si="36">SUM(P30:T30)</f>
        <v>0</v>
      </c>
      <c r="W30" s="49"/>
      <c r="X30" s="49"/>
      <c r="Y30" s="49"/>
      <c r="Z30" s="49"/>
      <c r="AA30" s="49"/>
      <c r="AB30" s="84">
        <f t="shared" ref="AB30" si="37">SUM(W30:AA30)</f>
        <v>0</v>
      </c>
      <c r="AD30" s="49"/>
      <c r="AF30" s="92">
        <f t="shared" si="27"/>
        <v>0</v>
      </c>
      <c r="AG30" s="33"/>
      <c r="AH30" s="107"/>
      <c r="AI30" s="127">
        <f>0.10950819+0.10678325</f>
        <v>0.21629144</v>
      </c>
      <c r="AJ30" s="115">
        <f t="shared" ref="AJ30" si="38">SUM(AH30:AI30)</f>
        <v>0.21629144</v>
      </c>
      <c r="AL30" s="92">
        <f t="shared" ref="AL30" si="39">SUM(AF30,AJ30)</f>
        <v>0.21629144</v>
      </c>
    </row>
    <row r="31" spans="1:38" ht="13.5" thickBot="1" x14ac:dyDescent="0.25">
      <c r="A31" s="10" t="s">
        <v>35</v>
      </c>
      <c r="C31" s="43"/>
      <c r="D31" s="43"/>
      <c r="E31" s="50"/>
      <c r="F31" s="50"/>
      <c r="G31" s="50"/>
      <c r="H31" s="54">
        <v>0.64515</v>
      </c>
      <c r="I31" s="43">
        <v>1.318775</v>
      </c>
      <c r="J31" s="53">
        <v>0.81184000000000001</v>
      </c>
      <c r="K31" s="48">
        <v>1.4229000000000001</v>
      </c>
      <c r="L31" s="43">
        <v>1.1912400000000001</v>
      </c>
      <c r="M31" s="43">
        <v>1.1004400000000001</v>
      </c>
      <c r="N31" s="84">
        <f t="shared" si="24"/>
        <v>6.4903450000000005</v>
      </c>
      <c r="P31" s="43">
        <v>1.1859999999999999</v>
      </c>
      <c r="Q31" s="49">
        <v>1.0752701</v>
      </c>
      <c r="R31" s="49">
        <v>1.0590259</v>
      </c>
      <c r="S31" s="49">
        <v>1.1205940000000001</v>
      </c>
      <c r="T31" s="49">
        <v>0.92074765999999997</v>
      </c>
      <c r="U31" s="84">
        <f t="shared" si="25"/>
        <v>5.3616376599999995</v>
      </c>
      <c r="W31" s="49">
        <v>0.89615856999999999</v>
      </c>
      <c r="X31" s="49">
        <v>0.863788</v>
      </c>
      <c r="Y31" s="49">
        <v>0.91593999999999998</v>
      </c>
      <c r="Z31" s="49">
        <v>0.88240200000000002</v>
      </c>
      <c r="AA31" s="49">
        <v>0.94431200000000004</v>
      </c>
      <c r="AB31" s="84">
        <f t="shared" si="26"/>
        <v>4.5026005700000002</v>
      </c>
      <c r="AD31" s="49">
        <v>1.1918</v>
      </c>
      <c r="AF31" s="92">
        <f t="shared" si="27"/>
        <v>17.54638323</v>
      </c>
      <c r="AG31" s="33"/>
      <c r="AH31" s="107"/>
      <c r="AI31" s="127">
        <f>0.60715+0.60125+0.586+2.252756</f>
        <v>4.0471560000000002</v>
      </c>
      <c r="AJ31" s="115">
        <f t="shared" si="4"/>
        <v>4.0471560000000002</v>
      </c>
      <c r="AL31" s="92">
        <f t="shared" si="5"/>
        <v>21.593539230000001</v>
      </c>
    </row>
    <row r="32" spans="1:38" ht="13.5" thickBot="1" x14ac:dyDescent="0.25">
      <c r="A32" s="10" t="s">
        <v>36</v>
      </c>
      <c r="C32" s="43"/>
      <c r="D32" s="43"/>
      <c r="E32" s="50"/>
      <c r="F32" s="50"/>
      <c r="G32" s="50"/>
      <c r="H32" s="54"/>
      <c r="I32" s="43"/>
      <c r="J32" s="53"/>
      <c r="K32" s="48"/>
      <c r="L32" s="43"/>
      <c r="M32" s="43"/>
      <c r="N32" s="84">
        <f t="shared" si="24"/>
        <v>0</v>
      </c>
      <c r="P32" s="43"/>
      <c r="Q32" s="49"/>
      <c r="R32" s="49"/>
      <c r="S32" s="49"/>
      <c r="T32" s="49"/>
      <c r="U32" s="84">
        <f t="shared" si="25"/>
        <v>0</v>
      </c>
      <c r="W32" s="49"/>
      <c r="X32" s="49"/>
      <c r="Y32" s="49"/>
      <c r="Z32" s="49"/>
      <c r="AA32" s="49"/>
      <c r="AB32" s="84">
        <f t="shared" si="26"/>
        <v>0</v>
      </c>
      <c r="AD32" s="49"/>
      <c r="AF32" s="92">
        <f t="shared" si="27"/>
        <v>0</v>
      </c>
      <c r="AG32" s="33"/>
      <c r="AH32" s="107"/>
      <c r="AI32" s="127">
        <v>0.1</v>
      </c>
      <c r="AJ32" s="115">
        <f t="shared" si="4"/>
        <v>0.1</v>
      </c>
      <c r="AL32" s="92">
        <f t="shared" si="5"/>
        <v>0.1</v>
      </c>
    </row>
    <row r="33" spans="1:38" ht="13.5" thickBot="1" x14ac:dyDescent="0.25">
      <c r="A33" s="10" t="s">
        <v>37</v>
      </c>
      <c r="C33" s="43"/>
      <c r="D33" s="43"/>
      <c r="E33" s="50"/>
      <c r="F33" s="50"/>
      <c r="G33" s="50"/>
      <c r="H33" s="54"/>
      <c r="I33" s="43"/>
      <c r="J33" s="53"/>
      <c r="K33" s="48"/>
      <c r="L33" s="43"/>
      <c r="M33" s="43"/>
      <c r="N33" s="84">
        <f t="shared" ref="N33" si="40">SUM(C33:M33)</f>
        <v>0</v>
      </c>
      <c r="P33" s="43"/>
      <c r="Q33" s="49"/>
      <c r="R33" s="49"/>
      <c r="S33" s="49"/>
      <c r="T33" s="49"/>
      <c r="U33" s="84">
        <f t="shared" ref="U33" si="41">SUM(P33:T33)</f>
        <v>0</v>
      </c>
      <c r="W33" s="49"/>
      <c r="X33" s="49"/>
      <c r="Y33" s="49"/>
      <c r="Z33" s="49"/>
      <c r="AA33" s="49"/>
      <c r="AB33" s="84">
        <f t="shared" ref="AB33" si="42">SUM(W33:AA33)</f>
        <v>0</v>
      </c>
      <c r="AD33" s="49"/>
      <c r="AF33" s="92">
        <f t="shared" ref="AF33" si="43">SUM(AB33,U33,N33,AD33)</f>
        <v>0</v>
      </c>
      <c r="AG33" s="33"/>
      <c r="AH33" s="107"/>
      <c r="AI33" s="127">
        <v>4.7204000000000003E-2</v>
      </c>
      <c r="AJ33" s="115">
        <f t="shared" ref="AJ33" si="44">SUM(AH33:AI33)</f>
        <v>4.7204000000000003E-2</v>
      </c>
      <c r="AL33" s="92">
        <f t="shared" ref="AL33" si="45">SUM(AF33,AJ33)</f>
        <v>4.7204000000000003E-2</v>
      </c>
    </row>
    <row r="34" spans="1:38" ht="13.5" thickBot="1" x14ac:dyDescent="0.25">
      <c r="A34" s="10" t="s">
        <v>38</v>
      </c>
      <c r="C34" s="43"/>
      <c r="D34" s="43"/>
      <c r="E34" s="50"/>
      <c r="F34" s="50"/>
      <c r="G34" s="50"/>
      <c r="H34" s="54"/>
      <c r="I34" s="43"/>
      <c r="J34" s="53"/>
      <c r="K34" s="48"/>
      <c r="L34" s="43"/>
      <c r="M34" s="43"/>
      <c r="N34" s="84">
        <f t="shared" si="24"/>
        <v>0</v>
      </c>
      <c r="P34" s="43"/>
      <c r="Q34" s="49"/>
      <c r="R34" s="49"/>
      <c r="S34" s="49"/>
      <c r="T34" s="49"/>
      <c r="U34" s="84">
        <f t="shared" si="25"/>
        <v>0</v>
      </c>
      <c r="W34" s="49"/>
      <c r="X34" s="49"/>
      <c r="Y34" s="49"/>
      <c r="Z34" s="49"/>
      <c r="AA34" s="49">
        <f>0.0025-0.0025</f>
        <v>0</v>
      </c>
      <c r="AB34" s="84">
        <f t="shared" si="26"/>
        <v>0</v>
      </c>
      <c r="AD34" s="49"/>
      <c r="AF34" s="92">
        <f t="shared" si="27"/>
        <v>0</v>
      </c>
      <c r="AG34" s="33"/>
      <c r="AH34" s="107"/>
      <c r="AI34" s="127">
        <v>2.5000000000000001E-3</v>
      </c>
      <c r="AJ34" s="115">
        <f t="shared" si="4"/>
        <v>2.5000000000000001E-3</v>
      </c>
      <c r="AL34" s="92">
        <f t="shared" si="5"/>
        <v>2.5000000000000001E-3</v>
      </c>
    </row>
    <row r="35" spans="1:38" ht="13.5" thickBot="1" x14ac:dyDescent="0.25">
      <c r="A35" s="10" t="s">
        <v>39</v>
      </c>
      <c r="C35" s="43"/>
      <c r="D35" s="43"/>
      <c r="E35" s="50"/>
      <c r="F35" s="50"/>
      <c r="G35" s="50"/>
      <c r="H35" s="54"/>
      <c r="I35" s="43"/>
      <c r="J35" s="53"/>
      <c r="K35" s="48"/>
      <c r="L35" s="43"/>
      <c r="M35" s="43"/>
      <c r="N35" s="84">
        <f t="shared" si="24"/>
        <v>0</v>
      </c>
      <c r="P35" s="43"/>
      <c r="Q35" s="49"/>
      <c r="R35" s="49"/>
      <c r="S35" s="49"/>
      <c r="T35" s="49"/>
      <c r="U35" s="84">
        <f t="shared" si="25"/>
        <v>0</v>
      </c>
      <c r="W35" s="49"/>
      <c r="X35" s="49"/>
      <c r="Y35" s="49"/>
      <c r="Z35" s="49"/>
      <c r="AA35" s="49"/>
      <c r="AB35" s="84">
        <f t="shared" si="26"/>
        <v>0</v>
      </c>
      <c r="AD35" s="49"/>
      <c r="AF35" s="92">
        <f t="shared" si="27"/>
        <v>0</v>
      </c>
      <c r="AG35" s="33"/>
      <c r="AH35" s="107"/>
      <c r="AI35" s="127">
        <v>0.25</v>
      </c>
      <c r="AJ35" s="115">
        <f t="shared" si="4"/>
        <v>0.25</v>
      </c>
      <c r="AL35" s="92">
        <f t="shared" si="5"/>
        <v>0.25</v>
      </c>
    </row>
    <row r="36" spans="1:38" ht="13.5" thickBot="1" x14ac:dyDescent="0.25">
      <c r="A36" s="10" t="s">
        <v>40</v>
      </c>
      <c r="C36" s="43"/>
      <c r="D36" s="43"/>
      <c r="E36" s="50"/>
      <c r="F36" s="50"/>
      <c r="G36" s="50"/>
      <c r="H36" s="54"/>
      <c r="I36" s="43"/>
      <c r="J36" s="53"/>
      <c r="K36" s="48"/>
      <c r="L36" s="43"/>
      <c r="M36" s="43"/>
      <c r="N36" s="84">
        <f t="shared" ref="N36" si="46">SUM(C36:M36)</f>
        <v>0</v>
      </c>
      <c r="P36" s="43"/>
      <c r="Q36" s="49"/>
      <c r="R36" s="49"/>
      <c r="S36" s="49"/>
      <c r="T36" s="49"/>
      <c r="U36" s="84">
        <f t="shared" ref="U36" si="47">SUM(P36:T36)</f>
        <v>0</v>
      </c>
      <c r="W36" s="49"/>
      <c r="X36" s="49"/>
      <c r="Y36" s="49"/>
      <c r="Z36" s="49"/>
      <c r="AA36" s="49"/>
      <c r="AB36" s="84">
        <f t="shared" ref="AB36" si="48">SUM(W36:AA36)</f>
        <v>0</v>
      </c>
      <c r="AD36" s="49"/>
      <c r="AF36" s="92">
        <f t="shared" ref="AF36" si="49">SUM(AB36,U36,N36,AD36)</f>
        <v>0</v>
      </c>
      <c r="AG36" s="33"/>
      <c r="AH36" s="107"/>
      <c r="AI36" s="127">
        <v>3.0000000000000001E-3</v>
      </c>
      <c r="AJ36" s="115">
        <f t="shared" ref="AJ36" si="50">SUM(AH36:AI36)</f>
        <v>3.0000000000000001E-3</v>
      </c>
      <c r="AL36" s="92">
        <f t="shared" ref="AL36" si="51">SUM(AF36,AJ36)</f>
        <v>3.0000000000000001E-3</v>
      </c>
    </row>
    <row r="37" spans="1:38" ht="13.5" thickBot="1" x14ac:dyDescent="0.25">
      <c r="A37" s="28" t="s">
        <v>41</v>
      </c>
      <c r="C37" s="43"/>
      <c r="D37" s="43"/>
      <c r="E37" s="50"/>
      <c r="F37" s="50"/>
      <c r="G37" s="50"/>
      <c r="H37" s="54"/>
      <c r="I37" s="43"/>
      <c r="J37" s="53"/>
      <c r="K37" s="48"/>
      <c r="L37" s="43"/>
      <c r="M37" s="43"/>
      <c r="N37" s="84">
        <f t="shared" si="24"/>
        <v>0</v>
      </c>
      <c r="P37" s="43"/>
      <c r="Q37" s="49"/>
      <c r="R37" s="49"/>
      <c r="S37" s="49"/>
      <c r="T37" s="49"/>
      <c r="U37" s="84">
        <f t="shared" si="25"/>
        <v>0</v>
      </c>
      <c r="W37" s="49"/>
      <c r="X37" s="34">
        <v>0.107821</v>
      </c>
      <c r="Y37" s="34">
        <v>0.18451200000000001</v>
      </c>
      <c r="Z37" s="34">
        <v>0.16945199999999999</v>
      </c>
      <c r="AA37" s="49">
        <f>0.168615+0.65088</f>
        <v>0.81949499999999997</v>
      </c>
      <c r="AB37" s="84">
        <f t="shared" si="26"/>
        <v>1.28128</v>
      </c>
      <c r="AD37" s="49">
        <v>0.11917999999999999</v>
      </c>
      <c r="AF37" s="92">
        <f t="shared" si="27"/>
        <v>1.40046</v>
      </c>
      <c r="AG37" s="33"/>
      <c r="AH37" s="108">
        <f>0.023876+0.03648861</f>
        <v>6.0364609999999999E-2</v>
      </c>
      <c r="AI37" s="127"/>
      <c r="AJ37" s="116">
        <f t="shared" si="4"/>
        <v>6.0364609999999999E-2</v>
      </c>
      <c r="AL37" s="92">
        <f t="shared" si="5"/>
        <v>1.46082461</v>
      </c>
    </row>
    <row r="38" spans="1:38" ht="13.5" thickBot="1" x14ac:dyDescent="0.25">
      <c r="A38" s="10" t="s">
        <v>42</v>
      </c>
      <c r="C38" s="43"/>
      <c r="D38" s="43">
        <v>24.060334619999999</v>
      </c>
      <c r="E38" s="43">
        <v>13.375171870000001</v>
      </c>
      <c r="F38" s="43">
        <v>16.492641949999999</v>
      </c>
      <c r="G38" s="50">
        <v>17.329866450000001</v>
      </c>
      <c r="H38" s="51">
        <v>15.85941435</v>
      </c>
      <c r="I38" s="43"/>
      <c r="J38" s="53">
        <v>33.547469</v>
      </c>
      <c r="K38" s="48">
        <v>38.885300999999998</v>
      </c>
      <c r="L38" s="43">
        <v>31.20579</v>
      </c>
      <c r="M38" s="43">
        <v>25.1113845</v>
      </c>
      <c r="N38" s="84">
        <f t="shared" si="24"/>
        <v>215.86737374000001</v>
      </c>
      <c r="P38" s="43">
        <v>26.3</v>
      </c>
      <c r="Q38" s="49">
        <v>14.2065</v>
      </c>
      <c r="R38" s="49">
        <v>34.427500000000002</v>
      </c>
      <c r="S38" s="49">
        <v>39.8048</v>
      </c>
      <c r="T38" s="49">
        <v>33.945599999999999</v>
      </c>
      <c r="U38" s="84">
        <f t="shared" si="25"/>
        <v>148.68439999999998</v>
      </c>
      <c r="W38" s="49">
        <v>38.309967</v>
      </c>
      <c r="X38" s="49">
        <f>0.68127625+1.17542486+57.47701758</f>
        <v>59.333718690000005</v>
      </c>
      <c r="Y38" s="49">
        <f>1.48437318+0.11609+1.102855+25.4222244375+18.245615625</f>
        <v>46.371158242500002</v>
      </c>
      <c r="Z38" s="49">
        <f>42.96047813+4.05511412</f>
        <v>47.015592249999997</v>
      </c>
      <c r="AA38" s="49">
        <f>28.1911025+2.8549211</f>
        <v>31.046023599999998</v>
      </c>
      <c r="AB38" s="84">
        <f t="shared" si="26"/>
        <v>222.07645978250002</v>
      </c>
      <c r="AD38" s="49">
        <v>11.563000000000001</v>
      </c>
      <c r="AF38" s="92">
        <f t="shared" si="27"/>
        <v>598.19123352250006</v>
      </c>
      <c r="AG38" s="33"/>
      <c r="AH38" s="107">
        <v>6.0685000000000002</v>
      </c>
      <c r="AI38" s="127">
        <f>29.655+47.644+3.368859</f>
        <v>80.667859000000007</v>
      </c>
      <c r="AJ38" s="115">
        <f t="shared" si="4"/>
        <v>86.736359000000007</v>
      </c>
      <c r="AL38" s="92">
        <f t="shared" si="5"/>
        <v>684.92759252250005</v>
      </c>
    </row>
    <row r="39" spans="1:38" ht="13.5" thickBot="1" x14ac:dyDescent="0.25">
      <c r="A39" s="28" t="s">
        <v>43</v>
      </c>
      <c r="C39" s="43"/>
      <c r="D39" s="50"/>
      <c r="E39" s="50"/>
      <c r="F39" s="50"/>
      <c r="G39" s="50"/>
      <c r="H39" s="51"/>
      <c r="I39" s="43"/>
      <c r="J39" s="55"/>
      <c r="K39" s="48"/>
      <c r="L39" s="43"/>
      <c r="M39" s="43"/>
      <c r="N39" s="84">
        <f t="shared" ref="N39" si="52">SUM(C39:M39)</f>
        <v>0</v>
      </c>
      <c r="P39" s="43"/>
      <c r="Q39" s="49"/>
      <c r="R39" s="49"/>
      <c r="S39" s="49"/>
      <c r="T39" s="49"/>
      <c r="U39" s="84">
        <f t="shared" ref="U39" si="53">SUM(P39:T39)</f>
        <v>0</v>
      </c>
      <c r="W39" s="49"/>
      <c r="X39" s="49"/>
      <c r="Y39" s="49"/>
      <c r="Z39" s="49"/>
      <c r="AA39" s="49"/>
      <c r="AB39" s="84">
        <f t="shared" ref="AB39" si="54">SUM(W39:AA39)</f>
        <v>0</v>
      </c>
      <c r="AD39" s="49"/>
      <c r="AF39" s="92">
        <f t="shared" si="27"/>
        <v>0</v>
      </c>
      <c r="AG39" s="33"/>
      <c r="AH39" s="107">
        <v>4.9181999999999997</v>
      </c>
      <c r="AI39" s="127">
        <v>7.3170000000000002</v>
      </c>
      <c r="AJ39" s="115">
        <f t="shared" si="4"/>
        <v>12.235199999999999</v>
      </c>
      <c r="AL39" s="92">
        <f t="shared" si="5"/>
        <v>12.235199999999999</v>
      </c>
    </row>
    <row r="40" spans="1:38" ht="13.5" thickBot="1" x14ac:dyDescent="0.25">
      <c r="A40" s="28" t="s">
        <v>44</v>
      </c>
      <c r="C40" s="43"/>
      <c r="D40" s="50"/>
      <c r="E40" s="43"/>
      <c r="F40" s="43"/>
      <c r="G40" s="50"/>
      <c r="H40" s="47"/>
      <c r="I40" s="43"/>
      <c r="J40" s="43"/>
      <c r="K40" s="48"/>
      <c r="L40" s="43"/>
      <c r="M40" s="43"/>
      <c r="N40" s="84">
        <f t="shared" ref="N40" si="55">SUM(C40:M40)</f>
        <v>0</v>
      </c>
      <c r="P40" s="43"/>
      <c r="Q40" s="49"/>
      <c r="R40" s="49"/>
      <c r="S40" s="49"/>
      <c r="T40" s="49"/>
      <c r="U40" s="84">
        <f t="shared" ref="U40" si="56">SUM(P40:T40)</f>
        <v>0</v>
      </c>
      <c r="W40" s="49"/>
      <c r="X40" s="49"/>
      <c r="Y40" s="49"/>
      <c r="Z40" s="49"/>
      <c r="AA40" s="49"/>
      <c r="AB40" s="84">
        <f t="shared" ref="AB40" si="57">SUM(W40:AA40)</f>
        <v>0</v>
      </c>
      <c r="AD40" s="49">
        <v>0.92887123000000005</v>
      </c>
      <c r="AF40" s="92">
        <f t="shared" si="27"/>
        <v>0.92887123000000005</v>
      </c>
      <c r="AG40" s="33"/>
      <c r="AH40" s="107"/>
      <c r="AI40" s="127"/>
      <c r="AJ40" s="115">
        <f t="shared" ref="AJ40" si="58">SUM(AH40:AI40)</f>
        <v>0</v>
      </c>
      <c r="AL40" s="92">
        <f t="shared" ref="AL40" si="59">SUM(AF40,AJ40)</f>
        <v>0.92887123000000005</v>
      </c>
    </row>
    <row r="41" spans="1:38" ht="13.5" thickBot="1" x14ac:dyDescent="0.25">
      <c r="A41" s="10" t="s">
        <v>45</v>
      </c>
      <c r="C41" s="43"/>
      <c r="D41" s="50">
        <v>17.894689750000001</v>
      </c>
      <c r="E41" s="50">
        <v>21.325656089999999</v>
      </c>
      <c r="F41" s="50">
        <v>21.791086740000001</v>
      </c>
      <c r="G41" s="50">
        <v>40.92459264</v>
      </c>
      <c r="H41" s="51">
        <v>39.53459411</v>
      </c>
      <c r="I41" s="43">
        <v>67.379313700000012</v>
      </c>
      <c r="J41" s="55">
        <v>86.156761000000003</v>
      </c>
      <c r="K41" s="48">
        <v>65.449483259999994</v>
      </c>
      <c r="L41" s="43">
        <v>82.800324709999998</v>
      </c>
      <c r="M41" s="43">
        <v>76.483608000000004</v>
      </c>
      <c r="N41" s="84">
        <f t="shared" si="24"/>
        <v>519.74010999999996</v>
      </c>
      <c r="P41" s="43">
        <v>79.2</v>
      </c>
      <c r="Q41" s="49">
        <v>106.8762334</v>
      </c>
      <c r="R41" s="49">
        <v>126.86237634</v>
      </c>
      <c r="S41" s="49">
        <f>119.73607283+27.869</f>
        <v>147.60507282999998</v>
      </c>
      <c r="T41" s="49">
        <v>157.46568500000001</v>
      </c>
      <c r="U41" s="84">
        <f t="shared" si="25"/>
        <v>618.00936756999999</v>
      </c>
      <c r="W41" s="49">
        <v>139.66753800000001</v>
      </c>
      <c r="X41" s="49">
        <f>133.06601234+26.36814516</f>
        <v>159.4341575</v>
      </c>
      <c r="Y41" s="49">
        <f>137.30391502+7.37424108</f>
        <v>144.6781561</v>
      </c>
      <c r="Z41" s="49">
        <f>151.0231769+10.41453192</f>
        <v>161.43770882000001</v>
      </c>
      <c r="AA41" s="49">
        <v>164.81642147421601</v>
      </c>
      <c r="AB41" s="84">
        <f t="shared" si="26"/>
        <v>770.03398189421603</v>
      </c>
      <c r="AD41" s="49">
        <f>105.97204191+23.69735281</f>
        <v>129.66939472000001</v>
      </c>
      <c r="AF41" s="92">
        <f t="shared" si="27"/>
        <v>2037.452854184216</v>
      </c>
      <c r="AG41" s="33"/>
      <c r="AH41" s="107">
        <v>18.685122629999999</v>
      </c>
      <c r="AI41" s="127">
        <f>6.25+56.39044717</f>
        <v>62.640447170000002</v>
      </c>
      <c r="AJ41" s="115">
        <f t="shared" si="4"/>
        <v>81.325569799999997</v>
      </c>
      <c r="AL41" s="92">
        <f t="shared" si="5"/>
        <v>2118.7784239842158</v>
      </c>
    </row>
    <row r="42" spans="1:38" ht="13.5" thickBot="1" x14ac:dyDescent="0.25">
      <c r="A42" s="28" t="s">
        <v>46</v>
      </c>
      <c r="C42" s="43"/>
      <c r="D42" s="50"/>
      <c r="E42" s="50"/>
      <c r="F42" s="50"/>
      <c r="G42" s="50"/>
      <c r="H42" s="51"/>
      <c r="I42" s="43"/>
      <c r="J42" s="55"/>
      <c r="K42" s="48"/>
      <c r="L42" s="43"/>
      <c r="M42" s="43"/>
      <c r="N42" s="84">
        <f t="shared" si="24"/>
        <v>0</v>
      </c>
      <c r="P42" s="43"/>
      <c r="Q42" s="49"/>
      <c r="R42" s="49"/>
      <c r="S42" s="49"/>
      <c r="T42" s="49">
        <v>0.6</v>
      </c>
      <c r="U42" s="84">
        <f t="shared" si="25"/>
        <v>0.6</v>
      </c>
      <c r="W42" s="49"/>
      <c r="X42" s="49">
        <v>0.6</v>
      </c>
      <c r="Y42" s="49">
        <v>0.6</v>
      </c>
      <c r="Z42" s="49">
        <v>0.6</v>
      </c>
      <c r="AA42" s="49">
        <v>0.6</v>
      </c>
      <c r="AB42" s="84">
        <f t="shared" si="26"/>
        <v>2.4</v>
      </c>
      <c r="AD42" s="49"/>
      <c r="AF42" s="92">
        <f t="shared" si="27"/>
        <v>3</v>
      </c>
      <c r="AG42" s="33"/>
      <c r="AH42" s="107"/>
      <c r="AI42" s="127">
        <v>1</v>
      </c>
      <c r="AJ42" s="115">
        <f t="shared" si="4"/>
        <v>1</v>
      </c>
      <c r="AL42" s="92">
        <f t="shared" si="5"/>
        <v>4</v>
      </c>
    </row>
    <row r="43" spans="1:38" ht="13.5" thickBot="1" x14ac:dyDescent="0.25">
      <c r="A43" s="28" t="s">
        <v>47</v>
      </c>
      <c r="C43" s="43"/>
      <c r="D43" s="50"/>
      <c r="E43" s="43"/>
      <c r="F43" s="43"/>
      <c r="G43" s="50"/>
      <c r="H43" s="47"/>
      <c r="I43" s="43"/>
      <c r="J43" s="43"/>
      <c r="K43" s="48"/>
      <c r="L43" s="43"/>
      <c r="M43" s="43"/>
      <c r="N43" s="84">
        <f t="shared" si="24"/>
        <v>0</v>
      </c>
      <c r="P43" s="43"/>
      <c r="Q43" s="49"/>
      <c r="R43" s="49"/>
      <c r="S43" s="49"/>
      <c r="T43" s="49"/>
      <c r="U43" s="84">
        <f t="shared" si="25"/>
        <v>0</v>
      </c>
      <c r="W43" s="49"/>
      <c r="X43" s="49"/>
      <c r="Y43" s="49"/>
      <c r="Z43" s="49"/>
      <c r="AA43" s="49"/>
      <c r="AB43" s="84">
        <f t="shared" si="26"/>
        <v>0</v>
      </c>
      <c r="AD43" s="49"/>
      <c r="AF43" s="92">
        <f t="shared" si="27"/>
        <v>0</v>
      </c>
      <c r="AG43" s="33"/>
      <c r="AH43" s="107"/>
      <c r="AI43" s="127">
        <f>0.1+1</f>
        <v>1.1000000000000001</v>
      </c>
      <c r="AJ43" s="115">
        <f t="shared" ref="AJ43" si="60">SUM(AH43:AI43)</f>
        <v>1.1000000000000001</v>
      </c>
      <c r="AL43" s="92">
        <f t="shared" ref="AL43:AL45" si="61">SUM(AF43,AJ43)</f>
        <v>1.1000000000000001</v>
      </c>
    </row>
    <row r="44" spans="1:38" ht="13.5" thickBot="1" x14ac:dyDescent="0.25">
      <c r="A44" s="28" t="s">
        <v>48</v>
      </c>
      <c r="C44" s="43"/>
      <c r="D44" s="50"/>
      <c r="E44" s="43"/>
      <c r="F44" s="43"/>
      <c r="G44" s="50"/>
      <c r="H44" s="47"/>
      <c r="I44" s="43"/>
      <c r="J44" s="43"/>
      <c r="K44" s="48"/>
      <c r="L44" s="43"/>
      <c r="M44" s="43"/>
      <c r="N44" s="84">
        <f t="shared" ref="N44" si="62">SUM(C44:M44)</f>
        <v>0</v>
      </c>
      <c r="P44" s="43"/>
      <c r="Q44" s="49"/>
      <c r="R44" s="49"/>
      <c r="S44" s="49"/>
      <c r="T44" s="49"/>
      <c r="U44" s="84">
        <f t="shared" ref="U44" si="63">SUM(P44:T44)</f>
        <v>0</v>
      </c>
      <c r="W44" s="49"/>
      <c r="X44" s="49"/>
      <c r="Y44" s="49"/>
      <c r="Z44" s="49"/>
      <c r="AA44" s="49"/>
      <c r="AB44" s="84">
        <f t="shared" ref="AB44" si="64">SUM(W44:AA44)</f>
        <v>0</v>
      </c>
      <c r="AD44" s="49"/>
      <c r="AF44" s="92">
        <f t="shared" ref="AF44" si="65">SUM(AB44,U44,N44,AD44)</f>
        <v>0</v>
      </c>
      <c r="AG44" s="33"/>
      <c r="AH44" s="107"/>
      <c r="AI44" s="127">
        <v>0.91439999999999999</v>
      </c>
      <c r="AJ44" s="115">
        <f t="shared" ref="AJ44" si="66">SUM(AH44:AI44)</f>
        <v>0.91439999999999999</v>
      </c>
      <c r="AL44" s="92">
        <f t="shared" si="61"/>
        <v>0.91439999999999999</v>
      </c>
    </row>
    <row r="45" spans="1:38" ht="13.5" thickBot="1" x14ac:dyDescent="0.25">
      <c r="A45" s="28" t="s">
        <v>49</v>
      </c>
      <c r="C45" s="43"/>
      <c r="D45" s="50"/>
      <c r="E45" s="43"/>
      <c r="F45" s="43"/>
      <c r="G45" s="50"/>
      <c r="H45" s="47"/>
      <c r="I45" s="43"/>
      <c r="J45" s="43"/>
      <c r="K45" s="48"/>
      <c r="L45" s="43"/>
      <c r="M45" s="43"/>
      <c r="N45" s="84">
        <f t="shared" si="24"/>
        <v>0</v>
      </c>
      <c r="P45" s="43"/>
      <c r="Q45" s="49"/>
      <c r="R45" s="49"/>
      <c r="S45" s="49"/>
      <c r="T45" s="49"/>
      <c r="U45" s="84">
        <f t="shared" ref="U45" si="67">SUM(P45:T45)</f>
        <v>0</v>
      </c>
      <c r="W45" s="49"/>
      <c r="X45" s="49"/>
      <c r="Y45" s="49"/>
      <c r="Z45" s="49"/>
      <c r="AA45" s="49"/>
      <c r="AB45" s="84">
        <f t="shared" ref="AB45" si="68">SUM(W45:AA45)</f>
        <v>0</v>
      </c>
      <c r="AD45" s="49">
        <v>0.1208</v>
      </c>
      <c r="AF45" s="92">
        <f t="shared" si="27"/>
        <v>0.1208</v>
      </c>
      <c r="AG45" s="33"/>
      <c r="AH45" s="107"/>
      <c r="AI45" s="127">
        <f>0.81781875+0.169785</f>
        <v>0.98760375</v>
      </c>
      <c r="AJ45" s="115">
        <f t="shared" ref="AJ45" si="69">SUM(AH45:AI45)</f>
        <v>0.98760375</v>
      </c>
      <c r="AL45" s="92">
        <f t="shared" si="61"/>
        <v>1.1084037499999999</v>
      </c>
    </row>
    <row r="46" spans="1:38" ht="13.5" thickBot="1" x14ac:dyDescent="0.25">
      <c r="A46" s="28" t="s">
        <v>50</v>
      </c>
      <c r="C46" s="43"/>
      <c r="D46" s="50"/>
      <c r="E46" s="50"/>
      <c r="F46" s="50"/>
      <c r="G46" s="50"/>
      <c r="H46" s="51"/>
      <c r="I46" s="43"/>
      <c r="J46" s="55"/>
      <c r="K46" s="48"/>
      <c r="L46" s="43"/>
      <c r="M46" s="43"/>
      <c r="N46" s="84">
        <f t="shared" si="24"/>
        <v>0</v>
      </c>
      <c r="P46" s="43"/>
      <c r="Q46" s="49"/>
      <c r="R46" s="49"/>
      <c r="S46" s="49"/>
      <c r="T46" s="49"/>
      <c r="U46" s="84">
        <f t="shared" si="25"/>
        <v>0</v>
      </c>
      <c r="W46" s="49">
        <v>2</v>
      </c>
      <c r="X46" s="49">
        <v>2</v>
      </c>
      <c r="Y46" s="49"/>
      <c r="Z46" s="49"/>
      <c r="AA46" s="49">
        <v>6</v>
      </c>
      <c r="AB46" s="84">
        <f t="shared" si="26"/>
        <v>10</v>
      </c>
      <c r="AD46" s="49">
        <v>2</v>
      </c>
      <c r="AF46" s="92">
        <f t="shared" si="27"/>
        <v>12</v>
      </c>
      <c r="AG46" s="33"/>
      <c r="AH46" s="107"/>
      <c r="AI46" s="127">
        <f>5+5</f>
        <v>10</v>
      </c>
      <c r="AJ46" s="115">
        <f t="shared" si="4"/>
        <v>10</v>
      </c>
      <c r="AL46" s="92">
        <f t="shared" si="5"/>
        <v>22</v>
      </c>
    </row>
    <row r="47" spans="1:38" ht="13.5" thickBot="1" x14ac:dyDescent="0.25">
      <c r="A47" s="10" t="s">
        <v>51</v>
      </c>
      <c r="C47" s="43"/>
      <c r="D47" s="50"/>
      <c r="E47" s="50"/>
      <c r="F47" s="50"/>
      <c r="G47" s="50"/>
      <c r="H47" s="51"/>
      <c r="I47" s="43"/>
      <c r="J47" s="43"/>
      <c r="K47" s="48"/>
      <c r="L47" s="43"/>
      <c r="M47" s="11">
        <v>0.4</v>
      </c>
      <c r="N47" s="84">
        <f t="shared" si="24"/>
        <v>0.4</v>
      </c>
      <c r="P47" s="11">
        <v>0.3</v>
      </c>
      <c r="Q47" s="34">
        <v>0.3</v>
      </c>
      <c r="R47" s="49">
        <v>1</v>
      </c>
      <c r="S47" s="49">
        <v>1</v>
      </c>
      <c r="T47" s="49">
        <v>4</v>
      </c>
      <c r="U47" s="84">
        <f t="shared" si="25"/>
        <v>6.6</v>
      </c>
      <c r="W47" s="49">
        <v>4</v>
      </c>
      <c r="X47" s="49">
        <v>4</v>
      </c>
      <c r="Y47" s="49">
        <v>4</v>
      </c>
      <c r="Z47" s="49">
        <v>4.7372954399999996</v>
      </c>
      <c r="AA47" s="49">
        <v>5.4808400900000001</v>
      </c>
      <c r="AB47" s="84">
        <f t="shared" si="26"/>
        <v>22.218135530000001</v>
      </c>
      <c r="AD47" s="49"/>
      <c r="AF47" s="92">
        <f t="shared" si="27"/>
        <v>29.218135529999998</v>
      </c>
      <c r="AG47" s="33"/>
      <c r="AH47" s="107"/>
      <c r="AI47" s="127">
        <f>10+100</f>
        <v>110</v>
      </c>
      <c r="AJ47" s="115">
        <f t="shared" si="4"/>
        <v>110</v>
      </c>
      <c r="AL47" s="92">
        <f t="shared" si="5"/>
        <v>139.21813552999998</v>
      </c>
    </row>
    <row r="48" spans="1:38" ht="13.5" thickBot="1" x14ac:dyDescent="0.25">
      <c r="A48" s="28" t="s">
        <v>52</v>
      </c>
      <c r="C48" s="43"/>
      <c r="D48" s="50"/>
      <c r="E48" s="43"/>
      <c r="F48" s="43"/>
      <c r="G48" s="50"/>
      <c r="H48" s="47"/>
      <c r="I48" s="43"/>
      <c r="J48" s="43"/>
      <c r="K48" s="48"/>
      <c r="L48" s="43"/>
      <c r="M48" s="43"/>
      <c r="N48" s="84">
        <f t="shared" ref="N48" si="70">SUM(C48:M48)</f>
        <v>0</v>
      </c>
      <c r="P48" s="43"/>
      <c r="Q48" s="49"/>
      <c r="R48" s="49"/>
      <c r="S48" s="49"/>
      <c r="T48" s="49"/>
      <c r="U48" s="84">
        <f t="shared" ref="U48" si="71">SUM(P48:T48)</f>
        <v>0</v>
      </c>
      <c r="W48" s="49"/>
      <c r="X48" s="49"/>
      <c r="Y48" s="49"/>
      <c r="Z48" s="49"/>
      <c r="AA48" s="49"/>
      <c r="AB48" s="84">
        <f t="shared" ref="AB48" si="72">SUM(W48:AA48)</f>
        <v>0</v>
      </c>
      <c r="AD48" s="49">
        <v>10</v>
      </c>
      <c r="AF48" s="92">
        <f t="shared" ref="AF48" si="73">SUM(AB48,U48,N48,AD48)</f>
        <v>10</v>
      </c>
      <c r="AG48" s="33"/>
      <c r="AH48" s="107"/>
      <c r="AI48" s="127"/>
      <c r="AJ48" s="115">
        <f t="shared" ref="AJ48" si="74">SUM(AH48:AI48)</f>
        <v>0</v>
      </c>
      <c r="AL48" s="92">
        <f t="shared" si="5"/>
        <v>10</v>
      </c>
    </row>
    <row r="49" spans="1:38" ht="13.5" thickBot="1" x14ac:dyDescent="0.25">
      <c r="A49" s="28" t="s">
        <v>53</v>
      </c>
      <c r="C49" s="43"/>
      <c r="D49" s="50"/>
      <c r="E49" s="50"/>
      <c r="F49" s="50"/>
      <c r="G49" s="50"/>
      <c r="H49" s="51"/>
      <c r="I49" s="43"/>
      <c r="J49" s="43"/>
      <c r="K49" s="48"/>
      <c r="L49" s="43"/>
      <c r="M49" s="43"/>
      <c r="N49" s="84">
        <f t="shared" si="24"/>
        <v>0</v>
      </c>
      <c r="P49" s="43"/>
      <c r="Q49" s="49"/>
      <c r="R49" s="49"/>
      <c r="S49" s="49"/>
      <c r="T49" s="49"/>
      <c r="U49" s="84">
        <f t="shared" si="25"/>
        <v>0</v>
      </c>
      <c r="W49" s="49">
        <v>2.5</v>
      </c>
      <c r="X49" s="49">
        <f>2.5+2.5</f>
        <v>5</v>
      </c>
      <c r="Y49" s="49">
        <f>2.5+2.5</f>
        <v>5</v>
      </c>
      <c r="Z49" s="49">
        <f>2.5+2.5</f>
        <v>5</v>
      </c>
      <c r="AA49" s="49">
        <f>2.5+2.5</f>
        <v>5</v>
      </c>
      <c r="AB49" s="84">
        <f t="shared" si="26"/>
        <v>22.5</v>
      </c>
      <c r="AD49" s="49">
        <v>2.5</v>
      </c>
      <c r="AF49" s="92">
        <f t="shared" si="27"/>
        <v>25</v>
      </c>
      <c r="AG49" s="33"/>
      <c r="AH49" s="107"/>
      <c r="AI49" s="127">
        <f>30+70</f>
        <v>100</v>
      </c>
      <c r="AJ49" s="115">
        <f t="shared" si="4"/>
        <v>100</v>
      </c>
      <c r="AL49" s="92">
        <f t="shared" si="5"/>
        <v>125</v>
      </c>
    </row>
    <row r="50" spans="1:38" ht="13.5" thickBot="1" x14ac:dyDescent="0.25">
      <c r="A50" s="28" t="s">
        <v>54</v>
      </c>
      <c r="C50" s="43"/>
      <c r="D50" s="50"/>
      <c r="E50" s="43"/>
      <c r="F50" s="43"/>
      <c r="G50" s="50"/>
      <c r="H50" s="47"/>
      <c r="I50" s="43"/>
      <c r="J50" s="43"/>
      <c r="K50" s="48"/>
      <c r="L50" s="43"/>
      <c r="M50" s="43"/>
      <c r="N50" s="84">
        <f t="shared" si="24"/>
        <v>0</v>
      </c>
      <c r="P50" s="43"/>
      <c r="Q50" s="49"/>
      <c r="R50" s="49"/>
      <c r="S50" s="49"/>
      <c r="T50" s="49"/>
      <c r="U50" s="84">
        <f t="shared" si="25"/>
        <v>0</v>
      </c>
      <c r="W50" s="49"/>
      <c r="X50" s="49"/>
      <c r="Y50" s="49"/>
      <c r="Z50" s="49"/>
      <c r="AA50" s="49"/>
      <c r="AB50" s="84">
        <f t="shared" si="26"/>
        <v>0</v>
      </c>
      <c r="AD50" s="49"/>
      <c r="AF50" s="92">
        <f t="shared" si="27"/>
        <v>0</v>
      </c>
      <c r="AG50" s="33"/>
      <c r="AH50" s="107"/>
      <c r="AI50" s="127">
        <v>5</v>
      </c>
      <c r="AJ50" s="115">
        <f t="shared" ref="AJ50" si="75">SUM(AH50:AI50)</f>
        <v>5</v>
      </c>
      <c r="AL50" s="92">
        <f t="shared" ref="AL50:AL52" si="76">SUM(AF50,AJ50)</f>
        <v>5</v>
      </c>
    </row>
    <row r="51" spans="1:38" ht="13.5" thickBot="1" x14ac:dyDescent="0.25">
      <c r="A51" s="28" t="s">
        <v>55</v>
      </c>
      <c r="C51" s="43"/>
      <c r="D51" s="50"/>
      <c r="E51" s="43"/>
      <c r="F51" s="43"/>
      <c r="G51" s="50"/>
      <c r="H51" s="47"/>
      <c r="I51" s="43"/>
      <c r="J51" s="43"/>
      <c r="K51" s="48"/>
      <c r="L51" s="43"/>
      <c r="M51" s="43"/>
      <c r="N51" s="84">
        <f t="shared" ref="N51" si="77">SUM(C51:M51)</f>
        <v>0</v>
      </c>
      <c r="P51" s="43"/>
      <c r="Q51" s="49"/>
      <c r="R51" s="49"/>
      <c r="S51" s="49"/>
      <c r="T51" s="49"/>
      <c r="U51" s="84">
        <f t="shared" ref="U51" si="78">SUM(P51:T51)</f>
        <v>0</v>
      </c>
      <c r="W51" s="49"/>
      <c r="X51" s="49"/>
      <c r="Y51" s="49"/>
      <c r="Z51" s="49"/>
      <c r="AA51" s="49"/>
      <c r="AB51" s="84">
        <f t="shared" ref="AB51" si="79">SUM(W51:AA51)</f>
        <v>0</v>
      </c>
      <c r="AD51" s="49"/>
      <c r="AF51" s="92">
        <f t="shared" ref="AF51" si="80">SUM(AB51,U51,N51,AD51)</f>
        <v>0</v>
      </c>
      <c r="AG51" s="33"/>
      <c r="AH51" s="107"/>
      <c r="AI51" s="127">
        <v>0.40680500000000003</v>
      </c>
      <c r="AJ51" s="115">
        <f t="shared" ref="AJ51" si="81">SUM(AH51:AI51)</f>
        <v>0.40680500000000003</v>
      </c>
      <c r="AL51" s="92">
        <f t="shared" ref="AL51" si="82">SUM(AF51,AJ51)</f>
        <v>0.40680500000000003</v>
      </c>
    </row>
    <row r="52" spans="1:38" ht="13.5" thickBot="1" x14ac:dyDescent="0.25">
      <c r="A52" s="28" t="s">
        <v>56</v>
      </c>
      <c r="C52" s="43"/>
      <c r="D52" s="50"/>
      <c r="E52" s="43"/>
      <c r="F52" s="43"/>
      <c r="G52" s="50"/>
      <c r="H52" s="47"/>
      <c r="I52" s="43"/>
      <c r="J52" s="43"/>
      <c r="K52" s="48"/>
      <c r="L52" s="43"/>
      <c r="M52" s="43"/>
      <c r="N52" s="84">
        <f t="shared" si="24"/>
        <v>0</v>
      </c>
      <c r="P52" s="43"/>
      <c r="Q52" s="49"/>
      <c r="R52" s="49"/>
      <c r="S52" s="49"/>
      <c r="T52" s="49"/>
      <c r="U52" s="84">
        <f t="shared" ref="U52" si="83">SUM(P52:T52)</f>
        <v>0</v>
      </c>
      <c r="W52" s="49"/>
      <c r="X52" s="49"/>
      <c r="Y52" s="49"/>
      <c r="Z52" s="49"/>
      <c r="AA52" s="49"/>
      <c r="AB52" s="84">
        <f t="shared" ref="AB52" si="84">SUM(W52:AA52)</f>
        <v>0</v>
      </c>
      <c r="AD52" s="49"/>
      <c r="AF52" s="92">
        <f t="shared" si="27"/>
        <v>0</v>
      </c>
      <c r="AG52" s="33"/>
      <c r="AH52" s="107"/>
      <c r="AI52" s="127">
        <v>1.1596E-2</v>
      </c>
      <c r="AJ52" s="115">
        <f t="shared" ref="AJ52" si="85">SUM(AH52:AI52)</f>
        <v>1.1596E-2</v>
      </c>
      <c r="AL52" s="92">
        <f t="shared" si="76"/>
        <v>1.1596E-2</v>
      </c>
    </row>
    <row r="53" spans="1:38" ht="15" thickBot="1" x14ac:dyDescent="0.25">
      <c r="A53" s="132" t="s">
        <v>118</v>
      </c>
      <c r="C53" s="43"/>
      <c r="D53" s="43"/>
      <c r="E53" s="43"/>
      <c r="F53" s="43"/>
      <c r="G53" s="43"/>
      <c r="H53" s="51"/>
      <c r="I53" s="43"/>
      <c r="J53" s="43"/>
      <c r="K53" s="48">
        <v>40.536200000000001</v>
      </c>
      <c r="L53" s="43"/>
      <c r="M53" s="43"/>
      <c r="N53" s="84">
        <f t="shared" si="24"/>
        <v>40.536200000000001</v>
      </c>
      <c r="P53" s="43">
        <v>2.6659999999999999</v>
      </c>
      <c r="Q53" s="49"/>
      <c r="R53" s="49"/>
      <c r="S53" s="49"/>
      <c r="T53" s="49"/>
      <c r="U53" s="84">
        <f t="shared" si="25"/>
        <v>2.6659999999999999</v>
      </c>
      <c r="W53" s="49"/>
      <c r="X53" s="49"/>
      <c r="Y53" s="49"/>
      <c r="Z53" s="49"/>
      <c r="AA53" s="49"/>
      <c r="AB53" s="84">
        <f t="shared" si="26"/>
        <v>0</v>
      </c>
      <c r="AD53" s="49">
        <v>11.288270000000001</v>
      </c>
      <c r="AF53" s="92">
        <f t="shared" si="27"/>
        <v>54.490470000000002</v>
      </c>
      <c r="AG53" s="33"/>
      <c r="AH53" s="107"/>
      <c r="AI53" s="127">
        <v>0.93639050000000001</v>
      </c>
      <c r="AJ53" s="115">
        <f t="shared" si="4"/>
        <v>0.93639050000000001</v>
      </c>
      <c r="AL53" s="92">
        <f t="shared" si="5"/>
        <v>55.426860500000004</v>
      </c>
    </row>
    <row r="54" spans="1:38" ht="13.5" thickBot="1" x14ac:dyDescent="0.25">
      <c r="A54" s="10" t="s">
        <v>57</v>
      </c>
      <c r="C54" s="43"/>
      <c r="D54" s="50">
        <v>1.8921325899999999</v>
      </c>
      <c r="E54" s="50">
        <v>1.1147999799999999</v>
      </c>
      <c r="F54" s="50">
        <v>2.38518169</v>
      </c>
      <c r="G54" s="50">
        <v>4.9314298799999996</v>
      </c>
      <c r="H54" s="51">
        <v>12.66340061</v>
      </c>
      <c r="I54" s="43">
        <v>14.593975029999999</v>
      </c>
      <c r="J54" s="43">
        <v>15.514976000000001</v>
      </c>
      <c r="K54" s="48">
        <v>19.151976000000001</v>
      </c>
      <c r="L54" s="43">
        <v>13.80099952</v>
      </c>
      <c r="M54" s="43">
        <v>36.487497500000003</v>
      </c>
      <c r="N54" s="84">
        <f t="shared" si="24"/>
        <v>122.53636880000002</v>
      </c>
      <c r="P54" s="43">
        <v>92.7</v>
      </c>
      <c r="Q54" s="49"/>
      <c r="R54" s="49">
        <v>70.900080489999993</v>
      </c>
      <c r="S54" s="49">
        <v>49.84</v>
      </c>
      <c r="T54" s="49">
        <v>41.475000000000001</v>
      </c>
      <c r="U54" s="84">
        <f t="shared" si="25"/>
        <v>254.91508048999998</v>
      </c>
      <c r="W54" s="49">
        <v>36.391199999999998</v>
      </c>
      <c r="X54" s="49">
        <v>33.504578960000003</v>
      </c>
      <c r="Y54" s="49">
        <v>42.436950889999999</v>
      </c>
      <c r="Z54" s="49">
        <f>19.58512008+16.14</f>
        <v>35.725120079999996</v>
      </c>
      <c r="AA54" s="49">
        <v>40.858379999999997</v>
      </c>
      <c r="AB54" s="84">
        <f t="shared" si="26"/>
        <v>188.91622992999999</v>
      </c>
      <c r="AD54" s="49">
        <f>17.5875+21.86152351</f>
        <v>39.449023510000004</v>
      </c>
      <c r="AF54" s="92">
        <f t="shared" si="27"/>
        <v>605.81670272999997</v>
      </c>
      <c r="AG54" s="33"/>
      <c r="AH54" s="107">
        <v>11.58512058</v>
      </c>
      <c r="AI54" s="127">
        <v>11.67029804</v>
      </c>
      <c r="AJ54" s="115">
        <f t="shared" si="4"/>
        <v>23.25541862</v>
      </c>
      <c r="AL54" s="92">
        <f t="shared" si="5"/>
        <v>629.07212134999997</v>
      </c>
    </row>
    <row r="55" spans="1:38" ht="13.5" thickBot="1" x14ac:dyDescent="0.25">
      <c r="A55" s="28" t="s">
        <v>58</v>
      </c>
      <c r="C55" s="43"/>
      <c r="D55" s="50"/>
      <c r="E55" s="50"/>
      <c r="F55" s="50"/>
      <c r="G55" s="50"/>
      <c r="H55" s="51"/>
      <c r="I55" s="43"/>
      <c r="J55" s="43"/>
      <c r="K55" s="48"/>
      <c r="L55" s="43"/>
      <c r="M55" s="43"/>
      <c r="N55" s="84">
        <f t="shared" si="24"/>
        <v>0</v>
      </c>
      <c r="P55" s="43"/>
      <c r="Q55" s="49"/>
      <c r="R55" s="49"/>
      <c r="S55" s="49"/>
      <c r="T55" s="49"/>
      <c r="U55" s="84">
        <f t="shared" si="25"/>
        <v>0</v>
      </c>
      <c r="W55" s="49">
        <v>1.5797791999999999</v>
      </c>
      <c r="X55" s="49"/>
      <c r="Y55" s="49"/>
      <c r="Z55" s="49"/>
      <c r="AA55" s="49">
        <f>11.2905+0.56177087</f>
        <v>11.85227087</v>
      </c>
      <c r="AB55" s="84">
        <f t="shared" si="26"/>
        <v>13.432050069999999</v>
      </c>
      <c r="AD55" s="49">
        <v>0.43321999999999999</v>
      </c>
      <c r="AF55" s="92">
        <f t="shared" si="27"/>
        <v>13.865270069999999</v>
      </c>
      <c r="AG55" s="33"/>
      <c r="AH55" s="107">
        <v>22.477137939999999</v>
      </c>
      <c r="AI55" s="127">
        <v>135.00378011000001</v>
      </c>
      <c r="AJ55" s="115">
        <f t="shared" si="4"/>
        <v>157.48091805000001</v>
      </c>
      <c r="AL55" s="92">
        <f t="shared" si="5"/>
        <v>171.34618812000002</v>
      </c>
    </row>
    <row r="56" spans="1:38" ht="13.5" thickBot="1" x14ac:dyDescent="0.25">
      <c r="A56" s="10" t="s">
        <v>59</v>
      </c>
      <c r="C56" s="43">
        <v>4.4634</v>
      </c>
      <c r="D56" s="43"/>
      <c r="E56" s="50">
        <v>15.048249999999999</v>
      </c>
      <c r="F56" s="43">
        <v>5.60595</v>
      </c>
      <c r="G56" s="50">
        <v>18.491534999999999</v>
      </c>
      <c r="H56" s="51">
        <v>6.6251490000000004</v>
      </c>
      <c r="I56" s="43">
        <v>23.214072000000002</v>
      </c>
      <c r="J56" s="53">
        <v>48.113951999999998</v>
      </c>
      <c r="K56" s="48"/>
      <c r="L56" s="43"/>
      <c r="M56" s="48">
        <v>15.883044</v>
      </c>
      <c r="N56" s="85">
        <f t="shared" si="24"/>
        <v>137.44535199999999</v>
      </c>
      <c r="P56" s="48">
        <v>85.1</v>
      </c>
      <c r="Q56" s="56">
        <v>206.88</v>
      </c>
      <c r="R56" s="56">
        <v>447.88005122999999</v>
      </c>
      <c r="S56" s="56">
        <v>302.55504000000002</v>
      </c>
      <c r="T56" s="56">
        <f>418.55298+23.91142691</f>
        <v>442.46440690999998</v>
      </c>
      <c r="U56" s="85">
        <f t="shared" si="25"/>
        <v>1484.8794981399999</v>
      </c>
      <c r="W56" s="56">
        <v>304.83199999999999</v>
      </c>
      <c r="X56" s="56">
        <v>282.065</v>
      </c>
      <c r="Y56" s="56">
        <f>237.859968+15.02140486</f>
        <v>252.88137286</v>
      </c>
      <c r="Z56" s="56">
        <v>267.42500000000001</v>
      </c>
      <c r="AA56" s="49">
        <v>270.52</v>
      </c>
      <c r="AB56" s="85">
        <f t="shared" si="26"/>
        <v>1377.7233728599999</v>
      </c>
      <c r="AD56" s="49">
        <f>274.26954378+6.31957474</f>
        <v>280.58911852</v>
      </c>
      <c r="AF56" s="92">
        <f t="shared" si="27"/>
        <v>3280.6373415200001</v>
      </c>
      <c r="AG56" s="33"/>
      <c r="AH56" s="107"/>
      <c r="AI56" s="127">
        <v>60.625</v>
      </c>
      <c r="AJ56" s="115">
        <f t="shared" si="4"/>
        <v>60.625</v>
      </c>
      <c r="AL56" s="92">
        <f t="shared" si="5"/>
        <v>3341.2623415200001</v>
      </c>
    </row>
    <row r="57" spans="1:38" ht="13.5" thickBot="1" x14ac:dyDescent="0.25">
      <c r="A57" s="10" t="s">
        <v>60</v>
      </c>
      <c r="C57" s="43"/>
      <c r="D57" s="43">
        <v>48.091999999999999</v>
      </c>
      <c r="E57" s="50">
        <v>53</v>
      </c>
      <c r="F57" s="43">
        <v>58</v>
      </c>
      <c r="G57" s="50">
        <v>59.64</v>
      </c>
      <c r="H57" s="51">
        <v>64.48</v>
      </c>
      <c r="I57" s="43">
        <v>69.3</v>
      </c>
      <c r="J57" s="53">
        <v>69.3</v>
      </c>
      <c r="K57" s="48">
        <v>71.912999999999997</v>
      </c>
      <c r="L57" s="43">
        <v>75</v>
      </c>
      <c r="M57" s="48">
        <v>78</v>
      </c>
      <c r="N57" s="85">
        <f t="shared" ref="N57" si="86">SUM(C57:M57)</f>
        <v>646.72500000000002</v>
      </c>
      <c r="P57" s="48">
        <v>89.8</v>
      </c>
      <c r="Q57" s="56">
        <v>130</v>
      </c>
      <c r="R57" s="56">
        <v>137.978655</v>
      </c>
      <c r="S57" s="56">
        <v>175</v>
      </c>
      <c r="T57" s="56">
        <v>200</v>
      </c>
      <c r="U57" s="85">
        <f t="shared" ref="U57" si="87">SUM(P57:T57)</f>
        <v>732.77865500000007</v>
      </c>
      <c r="W57" s="56">
        <v>235</v>
      </c>
      <c r="X57" s="56">
        <v>275</v>
      </c>
      <c r="Y57" s="56">
        <v>290</v>
      </c>
      <c r="Z57" s="56">
        <v>290</v>
      </c>
      <c r="AA57" s="49">
        <v>290</v>
      </c>
      <c r="AB57" s="85">
        <f t="shared" ref="AB57" si="88">SUM(W57:AA57)</f>
        <v>1380</v>
      </c>
      <c r="AD57" s="49">
        <f>19.9999254+0.0000746</f>
        <v>20</v>
      </c>
      <c r="AF57" s="92">
        <f t="shared" ref="AF57" si="89">SUM(AB57,U57,N57,AD57)</f>
        <v>2779.503655</v>
      </c>
      <c r="AG57" s="33"/>
      <c r="AH57" s="107"/>
      <c r="AI57" s="127">
        <f>1500+2000</f>
        <v>3500</v>
      </c>
      <c r="AJ57" s="115">
        <f t="shared" ref="AJ57" si="90">SUM(AH57:AI57)</f>
        <v>3500</v>
      </c>
      <c r="AL57" s="92">
        <f t="shared" ref="AL57" si="91">SUM(AF57,AJ57)</f>
        <v>6279.5036550000004</v>
      </c>
    </row>
    <row r="58" spans="1:38" ht="13.5" thickBot="1" x14ac:dyDescent="0.25">
      <c r="A58" s="13" t="s">
        <v>61</v>
      </c>
      <c r="C58" s="57"/>
      <c r="D58" s="58"/>
      <c r="E58" s="58"/>
      <c r="F58" s="58"/>
      <c r="G58" s="58"/>
      <c r="H58" s="59"/>
      <c r="I58" s="60"/>
      <c r="J58" s="61"/>
      <c r="K58" s="62"/>
      <c r="L58" s="60"/>
      <c r="M58" s="60"/>
      <c r="N58" s="86">
        <f t="shared" si="24"/>
        <v>0</v>
      </c>
      <c r="P58" s="60"/>
      <c r="Q58" s="57"/>
      <c r="R58" s="57"/>
      <c r="S58" s="57"/>
      <c r="T58" s="57"/>
      <c r="U58" s="86">
        <f t="shared" si="25"/>
        <v>0</v>
      </c>
      <c r="W58" s="57"/>
      <c r="X58" s="57"/>
      <c r="Y58" s="57"/>
      <c r="Z58" s="57"/>
      <c r="AA58" s="57"/>
      <c r="AB58" s="86">
        <f t="shared" si="26"/>
        <v>0</v>
      </c>
      <c r="AD58" s="57"/>
      <c r="AF58" s="93">
        <f t="shared" si="27"/>
        <v>0</v>
      </c>
      <c r="AG58" s="33"/>
      <c r="AH58" s="110"/>
      <c r="AI58" s="128">
        <v>0.5</v>
      </c>
      <c r="AJ58" s="117">
        <f t="shared" si="4"/>
        <v>0.5</v>
      </c>
      <c r="AL58" s="93">
        <f t="shared" si="5"/>
        <v>0.5</v>
      </c>
    </row>
    <row r="59" spans="1:38" ht="13.5" thickBot="1" x14ac:dyDescent="0.25">
      <c r="A59" s="14" t="s">
        <v>62</v>
      </c>
      <c r="C59" s="63">
        <f t="shared" ref="C59:N59" si="92">SUM(C7:C58)</f>
        <v>4.4634</v>
      </c>
      <c r="D59" s="63">
        <f t="shared" si="92"/>
        <v>93.086564390000007</v>
      </c>
      <c r="E59" s="63">
        <f t="shared" si="92"/>
        <v>106.25498396</v>
      </c>
      <c r="F59" s="63">
        <f t="shared" si="92"/>
        <v>110.91403173</v>
      </c>
      <c r="G59" s="63">
        <f t="shared" si="92"/>
        <v>160.39815135999999</v>
      </c>
      <c r="H59" s="63">
        <f t="shared" si="92"/>
        <v>274.92391606000001</v>
      </c>
      <c r="I59" s="63">
        <f t="shared" si="92"/>
        <v>216.20010949000005</v>
      </c>
      <c r="J59" s="63">
        <f t="shared" si="92"/>
        <v>282.29137800000001</v>
      </c>
      <c r="K59" s="63">
        <f t="shared" si="92"/>
        <v>269.32929425999998</v>
      </c>
      <c r="L59" s="63">
        <f t="shared" si="92"/>
        <v>255.98825982</v>
      </c>
      <c r="M59" s="63">
        <f t="shared" si="92"/>
        <v>252.64002400000001</v>
      </c>
      <c r="N59" s="102">
        <f t="shared" si="92"/>
        <v>2026.49011307</v>
      </c>
      <c r="P59" s="63">
        <f t="shared" ref="P59:U59" si="93">SUM(P7:P58)</f>
        <v>512.89099999999996</v>
      </c>
      <c r="Q59" s="63">
        <f t="shared" si="93"/>
        <v>615.20465434000005</v>
      </c>
      <c r="R59" s="63">
        <f t="shared" si="93"/>
        <v>994.33653315000004</v>
      </c>
      <c r="S59" s="63">
        <f t="shared" si="93"/>
        <v>920.80762834000006</v>
      </c>
      <c r="T59" s="63">
        <f t="shared" si="93"/>
        <v>1001.98051419</v>
      </c>
      <c r="U59" s="102">
        <f t="shared" si="93"/>
        <v>4045.2203300199999</v>
      </c>
      <c r="W59" s="63">
        <f t="shared" ref="W59:AB59" si="94">SUM(W7:W58)</f>
        <v>1173.2561867700001</v>
      </c>
      <c r="X59" s="63">
        <f t="shared" si="94"/>
        <v>1125.5441614700001</v>
      </c>
      <c r="Y59" s="63">
        <f t="shared" si="94"/>
        <v>1137.9701698325</v>
      </c>
      <c r="Z59" s="63">
        <f t="shared" si="94"/>
        <v>1280.0316882200002</v>
      </c>
      <c r="AA59" s="63">
        <f t="shared" si="94"/>
        <v>1150.7051543858161</v>
      </c>
      <c r="AB59" s="102">
        <f t="shared" si="94"/>
        <v>5867.5073606783162</v>
      </c>
      <c r="AD59" s="63">
        <f>SUM(AD7:AD58)</f>
        <v>863.96508089999998</v>
      </c>
      <c r="AF59" s="102">
        <f>SUM(AF7:AF58)</f>
        <v>12803.182884668317</v>
      </c>
      <c r="AG59" s="12"/>
      <c r="AH59" s="109">
        <f>SUM(AH7:AH58)</f>
        <v>284.03593762999998</v>
      </c>
      <c r="AI59" s="111">
        <f>SUM(AI7:AI58)</f>
        <v>6501.1873491099996</v>
      </c>
      <c r="AJ59" s="111">
        <f>SUM(AJ7:AJ58)</f>
        <v>6785.2232867399998</v>
      </c>
      <c r="AL59" s="102">
        <f>SUM(AL7:AL58)</f>
        <v>19588.406171408315</v>
      </c>
    </row>
    <row r="60" spans="1:38" ht="13.5" thickBot="1" x14ac:dyDescent="0.25">
      <c r="A60" s="1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P60" s="16"/>
      <c r="Q60" s="16"/>
      <c r="R60" s="16"/>
      <c r="S60" s="16"/>
      <c r="T60" s="16"/>
      <c r="U60" s="16"/>
      <c r="W60" s="64"/>
      <c r="X60" s="64"/>
      <c r="Y60" s="64"/>
      <c r="Z60" s="64"/>
      <c r="AA60" s="64"/>
      <c r="AB60" s="16"/>
      <c r="AD60" s="64"/>
      <c r="AF60" s="16"/>
      <c r="AG60" s="12"/>
      <c r="AH60" s="16"/>
      <c r="AI60" s="105"/>
      <c r="AJ60" s="16"/>
      <c r="AL60" s="16"/>
    </row>
    <row r="61" spans="1:38" ht="13.5" thickBot="1" x14ac:dyDescent="0.25">
      <c r="A61" s="39" t="s">
        <v>63</v>
      </c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87">
        <f t="shared" ref="N61:N62" si="95">SUM(C61:M61)</f>
        <v>0</v>
      </c>
      <c r="P61" s="66"/>
      <c r="Q61" s="66"/>
      <c r="R61" s="66"/>
      <c r="S61" s="66"/>
      <c r="T61" s="66"/>
      <c r="U61" s="87">
        <f t="shared" ref="U61:U62" si="96">SUM(P61:T61)</f>
        <v>0</v>
      </c>
      <c r="W61" s="66"/>
      <c r="X61" s="66"/>
      <c r="Y61" s="66"/>
      <c r="Z61" s="66"/>
      <c r="AA61" s="66"/>
      <c r="AB61" s="87">
        <f t="shared" ref="AB61:AB62" si="97">SUM(W61:AA61)</f>
        <v>0</v>
      </c>
      <c r="AD61" s="66"/>
      <c r="AF61" s="94">
        <f t="shared" ref="AF61:AF62" si="98">SUM(AB61,U61,N61,AD61)</f>
        <v>0</v>
      </c>
      <c r="AG61" s="33"/>
      <c r="AH61" s="106"/>
      <c r="AI61" s="129">
        <v>0.1</v>
      </c>
      <c r="AJ61" s="114">
        <f t="shared" ref="AJ61:AJ62" si="99">SUM(AH61:AI61)</f>
        <v>0.1</v>
      </c>
      <c r="AL61" s="94">
        <f t="shared" ref="AL61:AL62" si="100">SUM(AF61,AJ61)</f>
        <v>0.1</v>
      </c>
    </row>
    <row r="62" spans="1:38" ht="13.5" thickBot="1" x14ac:dyDescent="0.25">
      <c r="A62" s="17" t="s">
        <v>64</v>
      </c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88">
        <f t="shared" si="95"/>
        <v>0</v>
      </c>
      <c r="P62" s="68"/>
      <c r="Q62" s="68"/>
      <c r="R62" s="68"/>
      <c r="S62" s="68"/>
      <c r="T62" s="68"/>
      <c r="U62" s="88">
        <f t="shared" si="96"/>
        <v>0</v>
      </c>
      <c r="W62" s="37"/>
      <c r="X62" s="37"/>
      <c r="Y62" s="37"/>
      <c r="Z62" s="37"/>
      <c r="AA62" s="69"/>
      <c r="AB62" s="88">
        <f t="shared" si="97"/>
        <v>0</v>
      </c>
      <c r="AD62" s="69"/>
      <c r="AF62" s="95">
        <f t="shared" si="98"/>
        <v>0</v>
      </c>
      <c r="AG62" s="33"/>
      <c r="AH62" s="107"/>
      <c r="AI62" s="127">
        <v>0.25</v>
      </c>
      <c r="AJ62" s="115">
        <f t="shared" si="99"/>
        <v>0.25</v>
      </c>
      <c r="AL62" s="95">
        <f t="shared" si="100"/>
        <v>0.25</v>
      </c>
    </row>
    <row r="63" spans="1:38" ht="13.5" thickBot="1" x14ac:dyDescent="0.25">
      <c r="A63" s="17" t="s">
        <v>65</v>
      </c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88">
        <f t="shared" ref="N63" si="101">SUM(C63:M63)</f>
        <v>0</v>
      </c>
      <c r="P63" s="68"/>
      <c r="Q63" s="68"/>
      <c r="R63" s="68"/>
      <c r="S63" s="68"/>
      <c r="T63" s="68"/>
      <c r="U63" s="88">
        <f t="shared" ref="U63" si="102">SUM(P63:T63)</f>
        <v>0</v>
      </c>
      <c r="W63" s="37"/>
      <c r="X63" s="37"/>
      <c r="Y63" s="37"/>
      <c r="Z63" s="37"/>
      <c r="AA63" s="69"/>
      <c r="AB63" s="88">
        <f t="shared" ref="AB63" si="103">SUM(W63:AA63)</f>
        <v>0</v>
      </c>
      <c r="AD63" s="69"/>
      <c r="AF63" s="95">
        <f t="shared" ref="AF63" si="104">SUM(AB63,U63,N63,AD63)</f>
        <v>0</v>
      </c>
      <c r="AG63" s="33"/>
      <c r="AH63" s="107"/>
      <c r="AI63" s="127">
        <v>0.65495000000000003</v>
      </c>
      <c r="AJ63" s="115">
        <f t="shared" ref="AJ63" si="105">SUM(AH63:AI63)</f>
        <v>0.65495000000000003</v>
      </c>
      <c r="AL63" s="95">
        <f t="shared" ref="AL63" si="106">SUM(AF63,AJ63)</f>
        <v>0.65495000000000003</v>
      </c>
    </row>
    <row r="64" spans="1:38" ht="13.5" thickBot="1" x14ac:dyDescent="0.25">
      <c r="A64" s="17" t="s">
        <v>66</v>
      </c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88">
        <f t="shared" ref="N64:N113" si="107">SUM(C64:M64)</f>
        <v>0</v>
      </c>
      <c r="P64" s="68"/>
      <c r="Q64" s="68"/>
      <c r="R64" s="68"/>
      <c r="S64" s="68"/>
      <c r="T64" s="68"/>
      <c r="U64" s="88">
        <f t="shared" ref="U64:U113" si="108">SUM(P64:T64)</f>
        <v>0</v>
      </c>
      <c r="W64" s="37"/>
      <c r="X64" s="37"/>
      <c r="Y64" s="37"/>
      <c r="Z64" s="37">
        <f>0.35+0.35</f>
        <v>0.7</v>
      </c>
      <c r="AA64" s="69">
        <v>0.3</v>
      </c>
      <c r="AB64" s="88">
        <f t="shared" ref="AB64:AB113" si="109">SUM(W64:AA64)</f>
        <v>1</v>
      </c>
      <c r="AD64" s="69"/>
      <c r="AF64" s="95">
        <f t="shared" ref="AF64:AF113" si="110">SUM(AB64,U64,N64,AD64)</f>
        <v>1</v>
      </c>
      <c r="AG64" s="33"/>
      <c r="AH64" s="107"/>
      <c r="AI64" s="127"/>
      <c r="AJ64" s="115">
        <f t="shared" ref="AJ64:AJ113" si="111">SUM(AH64:AI64)</f>
        <v>0</v>
      </c>
      <c r="AL64" s="95">
        <f t="shared" ref="AL64:AL113" si="112">SUM(AF64,AJ64)</f>
        <v>1</v>
      </c>
    </row>
    <row r="65" spans="1:38" ht="13.5" thickBot="1" x14ac:dyDescent="0.25">
      <c r="A65" s="17" t="s">
        <v>67</v>
      </c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88">
        <f t="shared" si="107"/>
        <v>0</v>
      </c>
      <c r="P65" s="68"/>
      <c r="Q65" s="68"/>
      <c r="R65" s="68"/>
      <c r="S65" s="68"/>
      <c r="T65" s="68"/>
      <c r="U65" s="88">
        <f t="shared" si="108"/>
        <v>0</v>
      </c>
      <c r="W65" s="37">
        <v>0.20119999999999999</v>
      </c>
      <c r="X65" s="37">
        <v>0.20119999999999999</v>
      </c>
      <c r="Y65" s="37">
        <v>0.20119999999999999</v>
      </c>
      <c r="Z65" s="37">
        <v>0.20119999999999999</v>
      </c>
      <c r="AA65" s="69">
        <f>2+0.2012</f>
        <v>2.2012</v>
      </c>
      <c r="AB65" s="88">
        <f t="shared" si="109"/>
        <v>3.0060000000000002</v>
      </c>
      <c r="AD65" s="69">
        <v>1</v>
      </c>
      <c r="AF65" s="95">
        <f t="shared" si="110"/>
        <v>4.0060000000000002</v>
      </c>
      <c r="AG65" s="33"/>
      <c r="AH65" s="107"/>
      <c r="AI65" s="127"/>
      <c r="AJ65" s="115">
        <f t="shared" si="111"/>
        <v>0</v>
      </c>
      <c r="AL65" s="95">
        <f t="shared" si="112"/>
        <v>4.0060000000000002</v>
      </c>
    </row>
    <row r="66" spans="1:38" ht="13.5" thickBot="1" x14ac:dyDescent="0.25">
      <c r="A66" s="17" t="s">
        <v>68</v>
      </c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88">
        <f t="shared" si="107"/>
        <v>0</v>
      </c>
      <c r="P66" s="68"/>
      <c r="Q66" s="68"/>
      <c r="R66" s="68"/>
      <c r="S66" s="68"/>
      <c r="T66" s="68"/>
      <c r="U66" s="88">
        <f t="shared" si="108"/>
        <v>0</v>
      </c>
      <c r="W66" s="37"/>
      <c r="X66" s="37"/>
      <c r="Y66" s="37"/>
      <c r="Z66" s="37"/>
      <c r="AA66" s="69"/>
      <c r="AB66" s="88">
        <f t="shared" si="109"/>
        <v>0</v>
      </c>
      <c r="AD66" s="69"/>
      <c r="AF66" s="95">
        <f t="shared" si="110"/>
        <v>0</v>
      </c>
      <c r="AG66" s="33"/>
      <c r="AH66" s="107"/>
      <c r="AI66" s="127">
        <f>0.05+1.45</f>
        <v>1.5</v>
      </c>
      <c r="AJ66" s="115">
        <f t="shared" si="111"/>
        <v>1.5</v>
      </c>
      <c r="AL66" s="95">
        <f t="shared" si="112"/>
        <v>1.5</v>
      </c>
    </row>
    <row r="67" spans="1:38" ht="13.5" thickBot="1" x14ac:dyDescent="0.25">
      <c r="A67" s="17" t="s">
        <v>69</v>
      </c>
      <c r="C67" s="67">
        <v>325</v>
      </c>
      <c r="D67" s="67">
        <v>425</v>
      </c>
      <c r="E67" s="67"/>
      <c r="F67" s="67">
        <v>3.5</v>
      </c>
      <c r="G67" s="67">
        <v>5</v>
      </c>
      <c r="H67" s="67">
        <v>154.33799999999999</v>
      </c>
      <c r="I67" s="67"/>
      <c r="J67" s="67">
        <v>75</v>
      </c>
      <c r="K67" s="67">
        <v>75</v>
      </c>
      <c r="L67" s="67">
        <v>75</v>
      </c>
      <c r="M67" s="67">
        <v>75</v>
      </c>
      <c r="N67" s="88">
        <f t="shared" si="107"/>
        <v>1212.838</v>
      </c>
      <c r="P67" s="68">
        <v>264.10000000000002</v>
      </c>
      <c r="Q67" s="68">
        <v>268.8</v>
      </c>
      <c r="R67" s="68">
        <v>283.10000000000002</v>
      </c>
      <c r="S67" s="68">
        <f>75+100.6+50</f>
        <v>225.6</v>
      </c>
      <c r="T67" s="68">
        <v>245</v>
      </c>
      <c r="U67" s="88">
        <f t="shared" si="108"/>
        <v>1286.6000000000001</v>
      </c>
      <c r="W67" s="69">
        <f>260+14.6048+2.8952+2.5</f>
        <v>280</v>
      </c>
      <c r="X67" s="69">
        <f>300+13.7578+2.5+3.7422</f>
        <v>320</v>
      </c>
      <c r="Y67" s="69">
        <f>325+15</f>
        <v>340</v>
      </c>
      <c r="Z67" s="69">
        <f>300+15+1.544372</f>
        <v>316.54437200000001</v>
      </c>
      <c r="AA67" s="69">
        <f>290+5</f>
        <v>295</v>
      </c>
      <c r="AB67" s="88">
        <f t="shared" si="109"/>
        <v>1551.5443720000001</v>
      </c>
      <c r="AD67" s="69">
        <f>210+0.45</f>
        <v>210.45</v>
      </c>
      <c r="AF67" s="95">
        <f t="shared" si="110"/>
        <v>4261.4323720000002</v>
      </c>
      <c r="AG67" s="33"/>
      <c r="AH67" s="107"/>
      <c r="AI67" s="127">
        <f>150+50+6.25</f>
        <v>206.25</v>
      </c>
      <c r="AJ67" s="115">
        <f t="shared" si="111"/>
        <v>206.25</v>
      </c>
      <c r="AL67" s="95">
        <f t="shared" si="112"/>
        <v>4467.6823720000002</v>
      </c>
    </row>
    <row r="68" spans="1:38" ht="13.5" thickBot="1" x14ac:dyDescent="0.25">
      <c r="A68" s="17" t="s">
        <v>70</v>
      </c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88">
        <f t="shared" ref="N68:N72" si="113">SUM(C68:M68)</f>
        <v>0</v>
      </c>
      <c r="P68" s="68"/>
      <c r="Q68" s="68"/>
      <c r="R68" s="68"/>
      <c r="S68" s="68"/>
      <c r="T68" s="68"/>
      <c r="U68" s="88">
        <f t="shared" ref="U68:U72" si="114">SUM(P68:T68)</f>
        <v>0</v>
      </c>
      <c r="W68" s="37"/>
      <c r="X68" s="37"/>
      <c r="Y68" s="37"/>
      <c r="Z68" s="37"/>
      <c r="AA68" s="69"/>
      <c r="AB68" s="88">
        <f t="shared" ref="AB68:AB72" si="115">SUM(W68:AA68)</f>
        <v>0</v>
      </c>
      <c r="AD68" s="69"/>
      <c r="AF68" s="95">
        <f t="shared" ref="AF68:AF72" si="116">SUM(AB68,U68,N68,AD68)</f>
        <v>0</v>
      </c>
      <c r="AG68" s="33"/>
      <c r="AH68" s="107"/>
      <c r="AI68" s="127">
        <v>0.15115912000000001</v>
      </c>
      <c r="AJ68" s="115">
        <f t="shared" ref="AJ68:AJ72" si="117">SUM(AH68:AI68)</f>
        <v>0.15115912000000001</v>
      </c>
      <c r="AL68" s="95">
        <f t="shared" ref="AL68:AL72" si="118">SUM(AF68,AJ68)</f>
        <v>0.15115912000000001</v>
      </c>
    </row>
    <row r="69" spans="1:38" ht="13.5" thickBot="1" x14ac:dyDescent="0.25">
      <c r="A69" s="17" t="s">
        <v>71</v>
      </c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88">
        <f t="shared" si="113"/>
        <v>0</v>
      </c>
      <c r="P69" s="68"/>
      <c r="Q69" s="68"/>
      <c r="R69" s="68"/>
      <c r="S69" s="68"/>
      <c r="T69" s="68"/>
      <c r="U69" s="88">
        <f t="shared" si="114"/>
        <v>0</v>
      </c>
      <c r="W69" s="37"/>
      <c r="X69" s="37"/>
      <c r="Y69" s="37"/>
      <c r="Z69" s="37"/>
      <c r="AA69" s="69"/>
      <c r="AB69" s="88">
        <f t="shared" si="115"/>
        <v>0</v>
      </c>
      <c r="AD69" s="69"/>
      <c r="AF69" s="95">
        <f t="shared" si="116"/>
        <v>0</v>
      </c>
      <c r="AG69" s="33"/>
      <c r="AH69" s="107"/>
      <c r="AI69" s="127">
        <v>0.25</v>
      </c>
      <c r="AJ69" s="115">
        <f t="shared" si="117"/>
        <v>0.25</v>
      </c>
      <c r="AL69" s="95">
        <f t="shared" si="118"/>
        <v>0.25</v>
      </c>
    </row>
    <row r="70" spans="1:38" ht="13.5" thickBot="1" x14ac:dyDescent="0.25">
      <c r="A70" s="17" t="s">
        <v>72</v>
      </c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88">
        <f t="shared" si="113"/>
        <v>0</v>
      </c>
      <c r="P70" s="68"/>
      <c r="Q70" s="68"/>
      <c r="R70" s="68"/>
      <c r="S70" s="68"/>
      <c r="T70" s="68"/>
      <c r="U70" s="88">
        <f t="shared" si="114"/>
        <v>0</v>
      </c>
      <c r="W70" s="37"/>
      <c r="X70" s="37"/>
      <c r="Y70" s="37"/>
      <c r="Z70" s="37"/>
      <c r="AA70" s="69"/>
      <c r="AB70" s="88">
        <f t="shared" si="115"/>
        <v>0</v>
      </c>
      <c r="AD70" s="69"/>
      <c r="AF70" s="95">
        <f t="shared" si="116"/>
        <v>0</v>
      </c>
      <c r="AG70" s="33"/>
      <c r="AH70" s="107"/>
      <c r="AI70" s="127">
        <f>0.59467859+0.02277043</f>
        <v>0.61744902000000002</v>
      </c>
      <c r="AJ70" s="115">
        <f t="shared" si="117"/>
        <v>0.61744902000000002</v>
      </c>
      <c r="AL70" s="95">
        <f t="shared" si="118"/>
        <v>0.61744902000000002</v>
      </c>
    </row>
    <row r="71" spans="1:38" ht="13.5" thickBot="1" x14ac:dyDescent="0.25">
      <c r="A71" s="17" t="s">
        <v>73</v>
      </c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88">
        <f t="shared" ref="N71" si="119">SUM(C71:M71)</f>
        <v>0</v>
      </c>
      <c r="P71" s="68"/>
      <c r="Q71" s="68"/>
      <c r="R71" s="68"/>
      <c r="S71" s="68"/>
      <c r="T71" s="68"/>
      <c r="U71" s="88">
        <f t="shared" ref="U71" si="120">SUM(P71:T71)</f>
        <v>0</v>
      </c>
      <c r="W71" s="37"/>
      <c r="X71" s="37"/>
      <c r="Y71" s="37"/>
      <c r="Z71" s="37"/>
      <c r="AA71" s="69"/>
      <c r="AB71" s="88">
        <f t="shared" ref="AB71" si="121">SUM(W71:AA71)</f>
        <v>0</v>
      </c>
      <c r="AD71" s="69"/>
      <c r="AF71" s="95">
        <f t="shared" ref="AF71" si="122">SUM(AB71,U71,N71,AD71)</f>
        <v>0</v>
      </c>
      <c r="AG71" s="33"/>
      <c r="AH71" s="107"/>
      <c r="AI71" s="127">
        <v>5</v>
      </c>
      <c r="AJ71" s="115">
        <f t="shared" ref="AJ71" si="123">SUM(AH71:AI71)</f>
        <v>5</v>
      </c>
      <c r="AL71" s="95">
        <f t="shared" ref="AL71" si="124">SUM(AF71,AJ71)</f>
        <v>5</v>
      </c>
    </row>
    <row r="72" spans="1:38" ht="26.25" thickBot="1" x14ac:dyDescent="0.25">
      <c r="A72" s="17" t="s">
        <v>74</v>
      </c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88">
        <f t="shared" si="113"/>
        <v>0</v>
      </c>
      <c r="P72" s="68"/>
      <c r="Q72" s="68"/>
      <c r="R72" s="68"/>
      <c r="S72" s="68"/>
      <c r="T72" s="68"/>
      <c r="U72" s="88">
        <f t="shared" si="114"/>
        <v>0</v>
      </c>
      <c r="W72" s="37"/>
      <c r="X72" s="37"/>
      <c r="Y72" s="37"/>
      <c r="Z72" s="37"/>
      <c r="AA72" s="69"/>
      <c r="AB72" s="88">
        <f t="shared" si="115"/>
        <v>0</v>
      </c>
      <c r="AD72" s="69"/>
      <c r="AF72" s="95">
        <f t="shared" si="116"/>
        <v>0</v>
      </c>
      <c r="AG72" s="33"/>
      <c r="AH72" s="107"/>
      <c r="AI72" s="127">
        <v>0.1</v>
      </c>
      <c r="AJ72" s="115">
        <f t="shared" si="117"/>
        <v>0.1</v>
      </c>
      <c r="AL72" s="95">
        <f t="shared" si="118"/>
        <v>0.1</v>
      </c>
    </row>
    <row r="73" spans="1:38" ht="13.5" thickBot="1" x14ac:dyDescent="0.25">
      <c r="A73" s="17" t="s">
        <v>75</v>
      </c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88">
        <f t="shared" si="107"/>
        <v>0</v>
      </c>
      <c r="P73" s="68"/>
      <c r="Q73" s="68"/>
      <c r="R73" s="68"/>
      <c r="S73" s="68"/>
      <c r="T73" s="68"/>
      <c r="U73" s="88">
        <f t="shared" si="108"/>
        <v>0</v>
      </c>
      <c r="W73" s="37"/>
      <c r="X73" s="37"/>
      <c r="Y73" s="37"/>
      <c r="Z73" s="37"/>
      <c r="AA73" s="69"/>
      <c r="AB73" s="88">
        <f t="shared" si="109"/>
        <v>0</v>
      </c>
      <c r="AD73" s="69"/>
      <c r="AF73" s="95">
        <f t="shared" si="110"/>
        <v>0</v>
      </c>
      <c r="AG73" s="33"/>
      <c r="AH73" s="107"/>
      <c r="AI73" s="127">
        <v>0.5</v>
      </c>
      <c r="AJ73" s="115">
        <f t="shared" si="111"/>
        <v>0.5</v>
      </c>
      <c r="AL73" s="95">
        <f t="shared" si="112"/>
        <v>0.5</v>
      </c>
    </row>
    <row r="74" spans="1:38" ht="13.5" thickBot="1" x14ac:dyDescent="0.25">
      <c r="A74" s="17" t="s">
        <v>76</v>
      </c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88">
        <f t="shared" ref="N74" si="125">SUM(C74:M74)</f>
        <v>0</v>
      </c>
      <c r="P74" s="68"/>
      <c r="Q74" s="68"/>
      <c r="R74" s="68"/>
      <c r="S74" s="68"/>
      <c r="T74" s="68"/>
      <c r="U74" s="88">
        <f t="shared" ref="U74" si="126">SUM(P74:T74)</f>
        <v>0</v>
      </c>
      <c r="W74" s="37"/>
      <c r="X74" s="37"/>
      <c r="Y74" s="37"/>
      <c r="Z74" s="37"/>
      <c r="AA74" s="69"/>
      <c r="AB74" s="88">
        <f t="shared" ref="AB74" si="127">SUM(W74:AA74)</f>
        <v>0</v>
      </c>
      <c r="AD74" s="69"/>
      <c r="AF74" s="95">
        <f t="shared" si="110"/>
        <v>0</v>
      </c>
      <c r="AG74" s="33"/>
      <c r="AH74" s="107"/>
      <c r="AI74" s="127">
        <v>0.1</v>
      </c>
      <c r="AJ74" s="115">
        <f t="shared" si="111"/>
        <v>0.1</v>
      </c>
      <c r="AL74" s="95">
        <f t="shared" si="112"/>
        <v>0.1</v>
      </c>
    </row>
    <row r="75" spans="1:38" ht="26.25" customHeight="1" thickBot="1" x14ac:dyDescent="0.25">
      <c r="A75" s="35" t="s">
        <v>77</v>
      </c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88">
        <f t="shared" si="107"/>
        <v>0</v>
      </c>
      <c r="P75" s="68"/>
      <c r="Q75" s="68"/>
      <c r="R75" s="68"/>
      <c r="S75" s="68">
        <f>0.8+1.2</f>
        <v>2</v>
      </c>
      <c r="T75" s="69"/>
      <c r="U75" s="88">
        <f t="shared" si="108"/>
        <v>2</v>
      </c>
      <c r="W75" s="69"/>
      <c r="X75" s="69"/>
      <c r="Y75" s="69">
        <v>0.855078</v>
      </c>
      <c r="Z75" s="69"/>
      <c r="AA75" s="69">
        <v>0.31638899999999998</v>
      </c>
      <c r="AB75" s="88">
        <f t="shared" si="109"/>
        <v>1.171467</v>
      </c>
      <c r="AD75" s="69">
        <v>0.60479499999999997</v>
      </c>
      <c r="AF75" s="95">
        <f t="shared" si="110"/>
        <v>3.776262</v>
      </c>
      <c r="AG75" s="33"/>
      <c r="AH75" s="107"/>
      <c r="AI75" s="127"/>
      <c r="AJ75" s="115">
        <f t="shared" si="111"/>
        <v>0</v>
      </c>
      <c r="AL75" s="95">
        <f t="shared" si="112"/>
        <v>3.776262</v>
      </c>
    </row>
    <row r="76" spans="1:38" ht="13.5" thickBot="1" x14ac:dyDescent="0.25">
      <c r="A76" s="17" t="s">
        <v>78</v>
      </c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88">
        <f t="shared" si="107"/>
        <v>0</v>
      </c>
      <c r="P76" s="68"/>
      <c r="Q76" s="68"/>
      <c r="R76" s="68"/>
      <c r="S76" s="68"/>
      <c r="T76" s="68"/>
      <c r="U76" s="88">
        <f t="shared" si="108"/>
        <v>0</v>
      </c>
      <c r="W76" s="37"/>
      <c r="X76" s="37"/>
      <c r="Y76" s="37"/>
      <c r="Z76" s="37"/>
      <c r="AA76" s="69"/>
      <c r="AB76" s="88">
        <f t="shared" si="109"/>
        <v>0</v>
      </c>
      <c r="AD76" s="69"/>
      <c r="AF76" s="95">
        <f t="shared" si="110"/>
        <v>0</v>
      </c>
      <c r="AG76" s="33"/>
      <c r="AH76" s="107"/>
      <c r="AI76" s="127">
        <v>0.23271384000000001</v>
      </c>
      <c r="AJ76" s="115">
        <f t="shared" si="111"/>
        <v>0.23271384000000001</v>
      </c>
      <c r="AL76" s="95">
        <f t="shared" si="112"/>
        <v>0.23271384000000001</v>
      </c>
    </row>
    <row r="77" spans="1:38" ht="13.5" thickBot="1" x14ac:dyDescent="0.25">
      <c r="A77" s="17" t="s">
        <v>79</v>
      </c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88">
        <f t="shared" si="107"/>
        <v>0</v>
      </c>
      <c r="P77" s="68"/>
      <c r="Q77" s="68"/>
      <c r="R77" s="68"/>
      <c r="S77" s="68"/>
      <c r="T77" s="68"/>
      <c r="U77" s="88">
        <f t="shared" si="108"/>
        <v>0</v>
      </c>
      <c r="W77" s="37"/>
      <c r="X77" s="37"/>
      <c r="Y77" s="37"/>
      <c r="Z77" s="37"/>
      <c r="AA77" s="69"/>
      <c r="AB77" s="88">
        <f t="shared" si="109"/>
        <v>0</v>
      </c>
      <c r="AD77" s="69"/>
      <c r="AF77" s="95">
        <f t="shared" si="110"/>
        <v>0</v>
      </c>
      <c r="AG77" s="33"/>
      <c r="AH77" s="107"/>
      <c r="AI77" s="127">
        <v>0.125</v>
      </c>
      <c r="AJ77" s="115">
        <f t="shared" si="111"/>
        <v>0.125</v>
      </c>
      <c r="AL77" s="95">
        <f t="shared" si="112"/>
        <v>0.125</v>
      </c>
    </row>
    <row r="78" spans="1:38" ht="13.5" thickBot="1" x14ac:dyDescent="0.25">
      <c r="A78" s="17" t="s">
        <v>80</v>
      </c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88">
        <f t="shared" si="107"/>
        <v>0</v>
      </c>
      <c r="P78" s="68"/>
      <c r="Q78" s="68"/>
      <c r="R78" s="68"/>
      <c r="S78" s="68"/>
      <c r="T78" s="68"/>
      <c r="U78" s="88">
        <f t="shared" si="108"/>
        <v>0</v>
      </c>
      <c r="W78" s="37"/>
      <c r="X78" s="37"/>
      <c r="Y78" s="37"/>
      <c r="Z78" s="37"/>
      <c r="AA78" s="69"/>
      <c r="AB78" s="88">
        <f t="shared" si="109"/>
        <v>0</v>
      </c>
      <c r="AD78" s="69"/>
      <c r="AF78" s="95">
        <f t="shared" si="110"/>
        <v>0</v>
      </c>
      <c r="AG78" s="33"/>
      <c r="AH78" s="107"/>
      <c r="AI78" s="127">
        <v>18</v>
      </c>
      <c r="AJ78" s="115">
        <f t="shared" si="111"/>
        <v>18</v>
      </c>
      <c r="AL78" s="95">
        <f t="shared" si="112"/>
        <v>18</v>
      </c>
    </row>
    <row r="79" spans="1:38" ht="13.5" thickBot="1" x14ac:dyDescent="0.25">
      <c r="A79" s="17" t="s">
        <v>81</v>
      </c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88">
        <f t="shared" ref="N79" si="128">SUM(C79:M79)</f>
        <v>0</v>
      </c>
      <c r="P79" s="68"/>
      <c r="Q79" s="68"/>
      <c r="R79" s="68"/>
      <c r="S79" s="68"/>
      <c r="T79" s="68"/>
      <c r="U79" s="88">
        <f t="shared" ref="U79" si="129">SUM(P79:T79)</f>
        <v>0</v>
      </c>
      <c r="W79" s="37"/>
      <c r="X79" s="37"/>
      <c r="Y79" s="37"/>
      <c r="Z79" s="37"/>
      <c r="AA79" s="69"/>
      <c r="AB79" s="88">
        <f t="shared" ref="AB79" si="130">SUM(W79:AA79)</f>
        <v>0</v>
      </c>
      <c r="AD79" s="69"/>
      <c r="AF79" s="95">
        <f t="shared" ref="AF79" si="131">SUM(AB79,U79,N79,AD79)</f>
        <v>0</v>
      </c>
      <c r="AG79" s="33"/>
      <c r="AH79" s="107"/>
      <c r="AI79" s="127">
        <v>0.12868500999999999</v>
      </c>
      <c r="AJ79" s="115">
        <f t="shared" ref="AJ79" si="132">SUM(AH79:AI79)</f>
        <v>0.12868500999999999</v>
      </c>
      <c r="AL79" s="95">
        <f t="shared" ref="AL79" si="133">SUM(AF79,AJ79)</f>
        <v>0.12868500999999999</v>
      </c>
    </row>
    <row r="80" spans="1:38" ht="13.5" thickBot="1" x14ac:dyDescent="0.25">
      <c r="A80" s="17" t="s">
        <v>82</v>
      </c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88">
        <f t="shared" ref="N80" si="134">SUM(C80:M80)</f>
        <v>0</v>
      </c>
      <c r="P80" s="68"/>
      <c r="Q80" s="68"/>
      <c r="R80" s="68"/>
      <c r="S80" s="68"/>
      <c r="T80" s="68"/>
      <c r="U80" s="88">
        <f t="shared" ref="U80" si="135">SUM(P80:T80)</f>
        <v>0</v>
      </c>
      <c r="W80" s="37"/>
      <c r="X80" s="37"/>
      <c r="Y80" s="37"/>
      <c r="Z80" s="37"/>
      <c r="AA80" s="69"/>
      <c r="AB80" s="88">
        <f t="shared" ref="AB80" si="136">SUM(W80:AA80)</f>
        <v>0</v>
      </c>
      <c r="AD80" s="69"/>
      <c r="AF80" s="95">
        <f t="shared" ref="AF80" si="137">SUM(AB80,U80,N80,AD80)</f>
        <v>0</v>
      </c>
      <c r="AG80" s="33"/>
      <c r="AH80" s="107"/>
      <c r="AI80" s="127">
        <f>2.5+0.71415911+3.30583547+0.62702543</f>
        <v>7.1470200099999994</v>
      </c>
      <c r="AJ80" s="115">
        <f t="shared" ref="AJ80" si="138">SUM(AH80:AI80)</f>
        <v>7.1470200099999994</v>
      </c>
      <c r="AL80" s="95">
        <f t="shared" ref="AL80" si="139">SUM(AF80,AJ80)</f>
        <v>7.1470200099999994</v>
      </c>
    </row>
    <row r="81" spans="1:38" ht="26.25" thickBot="1" x14ac:dyDescent="0.25">
      <c r="A81" s="17" t="s">
        <v>83</v>
      </c>
      <c r="C81" s="67"/>
      <c r="D81" s="67"/>
      <c r="E81" s="67"/>
      <c r="F81" s="67"/>
      <c r="G81" s="67"/>
      <c r="H81" s="67"/>
      <c r="I81" s="67"/>
      <c r="J81" s="70"/>
      <c r="K81" s="68"/>
      <c r="L81" s="68"/>
      <c r="M81" s="68"/>
      <c r="N81" s="89">
        <f t="shared" si="107"/>
        <v>0</v>
      </c>
      <c r="P81" s="68">
        <v>14.077608</v>
      </c>
      <c r="Q81" s="68">
        <v>8.8254854999999992</v>
      </c>
      <c r="R81" s="68">
        <v>10.096907</v>
      </c>
      <c r="S81" s="68"/>
      <c r="T81" s="69"/>
      <c r="U81" s="89">
        <f t="shared" si="108"/>
        <v>33.000000499999999</v>
      </c>
      <c r="W81" s="69"/>
      <c r="X81" s="69">
        <v>5</v>
      </c>
      <c r="Y81" s="69"/>
      <c r="Z81" s="69"/>
      <c r="AA81" s="69"/>
      <c r="AB81" s="89">
        <f t="shared" si="109"/>
        <v>5</v>
      </c>
      <c r="AD81" s="69"/>
      <c r="AF81" s="95">
        <f t="shared" si="110"/>
        <v>38.000000499999999</v>
      </c>
      <c r="AG81" s="33"/>
      <c r="AH81" s="107"/>
      <c r="AI81" s="127"/>
      <c r="AJ81" s="115">
        <f t="shared" si="111"/>
        <v>0</v>
      </c>
      <c r="AL81" s="95">
        <f t="shared" si="112"/>
        <v>38.000000499999999</v>
      </c>
    </row>
    <row r="82" spans="1:38" ht="26.25" thickBot="1" x14ac:dyDescent="0.25">
      <c r="A82" s="35" t="s">
        <v>84</v>
      </c>
      <c r="C82" s="67"/>
      <c r="D82" s="67"/>
      <c r="E82" s="67"/>
      <c r="F82" s="67"/>
      <c r="G82" s="67"/>
      <c r="H82" s="67"/>
      <c r="I82" s="67"/>
      <c r="J82" s="70"/>
      <c r="K82" s="68"/>
      <c r="L82" s="68"/>
      <c r="M82" s="68"/>
      <c r="N82" s="89">
        <f t="shared" si="107"/>
        <v>0</v>
      </c>
      <c r="P82" s="68"/>
      <c r="Q82" s="73"/>
      <c r="R82" s="68"/>
      <c r="S82" s="68"/>
      <c r="T82" s="69"/>
      <c r="U82" s="89">
        <f t="shared" si="108"/>
        <v>0</v>
      </c>
      <c r="W82" s="69">
        <f>0.10916441+0.03383559</f>
        <v>0.14300000000000002</v>
      </c>
      <c r="X82" s="69">
        <f>0.075+0.143</f>
        <v>0.21799999999999997</v>
      </c>
      <c r="Y82" s="69">
        <f>0.211+0.5+0.143</f>
        <v>0.85399999999999998</v>
      </c>
      <c r="Z82" s="69">
        <f>0.3+0.143</f>
        <v>0.44299999999999995</v>
      </c>
      <c r="AA82" s="69"/>
      <c r="AB82" s="89">
        <f t="shared" si="109"/>
        <v>1.6579999999999999</v>
      </c>
      <c r="AD82" s="69">
        <v>0.215169</v>
      </c>
      <c r="AF82" s="95">
        <f t="shared" si="110"/>
        <v>1.8731689999999999</v>
      </c>
      <c r="AG82" s="33"/>
      <c r="AH82" s="107"/>
      <c r="AI82" s="127"/>
      <c r="AJ82" s="115">
        <f t="shared" si="111"/>
        <v>0</v>
      </c>
      <c r="AL82" s="95">
        <f t="shared" si="112"/>
        <v>1.8731689999999999</v>
      </c>
    </row>
    <row r="83" spans="1:38" ht="13.5" thickBot="1" x14ac:dyDescent="0.25">
      <c r="A83" s="28" t="s">
        <v>85</v>
      </c>
      <c r="C83" s="43"/>
      <c r="D83" s="50"/>
      <c r="E83" s="43"/>
      <c r="F83" s="43"/>
      <c r="G83" s="50"/>
      <c r="H83" s="47"/>
      <c r="I83" s="43"/>
      <c r="J83" s="43"/>
      <c r="K83" s="48"/>
      <c r="L83" s="43"/>
      <c r="M83" s="43"/>
      <c r="N83" s="84">
        <f t="shared" ref="N83" si="140">SUM(C83:M83)</f>
        <v>0</v>
      </c>
      <c r="P83" s="43"/>
      <c r="Q83" s="49"/>
      <c r="R83" s="49"/>
      <c r="S83" s="49"/>
      <c r="T83" s="49"/>
      <c r="U83" s="84">
        <f t="shared" ref="U83" si="141">SUM(P83:T83)</f>
        <v>0</v>
      </c>
      <c r="W83" s="49"/>
      <c r="X83" s="49"/>
      <c r="Y83" s="49"/>
      <c r="Z83" s="49"/>
      <c r="AA83" s="49"/>
      <c r="AB83" s="84">
        <f t="shared" ref="AB83" si="142">SUM(W83:AA83)</f>
        <v>0</v>
      </c>
      <c r="AD83" s="49"/>
      <c r="AF83" s="92">
        <f>SUM(AB83,U83,N83,AD83)</f>
        <v>0</v>
      </c>
      <c r="AG83" s="33"/>
      <c r="AH83" s="107"/>
      <c r="AI83" s="127">
        <v>1.3394999999999999</v>
      </c>
      <c r="AJ83" s="115">
        <f>SUM(AH83:AI83)</f>
        <v>1.3394999999999999</v>
      </c>
      <c r="AL83" s="92">
        <f>SUM(AF83,AJ83)</f>
        <v>1.3394999999999999</v>
      </c>
    </row>
    <row r="84" spans="1:38" ht="13.5" thickBot="1" x14ac:dyDescent="0.25">
      <c r="A84" s="10" t="s">
        <v>86</v>
      </c>
      <c r="C84" s="67"/>
      <c r="D84" s="67"/>
      <c r="E84" s="67"/>
      <c r="F84" s="67"/>
      <c r="G84" s="67"/>
      <c r="H84" s="67"/>
      <c r="I84" s="67"/>
      <c r="J84" s="70"/>
      <c r="K84" s="68">
        <v>5.8</v>
      </c>
      <c r="L84" s="68">
        <v>5.9</v>
      </c>
      <c r="M84" s="68">
        <v>4</v>
      </c>
      <c r="N84" s="89">
        <f t="shared" si="107"/>
        <v>15.7</v>
      </c>
      <c r="P84" s="71">
        <v>3.1</v>
      </c>
      <c r="Q84" s="74">
        <v>2.8415940000000002</v>
      </c>
      <c r="R84" s="68">
        <v>2.0267418500000001</v>
      </c>
      <c r="S84" s="68">
        <f>0.08282487+1.3589+0.41790755-0.05290269</f>
        <v>1.80672973</v>
      </c>
      <c r="T84" s="69">
        <f>0.12171144+1.0905+0.10330079+0.00749712</f>
        <v>1.32300935</v>
      </c>
      <c r="U84" s="89">
        <f t="shared" si="108"/>
        <v>11.098074930000001</v>
      </c>
      <c r="W84" s="69">
        <f>0.54553356+0.02381135+1.09579371+0.52189105+0.15054668</f>
        <v>2.3375763500000004</v>
      </c>
      <c r="X84" s="69">
        <f>0.01439096+0.0742438+0.03536211+1.1219873+0.16116763+0.47137176+0.68446473</f>
        <v>2.5629882899999998</v>
      </c>
      <c r="Y84" s="69">
        <f>0.50279334+1.14379384</f>
        <v>1.64658718</v>
      </c>
      <c r="Z84" s="69">
        <f>2.1173994+1.2991243+1.0956</f>
        <v>4.5121237000000001</v>
      </c>
      <c r="AA84" s="69">
        <f>3.25925629+1.169+1.33320411+0.25327518+0.14542811</f>
        <v>6.160163690000001</v>
      </c>
      <c r="AB84" s="89">
        <f t="shared" si="109"/>
        <v>17.219439210000001</v>
      </c>
      <c r="AD84" s="49">
        <f>0.65868636+0.11097781+0.02066697+0.01147503+1.145</f>
        <v>1.9468061699999999</v>
      </c>
      <c r="AF84" s="95">
        <f t="shared" si="110"/>
        <v>45.964320310000005</v>
      </c>
      <c r="AG84" s="33"/>
      <c r="AH84" s="107"/>
      <c r="AI84" s="127"/>
      <c r="AJ84" s="115">
        <f t="shared" si="111"/>
        <v>0</v>
      </c>
      <c r="AL84" s="95">
        <f t="shared" si="112"/>
        <v>45.964320310000005</v>
      </c>
    </row>
    <row r="85" spans="1:38" ht="15" thickBot="1" x14ac:dyDescent="0.25">
      <c r="A85" s="35" t="s">
        <v>119</v>
      </c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88">
        <f t="shared" ref="N85" si="143">SUM(C85:M85)</f>
        <v>0</v>
      </c>
      <c r="P85" s="68"/>
      <c r="Q85" s="68"/>
      <c r="R85" s="68"/>
      <c r="S85" s="68"/>
      <c r="T85" s="68"/>
      <c r="U85" s="88">
        <f t="shared" ref="U85" si="144">SUM(P85:T85)</f>
        <v>0</v>
      </c>
      <c r="W85" s="37"/>
      <c r="X85" s="37"/>
      <c r="Y85" s="37"/>
      <c r="Z85" s="37"/>
      <c r="AA85" s="69"/>
      <c r="AB85" s="88">
        <f t="shared" ref="AB85" si="145">SUM(W85:AA85)</f>
        <v>0</v>
      </c>
      <c r="AD85" s="69"/>
      <c r="AF85" s="95">
        <f t="shared" si="110"/>
        <v>0</v>
      </c>
      <c r="AG85" s="33"/>
      <c r="AH85" s="107"/>
      <c r="AI85" s="127">
        <f>10+15.805266</f>
        <v>25.805266</v>
      </c>
      <c r="AJ85" s="115">
        <f t="shared" si="111"/>
        <v>25.805266</v>
      </c>
      <c r="AL85" s="95">
        <f t="shared" si="112"/>
        <v>25.805266</v>
      </c>
    </row>
    <row r="86" spans="1:38" ht="13.5" thickBot="1" x14ac:dyDescent="0.25">
      <c r="A86" s="17" t="s">
        <v>87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88">
        <f t="shared" si="107"/>
        <v>0</v>
      </c>
      <c r="P86" s="68"/>
      <c r="Q86" s="68"/>
      <c r="R86" s="68"/>
      <c r="S86" s="68"/>
      <c r="T86" s="68"/>
      <c r="U86" s="88">
        <f t="shared" si="108"/>
        <v>0</v>
      </c>
      <c r="W86" s="37"/>
      <c r="X86" s="37"/>
      <c r="Y86" s="37"/>
      <c r="Z86" s="37"/>
      <c r="AA86" s="69"/>
      <c r="AB86" s="88">
        <f t="shared" si="109"/>
        <v>0</v>
      </c>
      <c r="AD86" s="69"/>
      <c r="AF86" s="95">
        <f t="shared" si="110"/>
        <v>0</v>
      </c>
      <c r="AG86" s="33"/>
      <c r="AH86" s="107"/>
      <c r="AI86" s="127">
        <v>0.1</v>
      </c>
      <c r="AJ86" s="115">
        <f t="shared" si="111"/>
        <v>0.1</v>
      </c>
      <c r="AL86" s="95">
        <f t="shared" si="112"/>
        <v>0.1</v>
      </c>
    </row>
    <row r="87" spans="1:38" ht="26.25" thickBot="1" x14ac:dyDescent="0.25">
      <c r="A87" s="17" t="s">
        <v>88</v>
      </c>
      <c r="C87" s="67"/>
      <c r="D87" s="67"/>
      <c r="E87" s="67"/>
      <c r="F87" s="67"/>
      <c r="G87" s="67"/>
      <c r="H87" s="67"/>
      <c r="I87" s="67"/>
      <c r="J87" s="70"/>
      <c r="K87" s="68"/>
      <c r="L87" s="68"/>
      <c r="M87" s="68"/>
      <c r="N87" s="89">
        <f t="shared" si="107"/>
        <v>0</v>
      </c>
      <c r="P87" s="71"/>
      <c r="Q87" s="74"/>
      <c r="R87" s="68">
        <v>0.65</v>
      </c>
      <c r="S87" s="36">
        <v>0.45</v>
      </c>
      <c r="T87" s="69"/>
      <c r="U87" s="89">
        <f t="shared" si="108"/>
        <v>1.1000000000000001</v>
      </c>
      <c r="W87" s="69"/>
      <c r="X87" s="69"/>
      <c r="Y87" s="69"/>
      <c r="Z87" s="69"/>
      <c r="AA87" s="69"/>
      <c r="AB87" s="89">
        <f t="shared" si="109"/>
        <v>0</v>
      </c>
      <c r="AD87" s="69"/>
      <c r="AF87" s="95">
        <f t="shared" si="110"/>
        <v>1.1000000000000001</v>
      </c>
      <c r="AG87" s="33"/>
      <c r="AH87" s="107"/>
      <c r="AI87" s="127"/>
      <c r="AJ87" s="115">
        <f t="shared" si="111"/>
        <v>0</v>
      </c>
      <c r="AL87" s="95">
        <f t="shared" si="112"/>
        <v>1.1000000000000001</v>
      </c>
    </row>
    <row r="88" spans="1:38" ht="13.5" thickBot="1" x14ac:dyDescent="0.25">
      <c r="A88" s="17" t="s">
        <v>89</v>
      </c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88">
        <f t="shared" ref="N88" si="146">SUM(C88:M88)</f>
        <v>0</v>
      </c>
      <c r="P88" s="68"/>
      <c r="Q88" s="68"/>
      <c r="R88" s="68"/>
      <c r="S88" s="68"/>
      <c r="T88" s="68"/>
      <c r="U88" s="88">
        <f t="shared" ref="U88:U89" si="147">SUM(P88:T88)</f>
        <v>0</v>
      </c>
      <c r="W88" s="37"/>
      <c r="X88" s="37"/>
      <c r="Y88" s="37"/>
      <c r="Z88" s="37"/>
      <c r="AA88" s="69"/>
      <c r="AB88" s="88">
        <f t="shared" ref="AB88:AB89" si="148">SUM(W88:AA88)</f>
        <v>0</v>
      </c>
      <c r="AD88" s="69"/>
      <c r="AF88" s="95">
        <f t="shared" ref="AF88:AF89" si="149">SUM(AB88,U88,N88,AD88)</f>
        <v>0</v>
      </c>
      <c r="AG88" s="33"/>
      <c r="AH88" s="107"/>
      <c r="AI88" s="127">
        <v>0.2</v>
      </c>
      <c r="AJ88" s="115">
        <f t="shared" ref="AJ88" si="150">SUM(AH88:AI88)</f>
        <v>0.2</v>
      </c>
      <c r="AL88" s="95">
        <f t="shared" ref="AL88:AL89" si="151">SUM(AF88,AJ88)</f>
        <v>0.2</v>
      </c>
    </row>
    <row r="89" spans="1:38" ht="13.5" thickBot="1" x14ac:dyDescent="0.25">
      <c r="A89" s="17" t="s">
        <v>90</v>
      </c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88">
        <f t="shared" ref="N89" si="152">SUM(C89:M89)</f>
        <v>0</v>
      </c>
      <c r="P89" s="68"/>
      <c r="Q89" s="68"/>
      <c r="R89" s="68"/>
      <c r="S89" s="68"/>
      <c r="T89" s="68"/>
      <c r="U89" s="88">
        <f t="shared" si="147"/>
        <v>0</v>
      </c>
      <c r="W89" s="37"/>
      <c r="X89" s="37"/>
      <c r="Y89" s="37"/>
      <c r="Z89" s="37"/>
      <c r="AA89" s="69"/>
      <c r="AB89" s="88">
        <f t="shared" si="148"/>
        <v>0</v>
      </c>
      <c r="AD89" s="69"/>
      <c r="AF89" s="95">
        <f t="shared" si="149"/>
        <v>0</v>
      </c>
      <c r="AG89" s="33"/>
      <c r="AH89" s="107"/>
      <c r="AI89" s="127">
        <v>1.8275723100000001</v>
      </c>
      <c r="AJ89" s="115">
        <f t="shared" ref="AJ89:AJ90" si="153">SUM(AH89:AI89)</f>
        <v>1.8275723100000001</v>
      </c>
      <c r="AL89" s="95">
        <f t="shared" si="151"/>
        <v>1.8275723100000001</v>
      </c>
    </row>
    <row r="90" spans="1:38" ht="13.5" thickBot="1" x14ac:dyDescent="0.25">
      <c r="A90" s="17" t="s">
        <v>91</v>
      </c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88">
        <f t="shared" ref="N90" si="154">SUM(C90:M90)</f>
        <v>0</v>
      </c>
      <c r="P90" s="68"/>
      <c r="Q90" s="68"/>
      <c r="R90" s="68"/>
      <c r="S90" s="68"/>
      <c r="T90" s="68"/>
      <c r="U90" s="88">
        <f t="shared" ref="U90" si="155">SUM(P90:T90)</f>
        <v>0</v>
      </c>
      <c r="W90" s="37"/>
      <c r="X90" s="37"/>
      <c r="Y90" s="37"/>
      <c r="Z90" s="37"/>
      <c r="AA90" s="69"/>
      <c r="AB90" s="88">
        <f t="shared" ref="AB90" si="156">SUM(W90:AA90)</f>
        <v>0</v>
      </c>
      <c r="AD90" s="69"/>
      <c r="AF90" s="95">
        <f t="shared" ref="AF90" si="157">SUM(AB90,U90,N90,AD90)</f>
        <v>0</v>
      </c>
      <c r="AG90" s="33"/>
      <c r="AH90" s="107"/>
      <c r="AI90" s="127">
        <v>0.1</v>
      </c>
      <c r="AJ90" s="115">
        <f t="shared" si="153"/>
        <v>0.1</v>
      </c>
      <c r="AL90" s="95">
        <f t="shared" ref="AL90" si="158">SUM(AF90,AJ90)</f>
        <v>0.1</v>
      </c>
    </row>
    <row r="91" spans="1:38" ht="13.5" thickBot="1" x14ac:dyDescent="0.25">
      <c r="A91" s="17" t="s">
        <v>92</v>
      </c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88">
        <f t="shared" ref="N91" si="159">SUM(C91:M91)</f>
        <v>0</v>
      </c>
      <c r="P91" s="68"/>
      <c r="Q91" s="68"/>
      <c r="R91" s="68"/>
      <c r="S91" s="68"/>
      <c r="T91" s="68"/>
      <c r="U91" s="88">
        <f t="shared" ref="U91" si="160">SUM(P91:T91)</f>
        <v>0</v>
      </c>
      <c r="W91" s="37"/>
      <c r="X91" s="37"/>
      <c r="Y91" s="37"/>
      <c r="Z91" s="37"/>
      <c r="AA91" s="69"/>
      <c r="AB91" s="88">
        <f t="shared" ref="AB91" si="161">SUM(W91:AA91)</f>
        <v>0</v>
      </c>
      <c r="AD91" s="69"/>
      <c r="AF91" s="95">
        <f t="shared" ref="AF91" si="162">SUM(AB91,U91,N91,AD91)</f>
        <v>0</v>
      </c>
      <c r="AG91" s="33"/>
      <c r="AH91" s="107"/>
      <c r="AI91" s="127">
        <f>0.001+4.999</f>
        <v>5</v>
      </c>
      <c r="AJ91" s="115">
        <f t="shared" ref="AJ91" si="163">SUM(AH91:AI91)</f>
        <v>5</v>
      </c>
      <c r="AL91" s="95">
        <f t="shared" ref="AL91" si="164">SUM(AF91,AJ91)</f>
        <v>5</v>
      </c>
    </row>
    <row r="92" spans="1:38" ht="13.5" thickBot="1" x14ac:dyDescent="0.25">
      <c r="A92" s="27" t="s">
        <v>93</v>
      </c>
      <c r="C92" s="67"/>
      <c r="D92" s="67"/>
      <c r="E92" s="67"/>
      <c r="F92" s="67"/>
      <c r="G92" s="67"/>
      <c r="H92" s="67"/>
      <c r="I92" s="67"/>
      <c r="J92" s="70"/>
      <c r="K92" s="68"/>
      <c r="L92" s="68"/>
      <c r="M92" s="68"/>
      <c r="N92" s="89">
        <f t="shared" si="107"/>
        <v>0</v>
      </c>
      <c r="P92" s="71"/>
      <c r="Q92" s="71"/>
      <c r="R92" s="71"/>
      <c r="S92" s="71"/>
      <c r="T92" s="72"/>
      <c r="U92" s="89">
        <f t="shared" si="108"/>
        <v>0</v>
      </c>
      <c r="W92" s="72"/>
      <c r="X92" s="72"/>
      <c r="Y92" s="72"/>
      <c r="Z92" s="72"/>
      <c r="AA92" s="72"/>
      <c r="AB92" s="89">
        <f t="shared" si="109"/>
        <v>0</v>
      </c>
      <c r="AD92" s="72"/>
      <c r="AF92" s="95">
        <f t="shared" si="110"/>
        <v>0</v>
      </c>
      <c r="AG92" s="33"/>
      <c r="AH92" s="107">
        <v>30</v>
      </c>
      <c r="AI92" s="127"/>
      <c r="AJ92" s="115">
        <f t="shared" si="111"/>
        <v>30</v>
      </c>
      <c r="AL92" s="95">
        <f t="shared" si="112"/>
        <v>30</v>
      </c>
    </row>
    <row r="93" spans="1:38" ht="13.5" thickBot="1" x14ac:dyDescent="0.25">
      <c r="A93" s="10" t="s">
        <v>94</v>
      </c>
      <c r="C93" s="67"/>
      <c r="D93" s="67"/>
      <c r="E93" s="67"/>
      <c r="F93" s="67"/>
      <c r="G93" s="67"/>
      <c r="H93" s="67"/>
      <c r="I93" s="67"/>
      <c r="J93" s="70"/>
      <c r="K93" s="68"/>
      <c r="L93" s="68"/>
      <c r="M93" s="68"/>
      <c r="N93" s="89">
        <f t="shared" si="107"/>
        <v>0</v>
      </c>
      <c r="P93" s="71"/>
      <c r="Q93" s="74"/>
      <c r="R93" s="68"/>
      <c r="S93" s="68"/>
      <c r="T93" s="69"/>
      <c r="U93" s="89">
        <f t="shared" si="108"/>
        <v>0</v>
      </c>
      <c r="W93" s="69"/>
      <c r="X93" s="69"/>
      <c r="Y93" s="69"/>
      <c r="Z93" s="69">
        <v>3</v>
      </c>
      <c r="AA93" s="69"/>
      <c r="AB93" s="89">
        <f t="shared" si="109"/>
        <v>3</v>
      </c>
      <c r="AD93" s="69"/>
      <c r="AF93" s="95">
        <f t="shared" si="110"/>
        <v>3</v>
      </c>
      <c r="AG93" s="33"/>
      <c r="AH93" s="107"/>
      <c r="AI93" s="127"/>
      <c r="AJ93" s="115">
        <f t="shared" si="111"/>
        <v>0</v>
      </c>
      <c r="AL93" s="95">
        <f t="shared" si="112"/>
        <v>3</v>
      </c>
    </row>
    <row r="94" spans="1:38" ht="13.5" thickBot="1" x14ac:dyDescent="0.25">
      <c r="A94" s="17" t="s">
        <v>95</v>
      </c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88">
        <f t="shared" ref="N94" si="165">SUM(C94:M94)</f>
        <v>0</v>
      </c>
      <c r="P94" s="68"/>
      <c r="Q94" s="68"/>
      <c r="R94" s="68"/>
      <c r="S94" s="68"/>
      <c r="T94" s="68"/>
      <c r="U94" s="88">
        <f t="shared" ref="U94" si="166">SUM(P94:T94)</f>
        <v>0</v>
      </c>
      <c r="W94" s="37"/>
      <c r="X94" s="37"/>
      <c r="Y94" s="37"/>
      <c r="Z94" s="37"/>
      <c r="AA94" s="69"/>
      <c r="AB94" s="88">
        <f t="shared" ref="AB94" si="167">SUM(W94:AA94)</f>
        <v>0</v>
      </c>
      <c r="AD94" s="69"/>
      <c r="AF94" s="95">
        <f t="shared" si="110"/>
        <v>0</v>
      </c>
      <c r="AG94" s="33"/>
      <c r="AH94" s="107"/>
      <c r="AI94" s="127">
        <v>0.11</v>
      </c>
      <c r="AJ94" s="115">
        <f t="shared" si="111"/>
        <v>0.11</v>
      </c>
      <c r="AL94" s="95">
        <f t="shared" si="112"/>
        <v>0.11</v>
      </c>
    </row>
    <row r="95" spans="1:38" ht="13.5" thickBot="1" x14ac:dyDescent="0.25">
      <c r="A95" s="17" t="s">
        <v>96</v>
      </c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88">
        <f t="shared" si="107"/>
        <v>0</v>
      </c>
      <c r="P95" s="68"/>
      <c r="Q95" s="68"/>
      <c r="R95" s="68"/>
      <c r="S95" s="68"/>
      <c r="T95" s="68"/>
      <c r="U95" s="88">
        <f t="shared" si="108"/>
        <v>0</v>
      </c>
      <c r="W95" s="37"/>
      <c r="X95" s="37"/>
      <c r="Y95" s="37"/>
      <c r="Z95" s="37"/>
      <c r="AA95" s="69"/>
      <c r="AB95" s="88">
        <f t="shared" si="109"/>
        <v>0</v>
      </c>
      <c r="AD95" s="69"/>
      <c r="AF95" s="95">
        <f t="shared" si="110"/>
        <v>0</v>
      </c>
      <c r="AG95" s="33"/>
      <c r="AH95" s="107"/>
      <c r="AI95" s="127">
        <f>0.5+0.151247</f>
        <v>0.65124700000000002</v>
      </c>
      <c r="AJ95" s="115">
        <f t="shared" si="111"/>
        <v>0.65124700000000002</v>
      </c>
      <c r="AL95" s="95">
        <f t="shared" si="112"/>
        <v>0.65124700000000002</v>
      </c>
    </row>
    <row r="96" spans="1:38" ht="13.5" thickBot="1" x14ac:dyDescent="0.25">
      <c r="A96" s="17" t="s">
        <v>97</v>
      </c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88">
        <f t="shared" ref="N96" si="168">SUM(C96:M96)</f>
        <v>0</v>
      </c>
      <c r="P96" s="68"/>
      <c r="Q96" s="68"/>
      <c r="R96" s="68"/>
      <c r="S96" s="68"/>
      <c r="T96" s="68"/>
      <c r="U96" s="88">
        <f t="shared" ref="U96" si="169">SUM(P96:T96)</f>
        <v>0</v>
      </c>
      <c r="W96" s="37"/>
      <c r="X96" s="37"/>
      <c r="Y96" s="37"/>
      <c r="Z96" s="37"/>
      <c r="AA96" s="69"/>
      <c r="AB96" s="88">
        <f t="shared" ref="AB96" si="170">SUM(W96:AA96)</f>
        <v>0</v>
      </c>
      <c r="AD96" s="69"/>
      <c r="AF96" s="95">
        <f t="shared" si="110"/>
        <v>0</v>
      </c>
      <c r="AG96" s="33"/>
      <c r="AH96" s="107"/>
      <c r="AI96" s="127">
        <v>1</v>
      </c>
      <c r="AJ96" s="115">
        <f t="shared" si="111"/>
        <v>1</v>
      </c>
      <c r="AL96" s="95">
        <f t="shared" si="112"/>
        <v>1</v>
      </c>
    </row>
    <row r="97" spans="1:38" ht="13.5" thickBot="1" x14ac:dyDescent="0.25">
      <c r="A97" s="18" t="s">
        <v>135</v>
      </c>
      <c r="C97" s="67"/>
      <c r="D97" s="67"/>
      <c r="E97" s="67"/>
      <c r="F97" s="67"/>
      <c r="G97" s="67"/>
      <c r="H97" s="67"/>
      <c r="I97" s="67"/>
      <c r="J97" s="70"/>
      <c r="K97" s="68"/>
      <c r="L97" s="68"/>
      <c r="M97" s="68"/>
      <c r="N97" s="89">
        <f t="shared" si="107"/>
        <v>0</v>
      </c>
      <c r="P97" s="71"/>
      <c r="Q97" s="74"/>
      <c r="R97" s="68"/>
      <c r="S97" s="68"/>
      <c r="T97" s="69"/>
      <c r="U97" s="89">
        <f t="shared" si="108"/>
        <v>0</v>
      </c>
      <c r="W97" s="69"/>
      <c r="X97" s="69"/>
      <c r="Y97" s="69"/>
      <c r="Z97" s="69"/>
      <c r="AA97" s="69"/>
      <c r="AB97" s="89">
        <f t="shared" si="109"/>
        <v>0</v>
      </c>
      <c r="AD97" s="69"/>
      <c r="AF97" s="95">
        <f t="shared" si="110"/>
        <v>0</v>
      </c>
      <c r="AG97" s="33"/>
      <c r="AH97" s="107">
        <v>10</v>
      </c>
      <c r="AI97" s="127"/>
      <c r="AJ97" s="115">
        <f t="shared" si="111"/>
        <v>10</v>
      </c>
      <c r="AL97" s="95">
        <f t="shared" si="112"/>
        <v>10</v>
      </c>
    </row>
    <row r="98" spans="1:38" ht="13.5" thickBot="1" x14ac:dyDescent="0.25">
      <c r="A98" s="17" t="s">
        <v>98</v>
      </c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88">
        <f t="shared" ref="N98" si="171">SUM(C98:M98)</f>
        <v>0</v>
      </c>
      <c r="P98" s="68"/>
      <c r="Q98" s="68"/>
      <c r="R98" s="68"/>
      <c r="S98" s="68"/>
      <c r="T98" s="68"/>
      <c r="U98" s="88">
        <f t="shared" ref="U98" si="172">SUM(P98:T98)</f>
        <v>0</v>
      </c>
      <c r="W98" s="37"/>
      <c r="X98" s="37"/>
      <c r="Y98" s="37"/>
      <c r="Z98" s="37"/>
      <c r="AA98" s="69"/>
      <c r="AB98" s="88">
        <f t="shared" ref="AB98" si="173">SUM(W98:AA98)</f>
        <v>0</v>
      </c>
      <c r="AD98" s="69"/>
      <c r="AF98" s="95">
        <f t="shared" si="110"/>
        <v>0</v>
      </c>
      <c r="AG98" s="33"/>
      <c r="AH98" s="107"/>
      <c r="AI98" s="127">
        <v>0.1</v>
      </c>
      <c r="AJ98" s="115">
        <f t="shared" si="111"/>
        <v>0.1</v>
      </c>
      <c r="AL98" s="95">
        <f t="shared" si="112"/>
        <v>0.1</v>
      </c>
    </row>
    <row r="99" spans="1:38" ht="13.5" thickBot="1" x14ac:dyDescent="0.25">
      <c r="A99" s="17" t="s">
        <v>99</v>
      </c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88">
        <f t="shared" ref="N99" si="174">SUM(C99:M99)</f>
        <v>0</v>
      </c>
      <c r="P99" s="68"/>
      <c r="Q99" s="68"/>
      <c r="R99" s="68"/>
      <c r="S99" s="68"/>
      <c r="T99" s="68"/>
      <c r="U99" s="88">
        <f t="shared" ref="U99" si="175">SUM(P99:T99)</f>
        <v>0</v>
      </c>
      <c r="W99" s="37"/>
      <c r="X99" s="37"/>
      <c r="Y99" s="37"/>
      <c r="Z99" s="37"/>
      <c r="AA99" s="69"/>
      <c r="AB99" s="88">
        <f t="shared" ref="AB99" si="176">SUM(W99:AA99)</f>
        <v>0</v>
      </c>
      <c r="AD99" s="69"/>
      <c r="AF99" s="95">
        <f t="shared" ref="AF99" si="177">SUM(AB99,U99,N99,AD99)</f>
        <v>0</v>
      </c>
      <c r="AG99" s="33"/>
      <c r="AH99" s="107"/>
      <c r="AI99" s="127">
        <v>0.5</v>
      </c>
      <c r="AJ99" s="115">
        <f t="shared" ref="AJ99" si="178">SUM(AH99:AI99)</f>
        <v>0.5</v>
      </c>
      <c r="AL99" s="95">
        <f t="shared" ref="AL99" si="179">SUM(AF99,AJ99)</f>
        <v>0.5</v>
      </c>
    </row>
    <row r="100" spans="1:38" ht="13.5" thickBot="1" x14ac:dyDescent="0.25">
      <c r="A100" s="17" t="s">
        <v>100</v>
      </c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88">
        <f t="shared" ref="N100" si="180">SUM(C100:M100)</f>
        <v>0</v>
      </c>
      <c r="P100" s="68"/>
      <c r="Q100" s="68"/>
      <c r="R100" s="68"/>
      <c r="S100" s="68"/>
      <c r="T100" s="68"/>
      <c r="U100" s="88">
        <f t="shared" ref="U100" si="181">SUM(P100:T100)</f>
        <v>0</v>
      </c>
      <c r="W100" s="37"/>
      <c r="X100" s="37"/>
      <c r="Y100" s="37"/>
      <c r="Z100" s="37"/>
      <c r="AA100" s="69"/>
      <c r="AB100" s="88">
        <f t="shared" ref="AB100" si="182">SUM(W100:AA100)</f>
        <v>0</v>
      </c>
      <c r="AD100" s="69"/>
      <c r="AF100" s="95">
        <f t="shared" ref="AF100:AF101" si="183">SUM(AB100,U100,N100,AD100)</f>
        <v>0</v>
      </c>
      <c r="AG100" s="33"/>
      <c r="AH100" s="107"/>
      <c r="AI100" s="127">
        <v>1</v>
      </c>
      <c r="AJ100" s="115">
        <f t="shared" ref="AJ100:AJ101" si="184">SUM(AH100:AI100)</f>
        <v>1</v>
      </c>
      <c r="AL100" s="95">
        <f t="shared" ref="AL100:AL101" si="185">SUM(AF100,AJ100)</f>
        <v>1</v>
      </c>
    </row>
    <row r="101" spans="1:38" ht="13.5" thickBot="1" x14ac:dyDescent="0.25">
      <c r="A101" s="17" t="s">
        <v>101</v>
      </c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88">
        <f t="shared" ref="N101" si="186">SUM(C101:M101)</f>
        <v>0</v>
      </c>
      <c r="P101" s="68"/>
      <c r="Q101" s="68"/>
      <c r="R101" s="68"/>
      <c r="S101" s="68"/>
      <c r="T101" s="68"/>
      <c r="U101" s="88">
        <f t="shared" ref="U101" si="187">SUM(P101:T101)</f>
        <v>0</v>
      </c>
      <c r="W101" s="37"/>
      <c r="X101" s="37"/>
      <c r="Y101" s="37"/>
      <c r="Z101" s="37"/>
      <c r="AA101" s="69"/>
      <c r="AB101" s="88">
        <f t="shared" ref="AB101" si="188">SUM(W101:AA101)</f>
        <v>0</v>
      </c>
      <c r="AD101" s="69"/>
      <c r="AF101" s="95">
        <f t="shared" si="183"/>
        <v>0</v>
      </c>
      <c r="AG101" s="33"/>
      <c r="AH101" s="107"/>
      <c r="AI101" s="127">
        <v>0.25</v>
      </c>
      <c r="AJ101" s="115">
        <f t="shared" si="184"/>
        <v>0.25</v>
      </c>
      <c r="AL101" s="95">
        <f t="shared" si="185"/>
        <v>0.25</v>
      </c>
    </row>
    <row r="102" spans="1:38" ht="13.5" thickBot="1" x14ac:dyDescent="0.25">
      <c r="A102" s="28" t="s">
        <v>102</v>
      </c>
      <c r="C102" s="43"/>
      <c r="D102" s="50"/>
      <c r="E102" s="43"/>
      <c r="F102" s="43"/>
      <c r="G102" s="50"/>
      <c r="H102" s="47"/>
      <c r="I102" s="43"/>
      <c r="J102" s="43"/>
      <c r="K102" s="48"/>
      <c r="L102" s="43"/>
      <c r="M102" s="43"/>
      <c r="N102" s="84">
        <f t="shared" ref="N102" si="189">SUM(C102:M102)</f>
        <v>0</v>
      </c>
      <c r="P102" s="43"/>
      <c r="Q102" s="49"/>
      <c r="R102" s="49"/>
      <c r="S102" s="49"/>
      <c r="T102" s="49"/>
      <c r="U102" s="84">
        <f t="shared" ref="U102" si="190">SUM(P102:T102)</f>
        <v>0</v>
      </c>
      <c r="W102" s="49"/>
      <c r="X102" s="49"/>
      <c r="Y102" s="49"/>
      <c r="Z102" s="49"/>
      <c r="AA102" s="49"/>
      <c r="AB102" s="84">
        <f t="shared" ref="AB102" si="191">SUM(W102:AA102)</f>
        <v>0</v>
      </c>
      <c r="AD102" s="49"/>
      <c r="AF102" s="92">
        <f t="shared" si="110"/>
        <v>0</v>
      </c>
      <c r="AG102" s="33"/>
      <c r="AH102" s="107"/>
      <c r="AI102" s="127">
        <v>3.9320541099999997</v>
      </c>
      <c r="AJ102" s="115">
        <f t="shared" si="111"/>
        <v>3.9320541099999997</v>
      </c>
      <c r="AL102" s="92">
        <f t="shared" si="112"/>
        <v>3.9320541099999997</v>
      </c>
    </row>
    <row r="103" spans="1:38" ht="13.5" thickBot="1" x14ac:dyDescent="0.25">
      <c r="A103" s="27" t="s">
        <v>103</v>
      </c>
      <c r="C103" s="67"/>
      <c r="D103" s="67"/>
      <c r="E103" s="67"/>
      <c r="F103" s="67"/>
      <c r="G103" s="67"/>
      <c r="H103" s="67"/>
      <c r="I103" s="67"/>
      <c r="J103" s="70"/>
      <c r="K103" s="68"/>
      <c r="L103" s="68"/>
      <c r="M103" s="68"/>
      <c r="N103" s="89">
        <f t="shared" ref="N103" si="192">SUM(C103:M103)</f>
        <v>0</v>
      </c>
      <c r="P103" s="71"/>
      <c r="Q103" s="71"/>
      <c r="R103" s="71"/>
      <c r="S103" s="71"/>
      <c r="T103" s="72"/>
      <c r="U103" s="89">
        <f t="shared" ref="U103" si="193">SUM(P103:T103)</f>
        <v>0</v>
      </c>
      <c r="W103" s="72"/>
      <c r="X103" s="72"/>
      <c r="Y103" s="72"/>
      <c r="Z103" s="72"/>
      <c r="AA103" s="72">
        <v>5</v>
      </c>
      <c r="AB103" s="89">
        <f t="shared" ref="AB103" si="194">SUM(W103:AA103)</f>
        <v>5</v>
      </c>
      <c r="AD103" s="72"/>
      <c r="AF103" s="95">
        <f t="shared" si="110"/>
        <v>5</v>
      </c>
      <c r="AG103" s="33"/>
      <c r="AH103" s="107">
        <v>5</v>
      </c>
      <c r="AI103" s="127"/>
      <c r="AJ103" s="115">
        <f t="shared" si="111"/>
        <v>5</v>
      </c>
      <c r="AL103" s="95">
        <f t="shared" si="112"/>
        <v>10</v>
      </c>
    </row>
    <row r="104" spans="1:38" ht="15" thickBot="1" x14ac:dyDescent="0.25">
      <c r="A104" s="35" t="s">
        <v>120</v>
      </c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88">
        <f t="shared" ref="N104" si="195">SUM(C104:M104)</f>
        <v>0</v>
      </c>
      <c r="P104" s="68"/>
      <c r="Q104" s="68"/>
      <c r="R104" s="68"/>
      <c r="S104" s="68"/>
      <c r="T104" s="68"/>
      <c r="U104" s="88">
        <f t="shared" ref="U104" si="196">SUM(P104:T104)</f>
        <v>0</v>
      </c>
      <c r="W104" s="37"/>
      <c r="X104" s="37"/>
      <c r="Y104" s="37"/>
      <c r="Z104" s="37"/>
      <c r="AA104" s="69"/>
      <c r="AB104" s="88">
        <f t="shared" ref="AB104" si="197">SUM(W104:AA104)</f>
        <v>0</v>
      </c>
      <c r="AD104" s="69"/>
      <c r="AF104" s="95">
        <f t="shared" ref="AF104" si="198">SUM(AB104,U104,N104,AD104)</f>
        <v>0</v>
      </c>
      <c r="AG104" s="33"/>
      <c r="AH104" s="107"/>
      <c r="AI104" s="127">
        <v>0.90530509000000003</v>
      </c>
      <c r="AJ104" s="115">
        <f t="shared" ref="AJ104" si="199">SUM(AH104:AI104)</f>
        <v>0.90530509000000003</v>
      </c>
      <c r="AL104" s="95">
        <f t="shared" ref="AL104" si="200">SUM(AF104,AJ104)</f>
        <v>0.90530509000000003</v>
      </c>
    </row>
    <row r="105" spans="1:38" ht="13.5" thickBot="1" x14ac:dyDescent="0.25">
      <c r="A105" s="17" t="s">
        <v>104</v>
      </c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88">
        <f t="shared" ref="N105" si="201">SUM(C105:M105)</f>
        <v>0</v>
      </c>
      <c r="P105" s="68"/>
      <c r="Q105" s="68"/>
      <c r="R105" s="68"/>
      <c r="S105" s="68"/>
      <c r="T105" s="68"/>
      <c r="U105" s="88">
        <f t="shared" ref="U105" si="202">SUM(P105:T105)</f>
        <v>0</v>
      </c>
      <c r="W105" s="37"/>
      <c r="X105" s="37"/>
      <c r="Y105" s="37"/>
      <c r="Z105" s="37"/>
      <c r="AA105" s="69"/>
      <c r="AB105" s="88">
        <f t="shared" ref="AB105" si="203">SUM(W105:AA105)</f>
        <v>0</v>
      </c>
      <c r="AD105" s="69"/>
      <c r="AF105" s="95">
        <f t="shared" si="110"/>
        <v>0</v>
      </c>
      <c r="AG105" s="33"/>
      <c r="AH105" s="107"/>
      <c r="AI105" s="127">
        <v>5</v>
      </c>
      <c r="AJ105" s="115">
        <f t="shared" si="111"/>
        <v>5</v>
      </c>
      <c r="AL105" s="95">
        <f t="shared" si="112"/>
        <v>5</v>
      </c>
    </row>
    <row r="106" spans="1:38" ht="13.5" thickBot="1" x14ac:dyDescent="0.25">
      <c r="A106" s="17" t="s">
        <v>134</v>
      </c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88">
        <f t="shared" ref="N106" si="204">SUM(C106:M106)</f>
        <v>0</v>
      </c>
      <c r="P106" s="68"/>
      <c r="Q106" s="68"/>
      <c r="R106" s="68"/>
      <c r="S106" s="68"/>
      <c r="T106" s="68"/>
      <c r="U106" s="88">
        <f t="shared" ref="U106" si="205">SUM(P106:T106)</f>
        <v>0</v>
      </c>
      <c r="W106" s="37"/>
      <c r="X106" s="37"/>
      <c r="Y106" s="37"/>
      <c r="Z106" s="37"/>
      <c r="AA106" s="69"/>
      <c r="AB106" s="88">
        <f t="shared" ref="AB106" si="206">SUM(W106:AA106)</f>
        <v>0</v>
      </c>
      <c r="AD106" s="69"/>
      <c r="AF106" s="95">
        <f t="shared" ref="AF106" si="207">SUM(AB106,U106,N106,AD106)</f>
        <v>0</v>
      </c>
      <c r="AG106" s="33"/>
      <c r="AH106" s="107"/>
      <c r="AI106" s="127">
        <v>2.1</v>
      </c>
      <c r="AJ106" s="115">
        <f t="shared" ref="AJ106" si="208">SUM(AH106:AI106)</f>
        <v>2.1</v>
      </c>
      <c r="AL106" s="95">
        <f t="shared" ref="AL106" si="209">SUM(AF106,AJ106)</f>
        <v>2.1</v>
      </c>
    </row>
    <row r="107" spans="1:38" ht="15" thickBot="1" x14ac:dyDescent="0.25">
      <c r="A107" s="28" t="s">
        <v>121</v>
      </c>
      <c r="C107" s="67"/>
      <c r="D107" s="67"/>
      <c r="E107" s="67"/>
      <c r="F107" s="67"/>
      <c r="G107" s="67"/>
      <c r="H107" s="67"/>
      <c r="I107" s="67"/>
      <c r="J107" s="70"/>
      <c r="K107" s="68"/>
      <c r="L107" s="68"/>
      <c r="M107" s="68"/>
      <c r="N107" s="89">
        <f t="shared" si="107"/>
        <v>0</v>
      </c>
      <c r="P107" s="71"/>
      <c r="Q107" s="74"/>
      <c r="R107" s="68"/>
      <c r="S107" s="68"/>
      <c r="T107" s="69"/>
      <c r="U107" s="89">
        <f t="shared" si="108"/>
        <v>0</v>
      </c>
      <c r="W107" s="69">
        <v>1.0444</v>
      </c>
      <c r="X107" s="69">
        <v>1.10490844</v>
      </c>
      <c r="Y107" s="69">
        <v>1.0774045000000001</v>
      </c>
      <c r="Z107" s="69">
        <v>0.55359999999999998</v>
      </c>
      <c r="AA107" s="69">
        <f>1.0259925+0.6058</f>
        <v>1.6317925</v>
      </c>
      <c r="AB107" s="89">
        <f t="shared" si="109"/>
        <v>5.4121054399999995</v>
      </c>
      <c r="AD107" s="69"/>
      <c r="AF107" s="95">
        <f t="shared" si="110"/>
        <v>5.4121054399999995</v>
      </c>
      <c r="AG107" s="33"/>
      <c r="AH107" s="107"/>
      <c r="AI107" s="127"/>
      <c r="AJ107" s="115">
        <f t="shared" si="111"/>
        <v>0</v>
      </c>
      <c r="AL107" s="95">
        <f t="shared" si="112"/>
        <v>5.4121054399999995</v>
      </c>
    </row>
    <row r="108" spans="1:38" ht="13.5" thickBot="1" x14ac:dyDescent="0.25">
      <c r="A108" s="27" t="s">
        <v>105</v>
      </c>
      <c r="C108" s="67"/>
      <c r="D108" s="67"/>
      <c r="E108" s="67"/>
      <c r="F108" s="67"/>
      <c r="G108" s="67"/>
      <c r="H108" s="67"/>
      <c r="I108" s="67"/>
      <c r="J108" s="70"/>
      <c r="K108" s="68"/>
      <c r="L108" s="68"/>
      <c r="M108" s="68"/>
      <c r="N108" s="89">
        <f t="shared" ref="N108" si="210">SUM(C108:M108)</f>
        <v>0</v>
      </c>
      <c r="P108" s="71"/>
      <c r="Q108" s="71"/>
      <c r="R108" s="71"/>
      <c r="S108" s="71"/>
      <c r="T108" s="72"/>
      <c r="U108" s="89">
        <f t="shared" ref="U108" si="211">SUM(P108:T108)</f>
        <v>0</v>
      </c>
      <c r="W108" s="72"/>
      <c r="X108" s="72"/>
      <c r="Y108" s="72"/>
      <c r="Z108" s="72"/>
      <c r="AA108" s="72">
        <v>0.75</v>
      </c>
      <c r="AB108" s="89">
        <f t="shared" ref="AB108" si="212">SUM(W108:AA108)</f>
        <v>0.75</v>
      </c>
      <c r="AD108" s="72">
        <v>0.4</v>
      </c>
      <c r="AF108" s="95">
        <f t="shared" si="110"/>
        <v>1.1499999999999999</v>
      </c>
      <c r="AG108" s="33"/>
      <c r="AH108" s="107"/>
      <c r="AI108" s="127"/>
      <c r="AJ108" s="115">
        <f t="shared" si="111"/>
        <v>0</v>
      </c>
      <c r="AL108" s="95">
        <f t="shared" si="112"/>
        <v>1.1499999999999999</v>
      </c>
    </row>
    <row r="109" spans="1:38" ht="13.5" thickBot="1" x14ac:dyDescent="0.25">
      <c r="A109" s="17" t="s">
        <v>106</v>
      </c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88">
        <f t="shared" ref="N109:N112" si="213">SUM(C109:M109)</f>
        <v>0</v>
      </c>
      <c r="P109" s="68"/>
      <c r="Q109" s="68"/>
      <c r="R109" s="68"/>
      <c r="S109" s="68"/>
      <c r="T109" s="68"/>
      <c r="U109" s="88">
        <f t="shared" ref="U109:U112" si="214">SUM(P109:T109)</f>
        <v>0</v>
      </c>
      <c r="W109" s="37"/>
      <c r="X109" s="37"/>
      <c r="Y109" s="37"/>
      <c r="Z109" s="37"/>
      <c r="AA109" s="69"/>
      <c r="AB109" s="88">
        <f t="shared" ref="AB109:AB112" si="215">SUM(W109:AA109)</f>
        <v>0</v>
      </c>
      <c r="AD109" s="69"/>
      <c r="AF109" s="95">
        <f t="shared" ref="AF109:AF112" si="216">SUM(AB109,U109,N109,AD109)</f>
        <v>0</v>
      </c>
      <c r="AG109" s="33"/>
      <c r="AH109" s="107"/>
      <c r="AI109" s="127">
        <f>0.05775626+0.11790367+0.18070112+1.08808391+0.18313778+0.15568513+0.03736572+0.05957201+0.03600741+0.03849519+0.05089002</f>
        <v>2.0055982199999995</v>
      </c>
      <c r="AJ109" s="115">
        <f t="shared" ref="AJ109:AJ110" si="217">SUM(AH109:AI109)</f>
        <v>2.0055982199999995</v>
      </c>
      <c r="AL109" s="95">
        <f t="shared" ref="AL109:AL112" si="218">SUM(AF109,AJ109)</f>
        <v>2.0055982199999995</v>
      </c>
    </row>
    <row r="110" spans="1:38" ht="13.5" thickBot="1" x14ac:dyDescent="0.25">
      <c r="A110" s="17" t="s">
        <v>107</v>
      </c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88">
        <f t="shared" si="213"/>
        <v>0</v>
      </c>
      <c r="P110" s="68"/>
      <c r="Q110" s="68"/>
      <c r="R110" s="68"/>
      <c r="S110" s="68"/>
      <c r="T110" s="68"/>
      <c r="U110" s="88">
        <f t="shared" si="214"/>
        <v>0</v>
      </c>
      <c r="W110" s="37"/>
      <c r="X110" s="37"/>
      <c r="Y110" s="37"/>
      <c r="Z110" s="37"/>
      <c r="AA110" s="69"/>
      <c r="AB110" s="88">
        <f t="shared" si="215"/>
        <v>0</v>
      </c>
      <c r="AD110" s="69"/>
      <c r="AF110" s="95">
        <f t="shared" si="216"/>
        <v>0</v>
      </c>
      <c r="AG110" s="33"/>
      <c r="AH110" s="107"/>
      <c r="AI110" s="127">
        <v>4.5</v>
      </c>
      <c r="AJ110" s="115">
        <f t="shared" si="217"/>
        <v>4.5</v>
      </c>
      <c r="AL110" s="95">
        <f t="shared" si="218"/>
        <v>4.5</v>
      </c>
    </row>
    <row r="111" spans="1:38" ht="13.5" thickBot="1" x14ac:dyDescent="0.25">
      <c r="A111" s="27" t="s">
        <v>133</v>
      </c>
      <c r="C111" s="67"/>
      <c r="D111" s="67"/>
      <c r="E111" s="67"/>
      <c r="F111" s="67"/>
      <c r="G111" s="67"/>
      <c r="H111" s="67"/>
      <c r="I111" s="67"/>
      <c r="J111" s="70"/>
      <c r="K111" s="68"/>
      <c r="L111" s="68"/>
      <c r="M111" s="68"/>
      <c r="N111" s="89">
        <f t="shared" ref="N111" si="219">SUM(C111:M111)</f>
        <v>0</v>
      </c>
      <c r="P111" s="71"/>
      <c r="Q111" s="71"/>
      <c r="R111" s="71"/>
      <c r="S111" s="71"/>
      <c r="T111" s="72"/>
      <c r="U111" s="89">
        <f t="shared" ref="U111" si="220">SUM(P111:T111)</f>
        <v>0</v>
      </c>
      <c r="W111" s="72"/>
      <c r="X111" s="72"/>
      <c r="Y111" s="72"/>
      <c r="Z111" s="72"/>
      <c r="AA111" s="72"/>
      <c r="AB111" s="89">
        <f t="shared" ref="AB111" si="221">SUM(W111:AA111)</f>
        <v>0</v>
      </c>
      <c r="AD111" s="72"/>
      <c r="AF111" s="95">
        <f t="shared" si="216"/>
        <v>0</v>
      </c>
      <c r="AG111" s="33"/>
      <c r="AH111" s="107">
        <v>3.2370000000000001E-4</v>
      </c>
      <c r="AI111" s="127"/>
      <c r="AJ111" s="115">
        <f t="shared" ref="AJ111" si="222">SUM(AH111:AI111)</f>
        <v>3.2370000000000001E-4</v>
      </c>
      <c r="AL111" s="95">
        <f t="shared" si="218"/>
        <v>3.2370000000000001E-4</v>
      </c>
    </row>
    <row r="112" spans="1:38" ht="13.5" thickBot="1" x14ac:dyDescent="0.25">
      <c r="A112" s="17" t="s">
        <v>108</v>
      </c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88">
        <f t="shared" si="213"/>
        <v>0</v>
      </c>
      <c r="P112" s="68"/>
      <c r="Q112" s="68"/>
      <c r="R112" s="68"/>
      <c r="S112" s="68"/>
      <c r="T112" s="68"/>
      <c r="U112" s="88">
        <f t="shared" si="214"/>
        <v>0</v>
      </c>
      <c r="W112" s="37"/>
      <c r="X112" s="37"/>
      <c r="Y112" s="37"/>
      <c r="Z112" s="37"/>
      <c r="AA112" s="69"/>
      <c r="AB112" s="88">
        <f t="shared" si="215"/>
        <v>0</v>
      </c>
      <c r="AD112" s="69"/>
      <c r="AF112" s="95">
        <f t="shared" si="216"/>
        <v>0</v>
      </c>
      <c r="AG112" s="33"/>
      <c r="AH112" s="107"/>
      <c r="AI112" s="127">
        <v>0.1</v>
      </c>
      <c r="AJ112" s="115">
        <f t="shared" ref="AJ112" si="223">SUM(AH112:AI112)</f>
        <v>0.1</v>
      </c>
      <c r="AL112" s="95">
        <f t="shared" si="218"/>
        <v>0.1</v>
      </c>
    </row>
    <row r="113" spans="1:38" ht="15" thickBot="1" x14ac:dyDescent="0.25">
      <c r="A113" s="26" t="s">
        <v>122</v>
      </c>
      <c r="C113" s="99">
        <v>0.02</v>
      </c>
      <c r="D113" s="68"/>
      <c r="E113" s="68">
        <v>1.6303609999999999</v>
      </c>
      <c r="F113" s="68">
        <v>2.5808469999999999</v>
      </c>
      <c r="G113" s="68">
        <v>1.805051</v>
      </c>
      <c r="H113" s="36">
        <v>0.47348000000000001</v>
      </c>
      <c r="I113" s="68">
        <v>1.904352</v>
      </c>
      <c r="J113" s="68">
        <v>1.1000000000000001</v>
      </c>
      <c r="K113" s="68">
        <v>0.8</v>
      </c>
      <c r="L113" s="68">
        <v>1</v>
      </c>
      <c r="M113" s="68">
        <v>1</v>
      </c>
      <c r="N113" s="89">
        <f t="shared" si="107"/>
        <v>12.314090999999999</v>
      </c>
      <c r="P113" s="68">
        <v>4.1880000000000006</v>
      </c>
      <c r="Q113" s="68">
        <v>12.410399999999999</v>
      </c>
      <c r="R113" s="68">
        <v>17.291645600000003</v>
      </c>
      <c r="S113" s="68">
        <v>30.442237090000003</v>
      </c>
      <c r="T113" s="69">
        <v>26.804853870000002</v>
      </c>
      <c r="U113" s="89">
        <f t="shared" si="108"/>
        <v>91.137136560000002</v>
      </c>
      <c r="W113" s="37">
        <v>11.515829899999998</v>
      </c>
      <c r="X113" s="37">
        <v>15.869898710000001</v>
      </c>
      <c r="Y113" s="37">
        <v>5.769596599999999</v>
      </c>
      <c r="Z113" s="69">
        <v>4.67320139</v>
      </c>
      <c r="AA113" s="69">
        <v>1.1763695000000001</v>
      </c>
      <c r="AB113" s="89">
        <f t="shared" si="109"/>
        <v>39.004896100000003</v>
      </c>
      <c r="AD113" s="69">
        <v>1.08764014</v>
      </c>
      <c r="AF113" s="96">
        <f t="shared" si="110"/>
        <v>143.54376379999999</v>
      </c>
      <c r="AG113" s="33"/>
      <c r="AH113" s="107">
        <v>22.043315</v>
      </c>
      <c r="AI113" s="127">
        <f>23.38269369+0.11552911+0.01947461</f>
        <v>23.51769741</v>
      </c>
      <c r="AJ113" s="115">
        <f t="shared" si="111"/>
        <v>45.561012410000004</v>
      </c>
      <c r="AL113" s="96">
        <f t="shared" si="112"/>
        <v>189.10477621000001</v>
      </c>
    </row>
    <row r="114" spans="1:38" ht="26.25" thickBot="1" x14ac:dyDescent="0.25">
      <c r="A114" s="14" t="s">
        <v>109</v>
      </c>
      <c r="C114" s="75">
        <f t="shared" ref="C114:N114" si="224">SUM(C64:C113)</f>
        <v>325.02</v>
      </c>
      <c r="D114" s="75">
        <f t="shared" si="224"/>
        <v>425</v>
      </c>
      <c r="E114" s="75">
        <f t="shared" si="224"/>
        <v>1.6303609999999999</v>
      </c>
      <c r="F114" s="75">
        <f t="shared" si="224"/>
        <v>6.0808470000000003</v>
      </c>
      <c r="G114" s="75">
        <f t="shared" si="224"/>
        <v>6.8050509999999997</v>
      </c>
      <c r="H114" s="75">
        <f t="shared" si="224"/>
        <v>154.81147999999999</v>
      </c>
      <c r="I114" s="75">
        <f t="shared" si="224"/>
        <v>1.904352</v>
      </c>
      <c r="J114" s="75">
        <f t="shared" si="224"/>
        <v>76.099999999999994</v>
      </c>
      <c r="K114" s="75">
        <f t="shared" si="224"/>
        <v>81.599999999999994</v>
      </c>
      <c r="L114" s="75">
        <f t="shared" si="224"/>
        <v>81.900000000000006</v>
      </c>
      <c r="M114" s="75">
        <f t="shared" si="224"/>
        <v>80</v>
      </c>
      <c r="N114" s="103">
        <f t="shared" si="224"/>
        <v>1240.852091</v>
      </c>
      <c r="P114" s="75">
        <f t="shared" ref="P114:U114" si="225">SUM(P64:P113)</f>
        <v>285.46560800000003</v>
      </c>
      <c r="Q114" s="75">
        <f t="shared" si="225"/>
        <v>292.87747949999999</v>
      </c>
      <c r="R114" s="75">
        <f t="shared" si="225"/>
        <v>313.16529444999998</v>
      </c>
      <c r="S114" s="75">
        <f t="shared" si="225"/>
        <v>260.29896681999998</v>
      </c>
      <c r="T114" s="75">
        <f t="shared" si="225"/>
        <v>273.12786321999999</v>
      </c>
      <c r="U114" s="103">
        <f t="shared" si="225"/>
        <v>1424.93521199</v>
      </c>
      <c r="W114" s="75">
        <f t="shared" ref="W114:AB114" si="226">SUM(W64:W113)</f>
        <v>295.24200624999992</v>
      </c>
      <c r="X114" s="75">
        <f t="shared" si="226"/>
        <v>344.95699544000001</v>
      </c>
      <c r="Y114" s="75">
        <f t="shared" si="226"/>
        <v>350.40386627999993</v>
      </c>
      <c r="Z114" s="75">
        <f t="shared" si="226"/>
        <v>330.62749709000002</v>
      </c>
      <c r="AA114" s="75">
        <f t="shared" si="226"/>
        <v>312.53591469000003</v>
      </c>
      <c r="AB114" s="103">
        <f t="shared" si="226"/>
        <v>1633.76627975</v>
      </c>
      <c r="AD114" s="75">
        <f>SUM(AD64:AD113)</f>
        <v>215.70441030999999</v>
      </c>
      <c r="AF114" s="102">
        <f>SUM(AF64:AF113)</f>
        <v>4515.2579930500024</v>
      </c>
      <c r="AG114" s="12"/>
      <c r="AH114" s="109">
        <f>SUM(AH64:AH113)</f>
        <v>67.043638700000002</v>
      </c>
      <c r="AI114" s="111">
        <f>SUM(AI61:AI113)</f>
        <v>321.15121714000014</v>
      </c>
      <c r="AJ114" s="111">
        <f>SUM(AJ64:AJ113)</f>
        <v>387.18990584000016</v>
      </c>
      <c r="AL114" s="102">
        <f>SUM(AL64:AL113)</f>
        <v>4902.4478988900028</v>
      </c>
    </row>
    <row r="115" spans="1:38" ht="13.5" thickBot="1" x14ac:dyDescent="0.25">
      <c r="A115" s="15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19"/>
      <c r="P115" s="76"/>
      <c r="Q115" s="76"/>
      <c r="R115" s="76"/>
      <c r="S115" s="76"/>
      <c r="T115" s="76"/>
      <c r="U115" s="19"/>
      <c r="W115" s="76"/>
      <c r="X115" s="76"/>
      <c r="Y115" s="76"/>
      <c r="Z115" s="76"/>
      <c r="AA115" s="76"/>
      <c r="AB115" s="19"/>
      <c r="AD115" s="76"/>
      <c r="AF115" s="104"/>
      <c r="AG115" s="12"/>
      <c r="AH115" s="100"/>
      <c r="AI115" s="100"/>
      <c r="AJ115" s="100"/>
      <c r="AL115" s="105"/>
    </row>
    <row r="116" spans="1:38" ht="13.5" thickBot="1" x14ac:dyDescent="0.25">
      <c r="A116" s="20" t="s">
        <v>110</v>
      </c>
      <c r="C116" s="77">
        <f t="shared" ref="C116:N116" si="227">C59+C114</f>
        <v>329.48339999999996</v>
      </c>
      <c r="D116" s="77">
        <f t="shared" si="227"/>
        <v>518.08656439000004</v>
      </c>
      <c r="E116" s="77">
        <f t="shared" si="227"/>
        <v>107.88534496</v>
      </c>
      <c r="F116" s="77">
        <f t="shared" si="227"/>
        <v>116.99487873000001</v>
      </c>
      <c r="G116" s="77">
        <f t="shared" si="227"/>
        <v>167.20320235999998</v>
      </c>
      <c r="H116" s="77">
        <f t="shared" si="227"/>
        <v>429.73539605999997</v>
      </c>
      <c r="I116" s="77">
        <f t="shared" si="227"/>
        <v>218.10446149000003</v>
      </c>
      <c r="J116" s="77">
        <f t="shared" si="227"/>
        <v>358.39137800000003</v>
      </c>
      <c r="K116" s="77">
        <f t="shared" si="227"/>
        <v>350.92929426000001</v>
      </c>
      <c r="L116" s="77">
        <f t="shared" si="227"/>
        <v>337.88825982000003</v>
      </c>
      <c r="M116" s="77">
        <f t="shared" si="227"/>
        <v>332.64002400000004</v>
      </c>
      <c r="N116" s="101">
        <f t="shared" si="227"/>
        <v>3267.3422040699998</v>
      </c>
      <c r="P116" s="77">
        <f t="shared" ref="P116:U116" si="228">P59+P114</f>
        <v>798.35660800000005</v>
      </c>
      <c r="Q116" s="77">
        <f t="shared" si="228"/>
        <v>908.0821338400001</v>
      </c>
      <c r="R116" s="77">
        <f t="shared" si="228"/>
        <v>1307.5018276000001</v>
      </c>
      <c r="S116" s="77">
        <f t="shared" si="228"/>
        <v>1181.1065951600001</v>
      </c>
      <c r="T116" s="77">
        <f t="shared" si="228"/>
        <v>1275.10837741</v>
      </c>
      <c r="U116" s="101">
        <f t="shared" si="228"/>
        <v>5470.1555420099994</v>
      </c>
      <c r="W116" s="77">
        <f t="shared" ref="W116:AB116" si="229">W59+W114</f>
        <v>1468.4981930200001</v>
      </c>
      <c r="X116" s="77">
        <f t="shared" si="229"/>
        <v>1470.5011569100002</v>
      </c>
      <c r="Y116" s="77">
        <f t="shared" si="229"/>
        <v>1488.3740361124999</v>
      </c>
      <c r="Z116" s="77">
        <f t="shared" si="229"/>
        <v>1610.6591853100003</v>
      </c>
      <c r="AA116" s="77">
        <f t="shared" si="229"/>
        <v>1463.2410690758161</v>
      </c>
      <c r="AB116" s="101">
        <f t="shared" si="229"/>
        <v>7501.273640428316</v>
      </c>
      <c r="AD116" s="77">
        <f>AD59+AD114</f>
        <v>1079.6694912099999</v>
      </c>
      <c r="AF116" s="101">
        <f>AF59+AF114</f>
        <v>17318.44087771832</v>
      </c>
      <c r="AG116" s="12"/>
      <c r="AH116" s="109">
        <f>AH59+AH114</f>
        <v>351.07957633000001</v>
      </c>
      <c r="AI116" s="111">
        <f>AI59+AI114</f>
        <v>6822.3385662499995</v>
      </c>
      <c r="AJ116" s="111">
        <f>AJ59+AJ114</f>
        <v>7172.4131925800002</v>
      </c>
      <c r="AL116" s="101">
        <f>AL59+AL114</f>
        <v>24490.854070298315</v>
      </c>
    </row>
    <row r="117" spans="1:38" ht="13.5" thickBot="1" x14ac:dyDescent="0.25">
      <c r="A117" s="21"/>
      <c r="C117" s="76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19"/>
      <c r="P117" s="76"/>
      <c r="Q117" s="76"/>
      <c r="R117" s="76"/>
      <c r="S117" s="76"/>
      <c r="T117" s="76"/>
      <c r="U117" s="19"/>
      <c r="W117" s="76"/>
      <c r="X117" s="76"/>
      <c r="Y117" s="76"/>
      <c r="Z117" s="76"/>
      <c r="AA117" s="76"/>
      <c r="AB117" s="19"/>
      <c r="AD117" s="76"/>
      <c r="AF117" s="19"/>
      <c r="AG117" s="12"/>
      <c r="AI117" s="130"/>
    </row>
    <row r="118" spans="1:38" ht="15" thickBot="1" x14ac:dyDescent="0.25">
      <c r="A118" s="22" t="s">
        <v>123</v>
      </c>
      <c r="C118" s="63"/>
      <c r="D118" s="63"/>
      <c r="E118" s="63"/>
      <c r="F118" s="63"/>
      <c r="G118" s="63"/>
      <c r="H118" s="63"/>
      <c r="I118" s="63">
        <v>524.74928499999999</v>
      </c>
      <c r="J118" s="63">
        <v>428.268866</v>
      </c>
      <c r="K118" s="63">
        <v>272.63813299999998</v>
      </c>
      <c r="L118" s="63">
        <v>330.02699999999999</v>
      </c>
      <c r="M118" s="63">
        <v>320</v>
      </c>
      <c r="N118" s="102">
        <f t="shared" ref="N118:N119" si="230">SUM(C118:M118)</f>
        <v>1875.683284</v>
      </c>
      <c r="P118" s="63">
        <v>300</v>
      </c>
      <c r="Q118" s="63">
        <v>100</v>
      </c>
      <c r="R118" s="63">
        <v>200</v>
      </c>
      <c r="S118" s="78">
        <v>0</v>
      </c>
      <c r="T118" s="78">
        <v>0</v>
      </c>
      <c r="U118" s="102">
        <f t="shared" ref="U118:U119" si="231">SUM(P118:T118)</f>
        <v>600</v>
      </c>
      <c r="W118" s="78">
        <v>100</v>
      </c>
      <c r="X118" s="78">
        <v>0</v>
      </c>
      <c r="Y118" s="78">
        <v>50</v>
      </c>
      <c r="Z118" s="78">
        <f>65.69998245+250</f>
        <v>315.69998244999999</v>
      </c>
      <c r="AA118" s="78">
        <f>200+200.36460762+6.07750001</f>
        <v>406.44210763000001</v>
      </c>
      <c r="AB118" s="102">
        <f t="shared" ref="AB118:AB119" si="232">SUM(W118:AA118)</f>
        <v>872.14209008</v>
      </c>
      <c r="AD118" s="78">
        <f>100+334.4</f>
        <v>434.4</v>
      </c>
      <c r="AF118" s="102">
        <f t="shared" ref="AF118:AF119" si="233">SUM(AB118,U118,N118,AD118)</f>
        <v>3782.2253740800002</v>
      </c>
      <c r="AG118" s="9"/>
      <c r="AH118" s="109"/>
      <c r="AI118" s="111">
        <f>400+380</f>
        <v>780</v>
      </c>
      <c r="AJ118" s="111">
        <f>SUM(AH118:AI118)</f>
        <v>780</v>
      </c>
      <c r="AL118" s="102">
        <f>SUM(AF118,AJ118)</f>
        <v>4562.2253740800006</v>
      </c>
    </row>
    <row r="119" spans="1:38" ht="15" thickBot="1" x14ac:dyDescent="0.25">
      <c r="A119" s="22" t="s">
        <v>124</v>
      </c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>
        <v>42.877049999999997</v>
      </c>
      <c r="N119" s="102">
        <f t="shared" si="230"/>
        <v>42.877049999999997</v>
      </c>
      <c r="P119" s="63">
        <f>128165700/1000000</f>
        <v>128.16569999999999</v>
      </c>
      <c r="Q119" s="63">
        <v>223.5</v>
      </c>
      <c r="R119" s="63">
        <v>214.42</v>
      </c>
      <c r="S119" s="63">
        <f>25+65+6+36.72+105</f>
        <v>237.72</v>
      </c>
      <c r="T119" s="63">
        <f>10+100+12.96</f>
        <v>122.96000000000001</v>
      </c>
      <c r="U119" s="102">
        <f t="shared" si="231"/>
        <v>926.76570000000004</v>
      </c>
      <c r="W119" s="63">
        <f>17+73+8.5+8.64</f>
        <v>107.14</v>
      </c>
      <c r="X119" s="63">
        <f>18.21725+16.5</f>
        <v>34.71725</v>
      </c>
      <c r="Y119" s="63">
        <f>25+20+11.5425</f>
        <v>56.542500000000004</v>
      </c>
      <c r="Z119" s="63">
        <f>55+7.695+6.7625</f>
        <v>69.457499999999996</v>
      </c>
      <c r="AA119" s="63">
        <f>27+48</f>
        <v>75</v>
      </c>
      <c r="AB119" s="102">
        <f t="shared" si="232"/>
        <v>342.85724999999996</v>
      </c>
      <c r="AD119" s="63">
        <v>0</v>
      </c>
      <c r="AF119" s="102">
        <f t="shared" si="233"/>
        <v>1312.5</v>
      </c>
      <c r="AG119" s="9"/>
      <c r="AH119" s="38"/>
      <c r="AI119" s="130"/>
      <c r="AJ119" s="38"/>
      <c r="AL119" s="102">
        <f>SUM(AF119,AJ119)</f>
        <v>1312.5</v>
      </c>
    </row>
    <row r="120" spans="1:38" ht="13.5" thickBot="1" x14ac:dyDescent="0.25">
      <c r="A120" s="21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16"/>
      <c r="P120" s="64"/>
      <c r="Q120" s="64"/>
      <c r="R120" s="64"/>
      <c r="S120" s="64"/>
      <c r="T120" s="64"/>
      <c r="U120" s="16"/>
      <c r="W120" s="64"/>
      <c r="X120" s="64"/>
      <c r="Y120" s="64"/>
      <c r="Z120" s="64"/>
      <c r="AA120" s="64"/>
      <c r="AB120" s="16"/>
      <c r="AD120" s="64"/>
      <c r="AF120" s="16"/>
      <c r="AG120" s="12"/>
      <c r="AI120" s="130"/>
    </row>
    <row r="121" spans="1:38" ht="13.5" thickBot="1" x14ac:dyDescent="0.25">
      <c r="A121" s="23" t="s">
        <v>111</v>
      </c>
      <c r="C121" s="79">
        <f t="shared" ref="C121:N121" si="234">SUM(C116:C119)</f>
        <v>329.48339999999996</v>
      </c>
      <c r="D121" s="79">
        <f t="shared" si="234"/>
        <v>518.08656439000004</v>
      </c>
      <c r="E121" s="79">
        <f t="shared" si="234"/>
        <v>107.88534496</v>
      </c>
      <c r="F121" s="79">
        <f t="shared" si="234"/>
        <v>116.99487873000001</v>
      </c>
      <c r="G121" s="79">
        <f t="shared" si="234"/>
        <v>167.20320235999998</v>
      </c>
      <c r="H121" s="79">
        <f t="shared" si="234"/>
        <v>429.73539605999997</v>
      </c>
      <c r="I121" s="79">
        <f t="shared" si="234"/>
        <v>742.85374649000005</v>
      </c>
      <c r="J121" s="79">
        <f t="shared" si="234"/>
        <v>786.66024400000003</v>
      </c>
      <c r="K121" s="79">
        <f t="shared" si="234"/>
        <v>623.56742725999993</v>
      </c>
      <c r="L121" s="79">
        <f t="shared" si="234"/>
        <v>667.91525982000007</v>
      </c>
      <c r="M121" s="79">
        <f t="shared" si="234"/>
        <v>695.51707400000009</v>
      </c>
      <c r="N121" s="101">
        <f t="shared" si="234"/>
        <v>5185.9025380699995</v>
      </c>
      <c r="P121" s="79">
        <f t="shared" ref="P121:U121" si="235">SUM(P116:P119)</f>
        <v>1226.5223080000001</v>
      </c>
      <c r="Q121" s="79">
        <f t="shared" si="235"/>
        <v>1231.5821338400001</v>
      </c>
      <c r="R121" s="79">
        <f t="shared" si="235"/>
        <v>1721.9218276000001</v>
      </c>
      <c r="S121" s="79">
        <f t="shared" si="235"/>
        <v>1418.8265951600001</v>
      </c>
      <c r="T121" s="79">
        <f t="shared" si="235"/>
        <v>1398.06837741</v>
      </c>
      <c r="U121" s="101">
        <f t="shared" si="235"/>
        <v>6996.9212420099993</v>
      </c>
      <c r="W121" s="79">
        <f t="shared" ref="W121:AB121" si="236">SUM(W116:W119)</f>
        <v>1675.6381930200002</v>
      </c>
      <c r="X121" s="79">
        <f t="shared" si="236"/>
        <v>1505.2184069100001</v>
      </c>
      <c r="Y121" s="79">
        <f t="shared" si="236"/>
        <v>1594.9165361124999</v>
      </c>
      <c r="Z121" s="79">
        <f t="shared" si="236"/>
        <v>1995.8166677600002</v>
      </c>
      <c r="AA121" s="79">
        <f t="shared" si="236"/>
        <v>1944.6831767058161</v>
      </c>
      <c r="AB121" s="101">
        <f t="shared" si="236"/>
        <v>8716.2729805083145</v>
      </c>
      <c r="AD121" s="79">
        <f>SUM(AD116:AD119)</f>
        <v>1514.0694912099998</v>
      </c>
      <c r="AF121" s="101">
        <f>SUM(AF116:AF119)</f>
        <v>22413.16625179832</v>
      </c>
      <c r="AG121" s="12"/>
      <c r="AH121" s="109">
        <f>SUM(AH116:AH119)</f>
        <v>351.07957633000001</v>
      </c>
      <c r="AI121" s="111">
        <f>SUM(AI116:AI119)</f>
        <v>7602.3385662499995</v>
      </c>
      <c r="AJ121" s="111">
        <f>SUM(AH121:AI121)</f>
        <v>7953.4181425799998</v>
      </c>
      <c r="AL121" s="101">
        <f>SUM(AF121,AJ121)</f>
        <v>30366.584394378318</v>
      </c>
    </row>
    <row r="122" spans="1:38" x14ac:dyDescent="0.2"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P122" s="24"/>
      <c r="Q122" s="24"/>
      <c r="R122" s="24"/>
      <c r="S122" s="24"/>
      <c r="T122" s="24"/>
      <c r="U122" s="24"/>
      <c r="W122" s="24"/>
      <c r="X122" s="24"/>
      <c r="Y122" s="24"/>
      <c r="Z122" s="24"/>
      <c r="AA122" s="24"/>
      <c r="AB122" s="24"/>
      <c r="AD122" s="24"/>
      <c r="AF122" s="24"/>
      <c r="AH122" s="119"/>
      <c r="AI122" s="130"/>
    </row>
    <row r="123" spans="1:38" ht="13.5" thickBot="1" x14ac:dyDescent="0.25">
      <c r="A123" s="120" t="s">
        <v>112</v>
      </c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P123" s="24"/>
      <c r="Q123" s="24"/>
      <c r="R123" s="24"/>
      <c r="S123" s="24"/>
      <c r="T123" s="24"/>
      <c r="U123" s="24"/>
      <c r="W123" s="24"/>
      <c r="X123" s="24"/>
      <c r="Y123" s="24"/>
      <c r="Z123" s="24"/>
      <c r="AA123" s="24"/>
      <c r="AB123" s="24"/>
      <c r="AD123" s="24"/>
      <c r="AF123" s="24"/>
      <c r="AH123" s="119"/>
      <c r="AI123" s="130"/>
    </row>
    <row r="124" spans="1:38" ht="13.5" thickBot="1" x14ac:dyDescent="0.25">
      <c r="A124" s="121" t="s">
        <v>17</v>
      </c>
      <c r="AG124" s="33"/>
      <c r="AH124" s="106"/>
      <c r="AI124" s="129">
        <v>55.759120601333301</v>
      </c>
      <c r="AJ124" s="114">
        <f t="shared" ref="AJ124" si="237">SUM(AH124:AI124)</f>
        <v>55.759120601333301</v>
      </c>
    </row>
    <row r="125" spans="1:38" ht="13.5" thickBot="1" x14ac:dyDescent="0.25">
      <c r="A125" s="27" t="s">
        <v>25</v>
      </c>
      <c r="AG125" s="33"/>
      <c r="AH125" s="107"/>
      <c r="AI125" s="127">
        <v>22.514199999999999</v>
      </c>
      <c r="AJ125" s="115">
        <f t="shared" ref="AJ125:AJ126" si="238">SUM(AH125:AI125)</f>
        <v>22.514199999999999</v>
      </c>
    </row>
    <row r="126" spans="1:38" ht="13.5" thickBot="1" x14ac:dyDescent="0.25">
      <c r="A126" s="17" t="s">
        <v>26</v>
      </c>
      <c r="AG126" s="33"/>
      <c r="AH126" s="107"/>
      <c r="AI126" s="127">
        <v>212.699106818182</v>
      </c>
      <c r="AJ126" s="115">
        <f t="shared" si="238"/>
        <v>212.699106818182</v>
      </c>
    </row>
    <row r="127" spans="1:38" ht="13.5" thickBot="1" x14ac:dyDescent="0.25">
      <c r="A127" s="27" t="s">
        <v>43</v>
      </c>
      <c r="AG127" s="33"/>
      <c r="AH127" s="107"/>
      <c r="AI127" s="127">
        <v>6.0381</v>
      </c>
      <c r="AJ127" s="115">
        <f t="shared" ref="AJ127" si="239">SUM(AH127:AI127)</f>
        <v>6.0381</v>
      </c>
    </row>
    <row r="128" spans="1:38" ht="13.5" thickBot="1" x14ac:dyDescent="0.25">
      <c r="A128" s="17" t="s">
        <v>60</v>
      </c>
      <c r="AG128" s="33"/>
      <c r="AH128" s="107"/>
      <c r="AI128" s="127">
        <v>500</v>
      </c>
      <c r="AJ128" s="115">
        <f t="shared" ref="AJ128" si="240">SUM(AH128:AI128)</f>
        <v>500</v>
      </c>
    </row>
    <row r="129" spans="1:38" ht="13.5" thickBot="1" x14ac:dyDescent="0.25">
      <c r="A129" s="123" t="s">
        <v>69</v>
      </c>
      <c r="AG129" s="33"/>
      <c r="AH129" s="107"/>
      <c r="AI129" s="127">
        <v>30</v>
      </c>
      <c r="AJ129" s="115">
        <f t="shared" ref="AJ129" si="241">SUM(AH129:AI129)</f>
        <v>30</v>
      </c>
    </row>
    <row r="130" spans="1:38" ht="13.5" thickBot="1" x14ac:dyDescent="0.25">
      <c r="AG130" s="12"/>
      <c r="AH130" s="109">
        <f>SUM(AH124:AH129)</f>
        <v>0</v>
      </c>
      <c r="AI130" s="111">
        <f>SUM(AI124:AI129)</f>
        <v>827.01052741951526</v>
      </c>
      <c r="AJ130" s="111">
        <f>SUM(AJ124:AJ129)</f>
        <v>827.01052741951526</v>
      </c>
    </row>
    <row r="131" spans="1:38" ht="13.5" thickBot="1" x14ac:dyDescent="0.25">
      <c r="A131" s="120" t="s">
        <v>113</v>
      </c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P131" s="24"/>
      <c r="Q131" s="24"/>
      <c r="R131" s="24"/>
      <c r="S131" s="24"/>
      <c r="T131" s="24"/>
      <c r="U131" s="24"/>
      <c r="W131" s="24"/>
      <c r="X131" s="24"/>
      <c r="Y131" s="24"/>
      <c r="Z131" s="24"/>
      <c r="AA131" s="24"/>
      <c r="AB131" s="24"/>
      <c r="AD131" s="24"/>
      <c r="AF131" s="24"/>
      <c r="AH131" s="119"/>
      <c r="AI131" s="130"/>
    </row>
    <row r="132" spans="1:38" ht="13.5" thickBot="1" x14ac:dyDescent="0.25">
      <c r="A132" s="121" t="s">
        <v>21</v>
      </c>
      <c r="AG132" s="33"/>
      <c r="AH132" s="106"/>
      <c r="AI132" s="129">
        <v>2.2736163</v>
      </c>
      <c r="AJ132" s="114">
        <f t="shared" ref="AJ132:AJ135" si="242">SUM(AH132:AI132)</f>
        <v>2.2736163</v>
      </c>
    </row>
    <row r="133" spans="1:38" ht="13.5" thickBot="1" x14ac:dyDescent="0.25">
      <c r="A133" s="17" t="s">
        <v>30</v>
      </c>
      <c r="AG133" s="33"/>
      <c r="AH133" s="107"/>
      <c r="AI133" s="127">
        <v>1.694205</v>
      </c>
      <c r="AJ133" s="115">
        <f t="shared" si="242"/>
        <v>1.694205</v>
      </c>
    </row>
    <row r="134" spans="1:38" ht="13.5" thickBot="1" x14ac:dyDescent="0.25">
      <c r="A134" s="27" t="s">
        <v>43</v>
      </c>
      <c r="AG134" s="33"/>
      <c r="AH134" s="107"/>
      <c r="AI134" s="127">
        <v>0.50039999999999996</v>
      </c>
      <c r="AJ134" s="115">
        <f t="shared" si="242"/>
        <v>0.50039999999999996</v>
      </c>
    </row>
    <row r="135" spans="1:38" ht="13.5" thickBot="1" x14ac:dyDescent="0.25">
      <c r="A135" s="17" t="s">
        <v>43</v>
      </c>
      <c r="AG135" s="33"/>
      <c r="AH135" s="107"/>
      <c r="AI135" s="127">
        <v>0.31878000000000001</v>
      </c>
      <c r="AJ135" s="115">
        <f t="shared" si="242"/>
        <v>0.31878000000000001</v>
      </c>
    </row>
    <row r="136" spans="1:38" ht="13.5" thickBot="1" x14ac:dyDescent="0.25">
      <c r="A136" s="122" t="s">
        <v>59</v>
      </c>
      <c r="AG136" s="33"/>
      <c r="AH136" s="107"/>
      <c r="AI136" s="127">
        <v>2.1377728</v>
      </c>
      <c r="AJ136" s="115">
        <f t="shared" ref="AJ136" si="243">SUM(AH136:AI136)</f>
        <v>2.1377728</v>
      </c>
    </row>
    <row r="137" spans="1:38" ht="13.5" thickBot="1" x14ac:dyDescent="0.25">
      <c r="AG137" s="12"/>
      <c r="AH137" s="109">
        <f>SUM(AH132:AH136)</f>
        <v>0</v>
      </c>
      <c r="AI137" s="111">
        <f>SUM(AI132:AI136)</f>
        <v>6.9247741000000005</v>
      </c>
      <c r="AJ137" s="111">
        <f>SUM(AJ132:AJ136)</f>
        <v>6.9247741000000005</v>
      </c>
    </row>
    <row r="138" spans="1:38" ht="13.5" thickBot="1" x14ac:dyDescent="0.25">
      <c r="A138" s="120" t="s">
        <v>114</v>
      </c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P138" s="24"/>
      <c r="Q138" s="24"/>
      <c r="R138" s="24"/>
      <c r="S138" s="24"/>
      <c r="T138" s="24"/>
      <c r="U138" s="24"/>
      <c r="W138" s="24"/>
      <c r="X138" s="24"/>
      <c r="Y138" s="24"/>
      <c r="Z138" s="24"/>
      <c r="AA138" s="24"/>
      <c r="AB138" s="24"/>
      <c r="AD138" s="24"/>
      <c r="AF138" s="24"/>
      <c r="AH138" s="119"/>
      <c r="AI138" s="130"/>
    </row>
    <row r="139" spans="1:38" ht="13.5" thickBot="1" x14ac:dyDescent="0.25">
      <c r="A139" s="121" t="s">
        <v>25</v>
      </c>
      <c r="AG139" s="33"/>
      <c r="AH139" s="106"/>
      <c r="AI139" s="129">
        <v>5.6285499999999997</v>
      </c>
      <c r="AJ139" s="114">
        <f t="shared" ref="AJ139" si="244">SUM(AH139:AI139)</f>
        <v>5.6285499999999997</v>
      </c>
    </row>
    <row r="140" spans="1:38" ht="13.5" thickBot="1" x14ac:dyDescent="0.25">
      <c r="A140" s="122" t="s">
        <v>26</v>
      </c>
      <c r="AG140" s="33"/>
      <c r="AH140" s="107"/>
      <c r="AI140" s="127">
        <v>57.77</v>
      </c>
      <c r="AJ140" s="115">
        <f t="shared" ref="AJ140" si="245">SUM(AH140:AI140)</f>
        <v>57.77</v>
      </c>
    </row>
    <row r="141" spans="1:38" ht="13.5" thickBot="1" x14ac:dyDescent="0.25">
      <c r="AG141" s="12"/>
      <c r="AH141" s="109">
        <f>SUM(AH139:AH140)</f>
        <v>0</v>
      </c>
      <c r="AI141" s="111">
        <f>SUM(AI139:AI140)</f>
        <v>63.39855</v>
      </c>
      <c r="AJ141" s="111">
        <f>SUM(AJ139:AJ140)</f>
        <v>63.39855</v>
      </c>
    </row>
    <row r="143" spans="1:38" ht="17.25" customHeight="1" x14ac:dyDescent="0.2">
      <c r="A143" s="131" t="s">
        <v>117</v>
      </c>
      <c r="AD143" s="124"/>
      <c r="AE143" s="125"/>
      <c r="AF143" s="125"/>
      <c r="AG143" s="125"/>
      <c r="AH143" s="125"/>
      <c r="AI143" s="126"/>
      <c r="AJ143" s="124"/>
      <c r="AL143" s="125"/>
    </row>
    <row r="144" spans="1:38" ht="20.25" customHeight="1" x14ac:dyDescent="0.2">
      <c r="A144" s="136" t="s">
        <v>125</v>
      </c>
      <c r="B144" s="136"/>
      <c r="C144" s="136"/>
      <c r="D144" s="136"/>
      <c r="E144" s="136"/>
      <c r="F144" s="136"/>
      <c r="G144" s="136"/>
      <c r="H144" s="136"/>
      <c r="I144" s="136"/>
      <c r="J144" s="136"/>
      <c r="K144" s="136"/>
      <c r="L144" s="136"/>
      <c r="M144" s="136"/>
      <c r="N144" s="136"/>
      <c r="O144" s="136"/>
      <c r="P144" s="136"/>
      <c r="Q144" s="136"/>
      <c r="R144" s="136"/>
      <c r="S144" s="136"/>
      <c r="T144" s="136"/>
      <c r="U144" s="136"/>
      <c r="V144" s="136"/>
      <c r="W144" s="136"/>
      <c r="X144" s="136"/>
      <c r="Y144" s="136"/>
      <c r="Z144" s="136"/>
      <c r="AA144" s="136"/>
      <c r="AB144" s="136"/>
      <c r="AC144" s="136"/>
      <c r="AD144" s="136"/>
      <c r="AE144" s="136"/>
      <c r="AF144" s="136"/>
      <c r="AG144" s="136"/>
      <c r="AH144" s="136"/>
      <c r="AI144" s="136"/>
      <c r="AJ144" s="136"/>
      <c r="AK144" s="136"/>
      <c r="AL144" s="136"/>
    </row>
    <row r="145" spans="1:38" ht="43.5" customHeight="1" x14ac:dyDescent="0.2">
      <c r="A145" s="136" t="s">
        <v>126</v>
      </c>
      <c r="B145" s="136"/>
      <c r="C145" s="136"/>
      <c r="D145" s="136"/>
      <c r="E145" s="136"/>
      <c r="F145" s="136"/>
      <c r="G145" s="136"/>
      <c r="H145" s="136"/>
      <c r="I145" s="136"/>
      <c r="J145" s="136"/>
      <c r="K145" s="136"/>
      <c r="L145" s="136"/>
      <c r="M145" s="136"/>
      <c r="N145" s="136"/>
      <c r="O145" s="136"/>
      <c r="P145" s="136"/>
      <c r="Q145" s="136"/>
      <c r="R145" s="136"/>
      <c r="S145" s="136"/>
      <c r="T145" s="136"/>
      <c r="U145" s="136"/>
      <c r="V145" s="136"/>
      <c r="W145" s="136"/>
      <c r="X145" s="136"/>
      <c r="Y145" s="136"/>
      <c r="Z145" s="136"/>
      <c r="AA145" s="136"/>
      <c r="AB145" s="136"/>
      <c r="AC145" s="136"/>
      <c r="AD145" s="136"/>
      <c r="AE145" s="136"/>
      <c r="AF145" s="136"/>
      <c r="AG145" s="136"/>
      <c r="AH145" s="136"/>
      <c r="AI145" s="136"/>
      <c r="AJ145" s="136"/>
      <c r="AK145" s="136"/>
      <c r="AL145" s="136"/>
    </row>
    <row r="146" spans="1:38" ht="23.25" customHeight="1" x14ac:dyDescent="0.2">
      <c r="A146" s="136" t="s">
        <v>127</v>
      </c>
      <c r="B146" s="136"/>
      <c r="C146" s="136"/>
      <c r="D146" s="136"/>
      <c r="E146" s="136"/>
      <c r="F146" s="136"/>
      <c r="G146" s="136"/>
      <c r="H146" s="136"/>
      <c r="I146" s="136"/>
      <c r="J146" s="136"/>
      <c r="K146" s="136"/>
      <c r="L146" s="136"/>
      <c r="M146" s="136"/>
      <c r="N146" s="136"/>
      <c r="O146" s="136"/>
      <c r="P146" s="136"/>
      <c r="Q146" s="136"/>
      <c r="R146" s="136"/>
      <c r="S146" s="136"/>
      <c r="T146" s="136"/>
      <c r="U146" s="136"/>
      <c r="V146" s="136"/>
      <c r="W146" s="136"/>
      <c r="X146" s="136"/>
      <c r="Y146" s="136"/>
      <c r="Z146" s="136"/>
      <c r="AA146" s="136"/>
      <c r="AB146" s="136"/>
      <c r="AC146" s="136"/>
      <c r="AD146" s="136"/>
      <c r="AE146" s="136"/>
      <c r="AF146" s="136"/>
      <c r="AG146" s="136"/>
      <c r="AH146" s="136"/>
      <c r="AI146" s="136"/>
      <c r="AJ146" s="136"/>
      <c r="AK146" s="136"/>
      <c r="AL146" s="136"/>
    </row>
    <row r="147" spans="1:38" ht="22.5" customHeight="1" x14ac:dyDescent="0.2">
      <c r="A147" s="25" t="s">
        <v>128</v>
      </c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P147" s="24"/>
      <c r="Q147" s="24"/>
      <c r="R147" s="24"/>
      <c r="S147" s="24"/>
      <c r="T147" s="24"/>
      <c r="U147" s="24"/>
      <c r="W147" s="24"/>
      <c r="X147" s="24"/>
      <c r="Y147" s="24"/>
      <c r="Z147" s="24"/>
      <c r="AA147" s="24"/>
      <c r="AB147" s="24"/>
      <c r="AD147" s="24"/>
      <c r="AF147" s="24"/>
      <c r="AG147" s="24"/>
      <c r="AH147" s="12"/>
      <c r="AJ147" s="12"/>
    </row>
    <row r="148" spans="1:38" ht="22.5" customHeight="1" x14ac:dyDescent="0.2">
      <c r="A148" s="135" t="s">
        <v>129</v>
      </c>
      <c r="B148" s="135"/>
      <c r="C148" s="135"/>
      <c r="D148" s="135"/>
      <c r="E148" s="135"/>
      <c r="F148" s="135"/>
      <c r="G148" s="135"/>
      <c r="H148" s="135"/>
      <c r="I148" s="135"/>
      <c r="J148" s="135"/>
      <c r="K148" s="135"/>
      <c r="L148" s="135"/>
      <c r="M148" s="135"/>
      <c r="N148" s="135"/>
      <c r="O148" s="135"/>
      <c r="P148" s="135"/>
      <c r="Q148" s="135"/>
      <c r="R148" s="135"/>
      <c r="S148" s="135"/>
      <c r="T148" s="135"/>
      <c r="U148" s="135"/>
      <c r="V148" s="135"/>
      <c r="W148" s="135"/>
      <c r="X148" s="135"/>
      <c r="Y148" s="135"/>
      <c r="Z148" s="135"/>
      <c r="AA148" s="135"/>
      <c r="AB148" s="135"/>
      <c r="AC148" s="135"/>
      <c r="AD148" s="135"/>
      <c r="AE148" s="135"/>
      <c r="AF148" s="135"/>
      <c r="AG148" s="135"/>
      <c r="AH148" s="135"/>
      <c r="AI148" s="135"/>
      <c r="AJ148" s="135"/>
      <c r="AK148" s="135"/>
      <c r="AL148" s="135"/>
    </row>
    <row r="149" spans="1:38" ht="18.75" customHeight="1" x14ac:dyDescent="0.2">
      <c r="A149" s="25" t="s">
        <v>130</v>
      </c>
      <c r="L149" s="4"/>
      <c r="M149" s="4"/>
      <c r="N149" s="4"/>
      <c r="P149" s="4"/>
      <c r="Q149" s="4"/>
      <c r="R149" s="4"/>
      <c r="S149" s="4"/>
      <c r="T149" s="4"/>
      <c r="U149" s="4"/>
      <c r="W149" s="4"/>
      <c r="X149" s="4"/>
      <c r="Y149" s="4"/>
      <c r="Z149" s="4"/>
      <c r="AA149" s="4"/>
      <c r="AB149" s="4"/>
      <c r="AD149" s="4"/>
    </row>
    <row r="150" spans="1:38" ht="59.25" customHeight="1" x14ac:dyDescent="0.2">
      <c r="A150" s="136" t="s">
        <v>131</v>
      </c>
      <c r="B150" s="136"/>
      <c r="C150" s="136"/>
      <c r="D150" s="136"/>
      <c r="E150" s="136"/>
      <c r="F150" s="136"/>
      <c r="G150" s="136"/>
      <c r="H150" s="136"/>
      <c r="I150" s="136"/>
      <c r="J150" s="136"/>
      <c r="K150" s="136"/>
      <c r="L150" s="136"/>
      <c r="M150" s="136"/>
      <c r="N150" s="136"/>
      <c r="O150" s="136"/>
      <c r="P150" s="136"/>
      <c r="Q150" s="136"/>
      <c r="R150" s="136"/>
      <c r="S150" s="136"/>
      <c r="T150" s="136"/>
      <c r="U150" s="136"/>
      <c r="V150" s="136"/>
      <c r="W150" s="136"/>
      <c r="X150" s="136"/>
      <c r="Y150" s="136"/>
      <c r="Z150" s="136"/>
      <c r="AA150" s="136"/>
      <c r="AB150" s="136"/>
      <c r="AC150" s="136"/>
      <c r="AD150" s="136"/>
      <c r="AE150" s="136"/>
      <c r="AF150" s="136"/>
      <c r="AG150" s="136"/>
      <c r="AH150" s="136"/>
      <c r="AI150" s="136"/>
      <c r="AJ150" s="136"/>
      <c r="AK150" s="136"/>
      <c r="AL150" s="136"/>
    </row>
    <row r="151" spans="1:38" ht="22.5" customHeight="1" x14ac:dyDescent="0.2">
      <c r="A151" s="25" t="s">
        <v>132</v>
      </c>
    </row>
    <row r="154" spans="1:38" ht="42" customHeight="1" x14ac:dyDescent="0.35">
      <c r="A154" s="31" t="s">
        <v>115</v>
      </c>
    </row>
    <row r="155" spans="1:38" ht="15.75" x14ac:dyDescent="0.25">
      <c r="A155" s="2" t="s">
        <v>1</v>
      </c>
      <c r="P155" s="1"/>
      <c r="Q155" s="1"/>
      <c r="R155" s="1"/>
      <c r="S155" s="1"/>
      <c r="T155" s="1"/>
      <c r="W155" s="1"/>
      <c r="X155" s="1"/>
      <c r="Y155" s="1"/>
      <c r="Z155" s="1"/>
      <c r="AA155" s="1"/>
      <c r="AD155" s="1"/>
    </row>
    <row r="156" spans="1:38" ht="15.75" x14ac:dyDescent="0.25">
      <c r="A156" s="3" t="s">
        <v>2</v>
      </c>
      <c r="C156" s="4"/>
      <c r="D156" s="4"/>
      <c r="E156" s="4"/>
      <c r="F156" s="4"/>
      <c r="G156" s="4"/>
      <c r="H156" s="4"/>
      <c r="I156" s="4"/>
      <c r="J156" s="4"/>
    </row>
    <row r="157" spans="1:38" ht="13.5" thickBot="1" x14ac:dyDescent="0.25"/>
    <row r="158" spans="1:38" ht="30.75" thickBot="1" x14ac:dyDescent="0.3">
      <c r="A158" s="5"/>
      <c r="C158" s="6">
        <v>2000</v>
      </c>
      <c r="D158" s="6">
        <v>2001</v>
      </c>
      <c r="E158" s="6">
        <v>2002</v>
      </c>
      <c r="F158" s="6">
        <v>2003</v>
      </c>
      <c r="G158" s="6">
        <v>2004</v>
      </c>
      <c r="H158" s="7">
        <v>2005</v>
      </c>
      <c r="I158" s="6">
        <v>2006</v>
      </c>
      <c r="J158" s="7">
        <v>2007</v>
      </c>
      <c r="K158" s="6">
        <v>2008</v>
      </c>
      <c r="L158" s="7">
        <v>2009</v>
      </c>
      <c r="M158" s="7">
        <v>2010</v>
      </c>
      <c r="N158" s="41" t="s">
        <v>6</v>
      </c>
      <c r="P158" s="7">
        <v>2011</v>
      </c>
      <c r="Q158" s="7">
        <v>2012</v>
      </c>
      <c r="R158" s="7">
        <v>2013</v>
      </c>
      <c r="S158" s="7">
        <v>2014</v>
      </c>
      <c r="T158" s="7">
        <v>2015</v>
      </c>
      <c r="U158" s="41" t="s">
        <v>7</v>
      </c>
      <c r="W158" s="7">
        <v>2016</v>
      </c>
      <c r="X158" s="7">
        <v>2017</v>
      </c>
      <c r="Y158" s="7">
        <v>2018</v>
      </c>
      <c r="Z158" s="7">
        <v>2019</v>
      </c>
      <c r="AA158" s="7">
        <v>2020</v>
      </c>
      <c r="AB158" s="41" t="s">
        <v>8</v>
      </c>
      <c r="AF158" s="42" t="s">
        <v>9</v>
      </c>
    </row>
    <row r="159" spans="1:38" ht="13.5" thickBot="1" x14ac:dyDescent="0.25">
      <c r="A159" s="10" t="s">
        <v>45</v>
      </c>
      <c r="C159" s="43"/>
      <c r="D159" s="50"/>
      <c r="E159" s="50"/>
      <c r="F159" s="50"/>
      <c r="G159" s="50"/>
      <c r="H159" s="51"/>
      <c r="I159" s="43"/>
      <c r="J159" s="55"/>
      <c r="K159" s="48"/>
      <c r="L159" s="43"/>
      <c r="M159" s="43"/>
      <c r="N159" s="87"/>
      <c r="P159" s="43"/>
      <c r="Q159" s="49"/>
      <c r="R159" s="49"/>
      <c r="S159" s="49">
        <v>30.742000000000001</v>
      </c>
      <c r="T159" s="49">
        <v>24.263000000000002</v>
      </c>
      <c r="U159" s="87">
        <f t="shared" ref="U159:U160" si="246">SUM(P159:T159)</f>
        <v>55.005000000000003</v>
      </c>
      <c r="W159" s="49">
        <v>22.976890000000001</v>
      </c>
      <c r="X159" s="49">
        <v>22.191076850000002</v>
      </c>
      <c r="Y159" s="49">
        <v>24.479173379999999</v>
      </c>
      <c r="Z159" s="49">
        <v>22.397200000000002</v>
      </c>
      <c r="AA159" s="49"/>
      <c r="AB159" s="87">
        <f t="shared" ref="AB159:AB160" si="247">SUM(W159:AA159)</f>
        <v>92.044340229999989</v>
      </c>
      <c r="AF159" s="97">
        <f t="shared" ref="AF159:AF160" si="248">SUM(AB159,U159,N159)</f>
        <v>147.04934022999998</v>
      </c>
    </row>
    <row r="160" spans="1:38" ht="13.5" thickBot="1" x14ac:dyDescent="0.25">
      <c r="A160" s="28" t="s">
        <v>59</v>
      </c>
      <c r="C160" s="43"/>
      <c r="D160" s="50"/>
      <c r="E160" s="50"/>
      <c r="F160" s="50"/>
      <c r="G160" s="50"/>
      <c r="H160" s="51"/>
      <c r="I160" s="43"/>
      <c r="J160" s="55"/>
      <c r="K160" s="48"/>
      <c r="L160" s="43"/>
      <c r="M160" s="43"/>
      <c r="N160" s="89"/>
      <c r="P160" s="43"/>
      <c r="Q160" s="49"/>
      <c r="R160" s="49"/>
      <c r="S160" s="49"/>
      <c r="T160" s="49">
        <v>4.7321999999999997</v>
      </c>
      <c r="U160" s="89">
        <f t="shared" si="246"/>
        <v>4.7321999999999997</v>
      </c>
      <c r="W160" s="49">
        <v>18.600539999999999</v>
      </c>
      <c r="X160" s="49">
        <v>11.45331</v>
      </c>
      <c r="Y160" s="49">
        <v>5.2708399999999997</v>
      </c>
      <c r="Z160" s="49"/>
      <c r="AA160" s="49"/>
      <c r="AB160" s="89">
        <f t="shared" si="247"/>
        <v>35.324689999999997</v>
      </c>
      <c r="AF160" s="97">
        <f t="shared" si="248"/>
        <v>40.056889999999996</v>
      </c>
    </row>
    <row r="161" spans="1:33" ht="13.5" thickBot="1" x14ac:dyDescent="0.25">
      <c r="A161" s="14" t="s">
        <v>62</v>
      </c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102"/>
      <c r="P161" s="63"/>
      <c r="Q161" s="63"/>
      <c r="R161" s="63"/>
      <c r="S161" s="63">
        <f t="shared" ref="S161:AF161" si="249">SUM(S159:S160)</f>
        <v>30.742000000000001</v>
      </c>
      <c r="T161" s="63">
        <f t="shared" si="249"/>
        <v>28.995200000000001</v>
      </c>
      <c r="U161" s="90">
        <f t="shared" si="249"/>
        <v>59.737200000000001</v>
      </c>
      <c r="W161" s="63">
        <f t="shared" si="249"/>
        <v>41.57743</v>
      </c>
      <c r="X161" s="63">
        <f t="shared" si="249"/>
        <v>33.644386850000004</v>
      </c>
      <c r="Y161" s="63">
        <f t="shared" si="249"/>
        <v>29.750013379999999</v>
      </c>
      <c r="Z161" s="63">
        <f t="shared" si="249"/>
        <v>22.397200000000002</v>
      </c>
      <c r="AA161" s="63">
        <f t="shared" si="249"/>
        <v>0</v>
      </c>
      <c r="AB161" s="90">
        <f t="shared" si="249"/>
        <v>127.36903022999999</v>
      </c>
      <c r="AF161" s="102">
        <f t="shared" si="249"/>
        <v>187.10623022999999</v>
      </c>
    </row>
    <row r="162" spans="1:33" ht="13.5" thickBot="1" x14ac:dyDescent="0.25"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P162" s="4"/>
      <c r="Q162" s="4"/>
      <c r="R162" s="4"/>
      <c r="S162" s="4"/>
      <c r="T162" s="4"/>
      <c r="W162" s="4"/>
      <c r="X162" s="4"/>
      <c r="Y162" s="4"/>
      <c r="Z162" s="4"/>
      <c r="AA162" s="4"/>
    </row>
    <row r="163" spans="1:33" ht="13.5" thickBot="1" x14ac:dyDescent="0.25">
      <c r="A163" s="30" t="s">
        <v>69</v>
      </c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7"/>
      <c r="P163" s="81"/>
      <c r="Q163" s="81"/>
      <c r="R163" s="81"/>
      <c r="S163" s="81"/>
      <c r="T163" s="82">
        <v>105</v>
      </c>
      <c r="U163" s="87">
        <f t="shared" ref="U163" si="250">SUM(P163:T163)</f>
        <v>105</v>
      </c>
      <c r="W163" s="82">
        <v>51.6</v>
      </c>
      <c r="X163" s="82">
        <v>40</v>
      </c>
      <c r="Y163" s="82">
        <v>44.6</v>
      </c>
      <c r="Z163" s="82"/>
      <c r="AA163" s="82"/>
      <c r="AB163" s="87">
        <f t="shared" ref="AB163" si="251">SUM(W163:AA163)</f>
        <v>136.19999999999999</v>
      </c>
      <c r="AF163" s="98">
        <f t="shared" ref="AF163" si="252">SUM(AB163,U163,N163)</f>
        <v>241.2</v>
      </c>
      <c r="AG163" s="33"/>
    </row>
    <row r="164" spans="1:33" ht="13.5" thickBot="1" x14ac:dyDescent="0.25">
      <c r="A164" s="14" t="s">
        <v>116</v>
      </c>
      <c r="C164" s="75"/>
      <c r="D164" s="75"/>
      <c r="E164" s="75"/>
      <c r="F164" s="75"/>
      <c r="G164" s="75"/>
      <c r="H164" s="75"/>
      <c r="I164" s="75"/>
      <c r="J164" s="75"/>
      <c r="K164" s="75"/>
      <c r="L164" s="75"/>
      <c r="M164" s="75"/>
      <c r="N164" s="102"/>
      <c r="P164" s="75"/>
      <c r="Q164" s="75"/>
      <c r="R164" s="75"/>
      <c r="S164" s="75"/>
      <c r="T164" s="75">
        <f t="shared" ref="T164:AF164" si="253">SUM(T163)</f>
        <v>105</v>
      </c>
      <c r="U164" s="90">
        <f t="shared" si="253"/>
        <v>105</v>
      </c>
      <c r="W164" s="75">
        <f t="shared" si="253"/>
        <v>51.6</v>
      </c>
      <c r="X164" s="75">
        <f t="shared" si="253"/>
        <v>40</v>
      </c>
      <c r="Y164" s="75">
        <f t="shared" si="253"/>
        <v>44.6</v>
      </c>
      <c r="Z164" s="75">
        <f t="shared" si="253"/>
        <v>0</v>
      </c>
      <c r="AA164" s="75">
        <f t="shared" si="253"/>
        <v>0</v>
      </c>
      <c r="AB164" s="90">
        <f t="shared" si="253"/>
        <v>136.19999999999999</v>
      </c>
      <c r="AF164" s="102">
        <f t="shared" si="253"/>
        <v>241.2</v>
      </c>
      <c r="AG164" s="12"/>
    </row>
    <row r="165" spans="1:33" ht="13.5" thickBot="1" x14ac:dyDescent="0.25"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P165" s="4"/>
      <c r="Q165" s="4"/>
      <c r="R165" s="4"/>
      <c r="S165" s="4"/>
      <c r="T165" s="4"/>
      <c r="W165" s="4"/>
      <c r="X165" s="4"/>
      <c r="Y165" s="4"/>
      <c r="Z165" s="4"/>
      <c r="AA165" s="4"/>
    </row>
    <row r="166" spans="1:33" ht="13.5" thickBot="1" x14ac:dyDescent="0.25">
      <c r="A166" s="23" t="s">
        <v>111</v>
      </c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101"/>
      <c r="P166" s="79"/>
      <c r="Q166" s="79"/>
      <c r="R166" s="79"/>
      <c r="S166" s="79">
        <f t="shared" ref="S166:AF166" si="254">SUM(S161,S164)</f>
        <v>30.742000000000001</v>
      </c>
      <c r="T166" s="79">
        <f t="shared" si="254"/>
        <v>133.99520000000001</v>
      </c>
      <c r="U166" s="101">
        <f t="shared" si="254"/>
        <v>164.7372</v>
      </c>
      <c r="W166" s="79">
        <f t="shared" si="254"/>
        <v>93.177430000000001</v>
      </c>
      <c r="X166" s="79">
        <f t="shared" si="254"/>
        <v>73.644386850000004</v>
      </c>
      <c r="Y166" s="79">
        <f t="shared" si="254"/>
        <v>74.350013380000007</v>
      </c>
      <c r="Z166" s="79">
        <f t="shared" si="254"/>
        <v>22.397200000000002</v>
      </c>
      <c r="AA166" s="79">
        <f t="shared" si="254"/>
        <v>0</v>
      </c>
      <c r="AB166" s="101">
        <f t="shared" si="254"/>
        <v>263.56903022999995</v>
      </c>
      <c r="AF166" s="101">
        <f t="shared" si="254"/>
        <v>428.30623022999998</v>
      </c>
    </row>
  </sheetData>
  <mergeCells count="7">
    <mergeCell ref="AL5:AL6"/>
    <mergeCell ref="A148:AL148"/>
    <mergeCell ref="A150:AL150"/>
    <mergeCell ref="AH5:AJ5"/>
    <mergeCell ref="A145:AL145"/>
    <mergeCell ref="A146:AL146"/>
    <mergeCell ref="A144:AL144"/>
  </mergeCells>
  <pageMargins left="0.31496062992125984" right="0.31496062992125984" top="0.35433070866141736" bottom="0.35433070866141736" header="0.31496062992125984" footer="0.31496062992125984"/>
  <pageSetup paperSize="9" scale="50" orientation="portrait" r:id="rId1"/>
  <headerFooter alignWithMargins="0">
    <oddHeader>&amp;L&amp;"Calibri"&amp;10&amp;K000000Classified as Internal&amp;1#</oddHeader>
  </headerFooter>
  <ignoredErrors>
    <ignoredError sqref="U30 U23 AB23 AB30 AJ80 AB13 U13 AJ23:AJ31 AJ11:AJ12 AJ33:AJ55 N33:AB57 N71:AI85 N88:AL104 N112:AL113 AI114 N105:AL110 N111:AB111 AJ57 U14:AB14 AJ14" formula="1"/>
    <ignoredError sqref="G59:W59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93cb0222-e980-4273-ad97-85dba3159c09" ContentTypeId="0x01010091DD660C2743444EACB0CAF777412263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Gavi Excel Workbook" ma:contentTypeID="0x01010091DD660C2743444EACB0CAF77741226300CD6342080A01E84CA9870E8F3E644D78" ma:contentTypeVersion="239" ma:contentTypeDescription="" ma:contentTypeScope="" ma:versionID="08d168cbdf92577c5a917e7c01e0544b">
  <xsd:schema xmlns:xsd="http://www.w3.org/2001/XMLSchema" xmlns:xs="http://www.w3.org/2001/XMLSchema" xmlns:p="http://schemas.microsoft.com/office/2006/metadata/properties" xmlns:ns2="d0706217-df7c-4bf4-936d-b09aa3b837af" xmlns:ns3="57a992bc-bd44-4bca-8c15-5d6bcceffd31" targetNamespace="http://schemas.microsoft.com/office/2006/metadata/properties" ma:root="true" ma:fieldsID="6ffad984cde5fa98058814460da1d393" ns2:_="" ns3:_="">
    <xsd:import namespace="d0706217-df7c-4bf4-936d-b09aa3b837af"/>
    <xsd:import namespace="57a992bc-bd44-4bca-8c15-5d6bcceffd31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706217-df7c-4bf4-936d-b09aa3b837af" elementFormDefault="qualified">
    <xsd:import namespace="http://schemas.microsoft.com/office/2006/documentManagement/types"/>
    <xsd:import namespace="http://schemas.microsoft.com/office/infopath/2007/PartnerControls"/>
    <xsd:element name="TaxCatchAll" ma:index="6" nillable="true" ma:displayName="Taxonomy Catch All Column" ma:description="" ma:hidden="true" ma:list="{b12ebb60-5d4a-407c-9ab8-0b5826b57b5f}" ma:internalName="TaxCatchAll" ma:showField="CatchAllData" ma:web="57a992bc-bd44-4bca-8c15-5d6bcceffd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7" nillable="true" ma:displayName="Taxonomy Catch All Column1" ma:description="" ma:hidden="true" ma:list="{b12ebb60-5d4a-407c-9ab8-0b5826b57b5f}" ma:internalName="TaxCatchAllLabel" ma:readOnly="true" ma:showField="CatchAllDataLabel" ma:web="57a992bc-bd44-4bca-8c15-5d6bcceffd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a992bc-bd44-4bca-8c15-5d6bcceffd31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706217-df7c-4bf4-936d-b09aa3b837af" xsi:nil="true"/>
    <_dlc_DocId xmlns="57a992bc-bd44-4bca-8c15-5d6bcceffd31">GAVI-1705067222-990653</_dlc_DocId>
    <_dlc_DocIdUrl xmlns="57a992bc-bd44-4bca-8c15-5d6bcceffd31">
      <Url>https://gavinet.sharepoint.com/teams/fop/fin/_layouts/15/DocIdRedir.aspx?ID=GAVI-1705067222-990653</Url>
      <Description>GAVI-1705067222-990653</Description>
    </_dlc_DocIdUrl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ADC4EF-CFB0-4C4F-A9FB-30BEED9253B2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57AC50A7-7A97-4663-9EB0-B58674F74E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706217-df7c-4bf4-936d-b09aa3b837af"/>
    <ds:schemaRef ds:uri="57a992bc-bd44-4bca-8c15-5d6bcceffd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4406B0-95D0-4740-A7D1-06B9443BB4F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7FB11A6-D140-4432-835C-73F5F457BFA5}">
  <ds:schemaRefs>
    <ds:schemaRef ds:uri="http://purl.org/dc/terms/"/>
    <ds:schemaRef ds:uri="d0706217-df7c-4bf4-936d-b09aa3b837af"/>
    <ds:schemaRef ds:uri="http://schemas.microsoft.com/office/2006/documentManagement/types"/>
    <ds:schemaRef ds:uri="57a992bc-bd44-4bca-8c15-5d6bcceffd31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C33CB698-E48C-4AEA-A68D-BFB6102146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2000-2021 Cash Receipts</vt:lpstr>
      <vt:lpstr>'2000-2021 Cash Receipts'!Print_Area</vt:lpstr>
    </vt:vector>
  </TitlesOfParts>
  <Manager/>
  <Company>Gavi Alliance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Gavi Alliance</dc:creator>
  <cp:keywords/>
  <dc:description/>
  <cp:lastModifiedBy>Eric Godfrey</cp:lastModifiedBy>
  <cp:revision/>
  <dcterms:created xsi:type="dcterms:W3CDTF">2013-01-25T10:21:26Z</dcterms:created>
  <dcterms:modified xsi:type="dcterms:W3CDTF">2022-02-28T13:08:14Z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0x01010091DD660C2743444EACB0CAF77741226300CD6342080A01E84CA9870E8F3E644D78</vt:lpwstr>
  </property>
  <property fmtid="{D5CDD505-2E9C-101B-9397-08002B2CF9AE}" pid="3" name="Author">
    <vt:lpwstr>7;#;UserInfo</vt:lpwstr>
  </property>
  <property fmtid="{D5CDD505-2E9C-101B-9397-08002B2CF9AE}" pid="4" name="Health System Strengthening">
    <vt:lpwstr/>
  </property>
  <property fmtid="{D5CDD505-2E9C-101B-9397-08002B2CF9AE}" pid="5" name="Lang">
    <vt:lpwstr/>
  </property>
  <property fmtid="{D5CDD505-2E9C-101B-9397-08002B2CF9AE}" pid="6" name="TaxKeyword">
    <vt:lpwstr/>
  </property>
  <property fmtid="{D5CDD505-2E9C-101B-9397-08002B2CF9AE}" pid="7" name="Order">
    <vt:r8>100</vt:r8>
  </property>
  <property fmtid="{D5CDD505-2E9C-101B-9397-08002B2CF9AE}" pid="8" name="Topic">
    <vt:lpwstr/>
  </property>
  <property fmtid="{D5CDD505-2E9C-101B-9397-08002B2CF9AE}" pid="9" name="_ShortcutWebId">
    <vt:lpwstr/>
  </property>
  <property fmtid="{D5CDD505-2E9C-101B-9397-08002B2CF9AE}" pid="10" name="_ShortcutUniqueId">
    <vt:lpwstr/>
  </property>
  <property fmtid="{D5CDD505-2E9C-101B-9397-08002B2CF9AE}" pid="11" name="_ShortcutSiteId">
    <vt:lpwstr/>
  </property>
  <property fmtid="{D5CDD505-2E9C-101B-9397-08002B2CF9AE}" pid="12" name="Created">
    <vt:filetime>2013-01-25T09:21:26Z</vt:filetime>
  </property>
  <property fmtid="{D5CDD505-2E9C-101B-9397-08002B2CF9AE}" pid="13" name="Health">
    <vt:lpwstr/>
  </property>
  <property fmtid="{D5CDD505-2E9C-101B-9397-08002B2CF9AE}" pid="14" name="Stakeholder">
    <vt:lpwstr/>
  </property>
  <property fmtid="{D5CDD505-2E9C-101B-9397-08002B2CF9AE}" pid="15" name="Vaccine">
    <vt:lpwstr/>
  </property>
  <property fmtid="{D5CDD505-2E9C-101B-9397-08002B2CF9AE}" pid="16" name="Depto">
    <vt:lpwstr>944;#Finance|70c92294-fade-490c-ae2b-2f46f3fe0636</vt:lpwstr>
  </property>
  <property fmtid="{D5CDD505-2E9C-101B-9397-08002B2CF9AE}" pid="17" name="International_x0020_Development">
    <vt:lpwstr/>
  </property>
  <property fmtid="{D5CDD505-2E9C-101B-9397-08002B2CF9AE}" pid="18" name="Modified">
    <vt:filetime>2016-04-07T14:36:37Z</vt:filetime>
  </property>
  <property fmtid="{D5CDD505-2E9C-101B-9397-08002B2CF9AE}" pid="19" name="Country">
    <vt:lpwstr/>
  </property>
  <property fmtid="{D5CDD505-2E9C-101B-9397-08002B2CF9AE}" pid="20" name="Governance">
    <vt:lpwstr/>
  </property>
  <property fmtid="{D5CDD505-2E9C-101B-9397-08002B2CF9AE}" pid="21" name="Editor">
    <vt:lpwstr>8;#;UserInfo</vt:lpwstr>
  </property>
  <property fmtid="{D5CDD505-2E9C-101B-9397-08002B2CF9AE}" pid="22" name="International Development">
    <vt:lpwstr/>
  </property>
  <property fmtid="{D5CDD505-2E9C-101B-9397-08002B2CF9AE}" pid="23" name="Health_x0020_System_x0020_Strengthening">
    <vt:lpwstr/>
  </property>
  <property fmtid="{D5CDD505-2E9C-101B-9397-08002B2CF9AE}" pid="24" name="Attendees">
    <vt:lpwstr/>
  </property>
  <property fmtid="{D5CDD505-2E9C-101B-9397-08002B2CF9AE}" pid="25" name="Programme and project management">
    <vt:lpwstr/>
  </property>
  <property fmtid="{D5CDD505-2E9C-101B-9397-08002B2CF9AE}" pid="26" name="Programme_x0020_and_x0020_project_x0020_management">
    <vt:lpwstr/>
  </property>
  <property fmtid="{D5CDD505-2E9C-101B-9397-08002B2CF9AE}" pid="27" name="_ShortcutUrl">
    <vt:lpwstr/>
  </property>
  <property fmtid="{D5CDD505-2E9C-101B-9397-08002B2CF9AE}" pid="28" name="_dlc_DocIdItemGuid">
    <vt:lpwstr>c06f46ff-69bc-477b-978e-23893ce94524</vt:lpwstr>
  </property>
  <property fmtid="{D5CDD505-2E9C-101B-9397-08002B2CF9AE}" pid="29" name="kfa83adfad8641678ddaedda80d7e126">
    <vt:lpwstr/>
  </property>
  <property fmtid="{D5CDD505-2E9C-101B-9397-08002B2CF9AE}" pid="30" name="Test">
    <vt:lpwstr/>
  </property>
  <property fmtid="{D5CDD505-2E9C-101B-9397-08002B2CF9AE}" pid="31" name="d1cc8e3ce74548b4802b698dbb551d86">
    <vt:lpwstr/>
  </property>
  <property fmtid="{D5CDD505-2E9C-101B-9397-08002B2CF9AE}" pid="32" name="AuthorIds_UIVersion_5">
    <vt:lpwstr>119</vt:lpwstr>
  </property>
  <property fmtid="{D5CDD505-2E9C-101B-9397-08002B2CF9AE}" pid="33" name="AuthorIds_UIVersion_1">
    <vt:lpwstr>119</vt:lpwstr>
  </property>
  <property fmtid="{D5CDD505-2E9C-101B-9397-08002B2CF9AE}" pid="34" name="AuthorIds_UIVersion_2">
    <vt:lpwstr>115</vt:lpwstr>
  </property>
  <property fmtid="{D5CDD505-2E9C-101B-9397-08002B2CF9AE}" pid="35" name="AuthorIds_UIVersion_4">
    <vt:lpwstr>119</vt:lpwstr>
  </property>
  <property fmtid="{D5CDD505-2E9C-101B-9397-08002B2CF9AE}" pid="36" name="Risk">
    <vt:lpwstr/>
  </property>
  <property fmtid="{D5CDD505-2E9C-101B-9397-08002B2CF9AE}" pid="37" name="da385a37dcdd43e7963145fe41f4539b">
    <vt:lpwstr/>
  </property>
  <property fmtid="{D5CDD505-2E9C-101B-9397-08002B2CF9AE}" pid="38" name="Donors and Partners">
    <vt:lpwstr/>
  </property>
  <property fmtid="{D5CDD505-2E9C-101B-9397-08002B2CF9AE}" pid="39" name="g46430f4398c4f35a5ec9f78edc038fa">
    <vt:lpwstr/>
  </property>
  <property fmtid="{D5CDD505-2E9C-101B-9397-08002B2CF9AE}" pid="40" name="Market Shaping">
    <vt:lpwstr/>
  </property>
  <property fmtid="{D5CDD505-2E9C-101B-9397-08002B2CF9AE}" pid="41" name="b71aade8ae9f44a1b207db6dd32da3e9">
    <vt:lpwstr/>
  </property>
  <property fmtid="{D5CDD505-2E9C-101B-9397-08002B2CF9AE}" pid="42" name="Strategy and Policy">
    <vt:lpwstr/>
  </property>
  <property fmtid="{D5CDD505-2E9C-101B-9397-08002B2CF9AE}" pid="43" name="e17ceaa0d61b4bfeb3c21883d9680a10">
    <vt:lpwstr/>
  </property>
  <property fmtid="{D5CDD505-2E9C-101B-9397-08002B2CF9AE}" pid="44" name="e27ceaa0d61b4bfeb3c21883d9680a10">
    <vt:lpwstr/>
  </property>
  <property fmtid="{D5CDD505-2E9C-101B-9397-08002B2CF9AE}" pid="45" name="Country Type">
    <vt:lpwstr/>
  </property>
  <property fmtid="{D5CDD505-2E9C-101B-9397-08002B2CF9AE}" pid="46" name="Document Type">
    <vt:lpwstr/>
  </property>
  <property fmtid="{D5CDD505-2E9C-101B-9397-08002B2CF9AE}" pid="47" name="Finance">
    <vt:lpwstr/>
  </property>
  <property fmtid="{D5CDD505-2E9C-101B-9397-08002B2CF9AE}" pid="48" name="p09ff1d2f026403cb92ff345796610f6">
    <vt:lpwstr/>
  </property>
  <property fmtid="{D5CDD505-2E9C-101B-9397-08002B2CF9AE}" pid="49" name="fc06a084bffd4a2cbb1b503815818f56">
    <vt:lpwstr/>
  </property>
  <property fmtid="{D5CDD505-2E9C-101B-9397-08002B2CF9AE}" pid="50" name="Language">
    <vt:lpwstr/>
  </property>
  <property fmtid="{D5CDD505-2E9C-101B-9397-08002B2CF9AE}" pid="51" name="c42a17fc557b46a5b9bcad4067cce71e">
    <vt:lpwstr/>
  </property>
  <property fmtid="{D5CDD505-2E9C-101B-9397-08002B2CF9AE}" pid="52" name="n169e2c9352346cf85f9723e82b9094d">
    <vt:lpwstr/>
  </property>
  <property fmtid="{D5CDD505-2E9C-101B-9397-08002B2CF9AE}" pid="53" name="IT Systems">
    <vt:lpwstr/>
  </property>
  <property fmtid="{D5CDD505-2E9C-101B-9397-08002B2CF9AE}" pid="54" name="Location">
    <vt:lpwstr/>
  </property>
  <property fmtid="{D5CDD505-2E9C-101B-9397-08002B2CF9AE}" pid="55" name="k22dc2e0c2174860996c8c9cbd411b1e">
    <vt:lpwstr/>
  </property>
  <property fmtid="{D5CDD505-2E9C-101B-9397-08002B2CF9AE}" pid="56" name="i37a087ac91a4078a555152c5cd63046">
    <vt:lpwstr/>
  </property>
  <property fmtid="{D5CDD505-2E9C-101B-9397-08002B2CF9AE}" pid="57" name="le9d97f3bd374b61b397133b88eb0f9d">
    <vt:lpwstr/>
  </property>
  <property fmtid="{D5CDD505-2E9C-101B-9397-08002B2CF9AE}" pid="58" name="MSIP_Label_8f5e72d3-b6ef-4c9c-b371-eb3c79f627ee_Enabled">
    <vt:lpwstr>true</vt:lpwstr>
  </property>
  <property fmtid="{D5CDD505-2E9C-101B-9397-08002B2CF9AE}" pid="59" name="MSIP_Label_8f5e72d3-b6ef-4c9c-b371-eb3c79f627ee_SetDate">
    <vt:lpwstr>2020-02-03T14:44:26Z</vt:lpwstr>
  </property>
  <property fmtid="{D5CDD505-2E9C-101B-9397-08002B2CF9AE}" pid="60" name="MSIP_Label_8f5e72d3-b6ef-4c9c-b371-eb3c79f627ee_Method">
    <vt:lpwstr>Privileged</vt:lpwstr>
  </property>
  <property fmtid="{D5CDD505-2E9C-101B-9397-08002B2CF9AE}" pid="61" name="MSIP_Label_8f5e72d3-b6ef-4c9c-b371-eb3c79f627ee_Name">
    <vt:lpwstr>8f5e72d3-b6ef-4c9c-b371-eb3c79f627ee</vt:lpwstr>
  </property>
  <property fmtid="{D5CDD505-2E9C-101B-9397-08002B2CF9AE}" pid="62" name="MSIP_Label_8f5e72d3-b6ef-4c9c-b371-eb3c79f627ee_SiteId">
    <vt:lpwstr>1de6d9f3-0daf-4df6-b9d6-5959f16f6118</vt:lpwstr>
  </property>
  <property fmtid="{D5CDD505-2E9C-101B-9397-08002B2CF9AE}" pid="63" name="MSIP_Label_8f5e72d3-b6ef-4c9c-b371-eb3c79f627ee_ActionId">
    <vt:lpwstr>1ddb797a-1d2f-4a90-9d97-0000d07cabd8</vt:lpwstr>
  </property>
  <property fmtid="{D5CDD505-2E9C-101B-9397-08002B2CF9AE}" pid="64" name="MSIP_Label_8f5e72d3-b6ef-4c9c-b371-eb3c79f627ee_ContentBits">
    <vt:lpwstr>1</vt:lpwstr>
  </property>
  <property fmtid="{D5CDD505-2E9C-101B-9397-08002B2CF9AE}" pid="65" name="e37ceaa0d61b4bfeb3c21883d9680a10">
    <vt:lpwstr>Finance|70c92294-fade-490c-ae2b-2f46f3fe0636</vt:lpwstr>
  </property>
</Properties>
</file>