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gavinet-my.sharepoint.com/personal/eaduafari_gavi_org1/Documents/Documents/CCEOP/CCEOP Budget Template/New fix/New new/"/>
    </mc:Choice>
  </mc:AlternateContent>
  <xr:revisionPtr revIDLastSave="11" documentId="8_{772A146C-1CB7-4BAD-B7F4-7B4D69038B4B}" xr6:coauthVersionLast="47" xr6:coauthVersionMax="47" xr10:uidLastSave="{3DAE2CDA-AAB5-407B-B525-FF1C9D560F0F}"/>
  <bookViews>
    <workbookView xWindow="-14640" yWindow="-16320" windowWidth="29040" windowHeight="15720" tabRatio="759" activeTab="1" xr2:uid="{00000000-000D-0000-FFFF-FFFF00000000}"/>
  </bookViews>
  <sheets>
    <sheet name="Cover Page and Instructions" sheetId="1" r:id="rId1"/>
    <sheet name="CCE Options Summary" sheetId="8" r:id="rId2"/>
    <sheet name="Options_CCE Model Selection" sheetId="3" r:id="rId3"/>
    <sheet name="Specified CCE Model Price List" sheetId="2" r:id="rId4"/>
    <sheet name="Reference_Dropdown1" sheetId="11" state="hidden" r:id="rId5"/>
    <sheet name="Reference_Dropdowns2" sheetId="12" state="hidden" r:id="rId6"/>
    <sheet name="Dropdowns3_countries" sheetId="13" state="hidden" r:id="rId7"/>
  </sheets>
  <definedNames>
    <definedName name="_1.OngridILR_withoutfreezercomp">Reference_Dropdowns2!$A$3:$A$6</definedName>
    <definedName name="_1.OngridILR_withoutfreezercomp__120L">Reference_Dropdowns2!$C$11:$C$22</definedName>
    <definedName name="_1.OngridILR_withoutfreezercomp_120L">Reference_Dropdowns2!$C$11:$C$222</definedName>
    <definedName name="_1.OngridILR_withoutfreezercomp0__60L">Reference_Dropdowns2!$A$11:$A$20</definedName>
    <definedName name="_1.OngridILR_withoutfreezercomp60__120L">Reference_Dropdowns2!$B$11:$B$24</definedName>
    <definedName name="_1.OngridILR_withoutfreezercomp60__90L">Reference_Dropdowns2!$B$11:$B$24</definedName>
    <definedName name="_1.OngridILR_withoutfreezercomp60_90L">Reference_Dropdowns2!$B$11:$B$24</definedName>
    <definedName name="_1.OngridILR_withoutfreezercomp90__120L">Reference_Dropdowns2!$C$11:$C$22</definedName>
    <definedName name="_1.OngridILR_withoutfreezercomp90_120L">Reference_Dropdowns2!$C$11:$C$22</definedName>
    <definedName name="_10.Freezefreevaccinecarriers">Reference_Dropdowns2!$J$3:$J$4</definedName>
    <definedName name="_10.Freezefreevaccinecarriers0__5L">Reference_Dropdowns2!$U$11:$U$18</definedName>
    <definedName name="_11.Freezefreecoldboxes">Reference_Dropdowns2!$K$3:$K$5</definedName>
    <definedName name="_11.Freezefreecoldboxes__15L">Reference_Dropdowns2!$V$11:$V$12</definedName>
    <definedName name="_11.Freezefreecoldboxes_15L">Reference_Dropdowns2!$W$11:$W$12</definedName>
    <definedName name="_12.Voltageregulatorsforequipment">Reference_Dropdowns2!$L$3:$L$4</definedName>
    <definedName name="_12.VoltageregulatorsforequipmentNA">Reference_Dropdowns2!$X$11:$X$13</definedName>
    <definedName name="_13.Icepacks">Reference_Dropdowns2!$M$3:$M$4</definedName>
    <definedName name="_13.IcepacksNA">Reference_Dropdowns2!$Y$11:$Y$27</definedName>
    <definedName name="_14.SparepartsNewOngridILR_withoutfreezercomp">Reference_Dropdowns2!$N$3:$N$4</definedName>
    <definedName name="_14.SparepartsNewOngridILR_withoutfreezercompNA">Reference_Dropdowns2!$Z$11:$Z$28</definedName>
    <definedName name="_15.SparepartsNewOngridILR_withfreezercomp">Reference_Dropdowns2!$O$3:$O$4</definedName>
    <definedName name="_15.SparepartsNewOngridILR_withfreezercompNA">Reference_Dropdowns2!$AA$11:$AA$15</definedName>
    <definedName name="_16.SparepartsNewOngridfreezers">Reference_Dropdowns2!$P$3:$P$4</definedName>
    <definedName name="_16.SparepartsNewOngridfreezersNA">Reference_Dropdowns2!$AB$11:$AB$19</definedName>
    <definedName name="_17.SparepartsNewOffgridSDDrefrigerators_withoutfreezercomp">Reference_Dropdowns2!$Q$3:$Q$4</definedName>
    <definedName name="_17.SparepartsNewOffgridSDDrefrigerators_withoutfreezercompNA">Reference_Dropdowns2!$AC$11:$AC$27</definedName>
    <definedName name="_18.SparepartsNewOffgridSDDrefrigerators_withfreezercomp">Reference_Dropdowns2!$R$3:$R$4</definedName>
    <definedName name="_18.SparepartsNewOffgridSDDrefrigerators_withfreezercompNA">Reference_Dropdowns2!$AD$11:$AD$24</definedName>
    <definedName name="_19.SparepartsNewOffgridSDDfreezer">Reference_Dropdowns2!$S$3:$S$4</definedName>
    <definedName name="_19.SparepartsNewOffgridSDDfreezerNA">Reference_Dropdowns2!$AE$11:$AE$15</definedName>
    <definedName name="_2.OngridILR_withfreezercomp">Reference_Dropdowns2!$B$3:$B$5</definedName>
    <definedName name="_2.OngridILR_withfreezercomp0__60L">Reference_Dropdowns2!$D$11:$D$17</definedName>
    <definedName name="_2.OngridILR_withfreezercomp30__60L">Reference_Dropdowns2!$D$11:$D$17</definedName>
    <definedName name="_2.OngridILR_withfreezercomp30_60L">Reference_Dropdowns2!$D$11:$D$17</definedName>
    <definedName name="_2.OngridILR_withfreezercomp60__120L">Reference_Dropdowns2!$E$11:$E$12</definedName>
    <definedName name="_2.OngridILR_withfreezercomp60__90L">Reference_Dropdowns2!$E$11:$E$12</definedName>
    <definedName name="_2.OngridILR_withfreezercomp60_90L">Reference_Dropdowns2!$E$11:$E$12</definedName>
    <definedName name="_20.AnnualDataSubscriptionrenewalsforExistingRTMDs">Reference_Dropdowns2!$T$3:$T$4</definedName>
    <definedName name="_20.AnnualDataSubscriptionrenewalsforExistingRTMDsNA">Reference_Dropdowns2!$AF$11:$AF$23</definedName>
    <definedName name="_21.TrainingInPerson">Reference_Dropdowns2!$U$3:$U$4</definedName>
    <definedName name="_21.TrainingInPersonNA">Reference_Dropdowns2!$AG$11:$AG$14</definedName>
    <definedName name="_22.TrainingRemote">Reference_Dropdowns2!$V$3:$V$4</definedName>
    <definedName name="_22.TrainingRemoteNA">Reference_Dropdowns2!$AH$11:$AH$13</definedName>
    <definedName name="_23.TransportablePoweredVaccineStorage_TPVS">Reference_Dropdowns2!$W$3:$W$4</definedName>
    <definedName name="_23.TransportablePoweredVaccineStorage_TPVS0__5L">Reference_Dropdowns2!$AI$11:$AI$14</definedName>
    <definedName name="_3.Ongridfreezers">Reference_Dropdowns2!$C$3:$C$5</definedName>
    <definedName name="_3.Ongridfreezers__120L">Reference_Dropdowns2!$G$11:$G$21</definedName>
    <definedName name="_3.Ongridfreezers_120L">Reference_Dropdowns2!$G$11:$G$21</definedName>
    <definedName name="_3.Ongridfreezers60__120L">Reference_Dropdowns2!$F$11:$F$17</definedName>
    <definedName name="_3.Ongridfreezers90__120L">Reference_Dropdowns2!$F$11:$F$17</definedName>
    <definedName name="_3.Ongridfreezers90_120L">Reference_Dropdowns2!$F$11:$F$17</definedName>
    <definedName name="_4.OffgridSDDrefrigerators_withoutfreezercomp">Reference_Dropdowns2!$D$3:$D$6</definedName>
    <definedName name="_4.OffgridSDDrefrigerators_withoutfreezercomp__120L">Reference_Dropdowns2!$J$11:$J$18</definedName>
    <definedName name="_4.OffgridSDDrefrigerators_withoutfreezercomp__30L">Reference_Dropdowns2!$H$11:$H$22</definedName>
    <definedName name="_4.OffgridSDDrefrigerators_withoutfreezercomp_30L">Reference_Dropdowns2!$H$11:$H$22</definedName>
    <definedName name="_4.OffgridSDDrefrigerators_withoutfreezercomp0__60L">Reference_Dropdowns2!$H$11:$H$22</definedName>
    <definedName name="_4.OffgridSDDrefrigerators_withoutfreezercomp30__60L">Reference_Dropdowns2!$I$11:$I$20</definedName>
    <definedName name="_4.OffgridSDDrefrigerators_withoutfreezercomp30_60L">Reference_Dropdowns2!$I$11:$I$20</definedName>
    <definedName name="_4.OffgridSDDrefrigerators_withoutfreezercomp60__120L">Reference_Dropdowns2!$I$11:$I$20</definedName>
    <definedName name="_4.OffgridSDDrefrigerators_withoutfreezercomp60__90L">Reference_Dropdowns2!$J$11:$J$18</definedName>
    <definedName name="_4.OffgridSDDrefrigerators_withoutfreezercomp60_90L">Reference_Dropdowns2!$J$11:$J$18</definedName>
    <definedName name="_4.OffgridSDDrefrigerators_withoutfreezercomp90__120L">Reference_Dropdowns2!$J$11:$J$18</definedName>
    <definedName name="_5.OffgridSDDrefrigerators_withfreezercomp">Reference_Dropdowns2!$E$3:$E$6</definedName>
    <definedName name="_5.OffgridSDDrefrigerators_withfreezercomp__120L" localSheetId="2">Reference_Dropdowns2!$M$11:$M$12</definedName>
    <definedName name="_5.OffgridSDDrefrigerators_withfreezercomp0__60L">Reference_Dropdowns2!$K$11:$K$22</definedName>
    <definedName name="_5.OffgridSDDrefrigerators_withfreezercomp60__120L">Reference_Dropdowns2!$L$11:$L$18</definedName>
    <definedName name="_6.OffgridSDDfreezer">Reference_Dropdowns2!$F$3:$F$6</definedName>
    <definedName name="_6.OffgridSDDfreezer__120L">Reference_Dropdowns2!$P$11:$P$12</definedName>
    <definedName name="_6.OffgridSDDfreezer0__60L">Reference_Dropdowns2!$N$11:$N$13</definedName>
    <definedName name="_6.OffgridSDDfreezer60__120L">Reference_Dropdowns2!$O$11:$O$12</definedName>
    <definedName name="_6.OngridILR_withoutfreezercomp">Reference_Dropdowns2!$A$3:$A$6</definedName>
    <definedName name="_6.OngridILR_withoutfreezercomp_120L">Reference_Dropdowns2!#REF!</definedName>
    <definedName name="_6.OngridILR_withoutfreezercomp_30L">Reference_Dropdowns2!#REF!</definedName>
    <definedName name="_6.OngridILR_withoutfreezercomp30__60L">Reference_Dropdowns2!$A$11:$A$16</definedName>
    <definedName name="_6.OngridILR_withoutfreezercomp60__90L">Reference_Dropdowns2!$B$11:$B$24</definedName>
    <definedName name="_6.OngridILR_withoutfreezercomp90__120L">Reference_Dropdowns2!$C$11:$C$22</definedName>
    <definedName name="_7.ExistingCCETemperaturemonitoringdevice_30DTR">Reference_Dropdowns2!$G$3:$G$4</definedName>
    <definedName name="_7.ExistingCCETemperaturemonitoringdevice_30DTRNA">Reference_Dropdowns2!$Q$11:$Q$15</definedName>
    <definedName name="_7.OngridILR_withfreezercomp">Reference_Dropdowns2!$B$3:$B$5</definedName>
    <definedName name="_7.OngridILR_withfreezercomp30__60L">Reference_Dropdowns2!$D$11:$D$17</definedName>
    <definedName name="_7.OngridILR_withfreezercomp60__90L">Reference_Dropdowns2!$E$11:$E$12</definedName>
    <definedName name="_8.Remotetemperaturemonitoringdevices_RTMDs">Reference_Dropdowns2!$H$3:$H$5</definedName>
    <definedName name="_8.Remotetemperaturemonitoringdevices_RTMDsRefrigerator">Reference_Dropdowns2!$S$11:$S$18</definedName>
    <definedName name="_8.Remotetemperaturemonitoringdevices_RTMDsWICR">Reference_Dropdowns2!$R$11:$R$16</definedName>
    <definedName name="_9.Longtermpassivedevices">Reference_Dropdowns2!$I$3:$I$4</definedName>
    <definedName name="_9.Longtermpassivedevices5__10L">Reference_Dropdowns2!$T$11:$T$12</definedName>
    <definedName name="_xlnm._FilterDatabase" localSheetId="3" hidden="1">'Specified CCE Model Price List'!$A$3:$O$222</definedName>
    <definedName name="Deleted">Reference_Dropdown1!$C$2:$C$17</definedName>
    <definedName name="equipmentwithnoservicecost">'Specified CCE Model Price List'!#REF!,'Specified CCE Model Price List'!#REF!</definedName>
    <definedName name="HBCD___90_spare_parts">Reference_Dropdowns2!$AA$11:$AA$15</definedName>
    <definedName name="typeofequipment">Reference_Dropdown1!$C$2:$C$24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0" i="12" l="1"/>
  <c r="AF7" i="3"/>
  <c r="AG7" i="3"/>
  <c r="AF8" i="3"/>
  <c r="AG8" i="3"/>
  <c r="AF9" i="3"/>
  <c r="AG9" i="3"/>
  <c r="AF10" i="3"/>
  <c r="AG10" i="3"/>
  <c r="AF11" i="3"/>
  <c r="AG11" i="3"/>
  <c r="AF12" i="3"/>
  <c r="AG12" i="3"/>
  <c r="AF13" i="3"/>
  <c r="AG13" i="3"/>
  <c r="AF14" i="3"/>
  <c r="AG14" i="3"/>
  <c r="AF15" i="3"/>
  <c r="AG15" i="3"/>
  <c r="AF16" i="3"/>
  <c r="AG16" i="3"/>
  <c r="AF17" i="3"/>
  <c r="AG17" i="3"/>
  <c r="AF18" i="3"/>
  <c r="AG18" i="3"/>
  <c r="AF19" i="3"/>
  <c r="AG19" i="3"/>
  <c r="AF20" i="3"/>
  <c r="AG20" i="3"/>
  <c r="AF21" i="3"/>
  <c r="AG21" i="3"/>
  <c r="AF22" i="3"/>
  <c r="AG22" i="3"/>
  <c r="AF23" i="3"/>
  <c r="AG23" i="3"/>
  <c r="AF24" i="3"/>
  <c r="AG24" i="3"/>
  <c r="AF25" i="3"/>
  <c r="AG25" i="3"/>
  <c r="AF26" i="3"/>
  <c r="AG26" i="3"/>
  <c r="AF27" i="3"/>
  <c r="AG27" i="3"/>
  <c r="AF28" i="3"/>
  <c r="AG28" i="3"/>
  <c r="AF29" i="3"/>
  <c r="AG29" i="3"/>
  <c r="AF30" i="3"/>
  <c r="AG30" i="3"/>
  <c r="AF31" i="3"/>
  <c r="AG31" i="3"/>
  <c r="AF32" i="3"/>
  <c r="AG32" i="3"/>
  <c r="AF33" i="3"/>
  <c r="AG33" i="3"/>
  <c r="AF34" i="3"/>
  <c r="AG34" i="3"/>
  <c r="AF35" i="3"/>
  <c r="AG35" i="3"/>
  <c r="AF36" i="3"/>
  <c r="AG36" i="3"/>
  <c r="AF37" i="3"/>
  <c r="AG37" i="3"/>
  <c r="AF38" i="3"/>
  <c r="AG38" i="3"/>
  <c r="S7" i="3"/>
  <c r="T7" i="3"/>
  <c r="S8" i="3"/>
  <c r="T8" i="3"/>
  <c r="S9" i="3"/>
  <c r="T9" i="3"/>
  <c r="S10" i="3"/>
  <c r="T10" i="3"/>
  <c r="S11" i="3"/>
  <c r="T11" i="3"/>
  <c r="S12" i="3"/>
  <c r="T12" i="3"/>
  <c r="S13" i="3"/>
  <c r="T13" i="3"/>
  <c r="S14" i="3"/>
  <c r="T14" i="3"/>
  <c r="S15" i="3"/>
  <c r="T15" i="3"/>
  <c r="S16" i="3"/>
  <c r="T16" i="3"/>
  <c r="S17" i="3"/>
  <c r="T17" i="3"/>
  <c r="S18" i="3"/>
  <c r="T18" i="3"/>
  <c r="S19" i="3"/>
  <c r="T19" i="3"/>
  <c r="S20" i="3"/>
  <c r="T20" i="3"/>
  <c r="S21" i="3"/>
  <c r="T21" i="3"/>
  <c r="S22" i="3"/>
  <c r="T22" i="3"/>
  <c r="S23" i="3"/>
  <c r="T23" i="3"/>
  <c r="S24" i="3"/>
  <c r="T24" i="3"/>
  <c r="S25" i="3"/>
  <c r="T25" i="3"/>
  <c r="S26" i="3"/>
  <c r="T26" i="3"/>
  <c r="S27" i="3"/>
  <c r="T27" i="3"/>
  <c r="S28" i="3"/>
  <c r="T28" i="3"/>
  <c r="S29" i="3"/>
  <c r="T29" i="3"/>
  <c r="S30" i="3"/>
  <c r="T30" i="3"/>
  <c r="S31" i="3"/>
  <c r="T31" i="3"/>
  <c r="S32" i="3"/>
  <c r="T32" i="3"/>
  <c r="S33" i="3"/>
  <c r="T33" i="3"/>
  <c r="S34" i="3"/>
  <c r="T34" i="3"/>
  <c r="S35" i="3"/>
  <c r="T35" i="3"/>
  <c r="S36" i="3"/>
  <c r="T36" i="3"/>
  <c r="S37" i="3"/>
  <c r="T37" i="3"/>
  <c r="S38" i="3"/>
  <c r="T38" i="3"/>
  <c r="D7" i="3"/>
  <c r="E7" i="3"/>
  <c r="F7" i="3"/>
  <c r="G7" i="3"/>
  <c r="D8" i="3"/>
  <c r="E8" i="3"/>
  <c r="F8" i="3"/>
  <c r="G8" i="3"/>
  <c r="D9" i="3"/>
  <c r="E9" i="3"/>
  <c r="F9" i="3"/>
  <c r="G9" i="3"/>
  <c r="D10" i="3"/>
  <c r="E10" i="3"/>
  <c r="F10" i="3"/>
  <c r="G10" i="3"/>
  <c r="D11" i="3"/>
  <c r="E11" i="3"/>
  <c r="F11" i="3"/>
  <c r="G11" i="3"/>
  <c r="D12" i="3"/>
  <c r="E12" i="3"/>
  <c r="F12" i="3"/>
  <c r="G12" i="3"/>
  <c r="D13" i="3"/>
  <c r="E13" i="3"/>
  <c r="F13" i="3"/>
  <c r="G13" i="3"/>
  <c r="D14" i="3"/>
  <c r="E14" i="3"/>
  <c r="F14" i="3"/>
  <c r="G14" i="3"/>
  <c r="D15" i="3"/>
  <c r="E15" i="3"/>
  <c r="F15" i="3"/>
  <c r="G15" i="3"/>
  <c r="D16" i="3"/>
  <c r="E16" i="3"/>
  <c r="F16" i="3"/>
  <c r="G16" i="3"/>
  <c r="D17" i="3"/>
  <c r="E17" i="3"/>
  <c r="F17" i="3"/>
  <c r="G17" i="3"/>
  <c r="D18" i="3"/>
  <c r="E18" i="3"/>
  <c r="F18" i="3"/>
  <c r="G18" i="3"/>
  <c r="D19" i="3"/>
  <c r="E19" i="3"/>
  <c r="F19" i="3"/>
  <c r="G19" i="3"/>
  <c r="D20" i="3"/>
  <c r="E20" i="3"/>
  <c r="F20" i="3"/>
  <c r="G20" i="3"/>
  <c r="D21" i="3"/>
  <c r="E21" i="3"/>
  <c r="F21" i="3"/>
  <c r="G21" i="3"/>
  <c r="D22" i="3"/>
  <c r="E22" i="3"/>
  <c r="F22" i="3"/>
  <c r="G22" i="3"/>
  <c r="D23" i="3"/>
  <c r="E23" i="3"/>
  <c r="F23" i="3"/>
  <c r="G23" i="3"/>
  <c r="D24" i="3"/>
  <c r="E24" i="3"/>
  <c r="F24" i="3"/>
  <c r="G24" i="3"/>
  <c r="D25" i="3"/>
  <c r="E25" i="3"/>
  <c r="F25" i="3"/>
  <c r="G25" i="3"/>
  <c r="D26" i="3"/>
  <c r="E26" i="3"/>
  <c r="F26" i="3"/>
  <c r="G26" i="3"/>
  <c r="D27" i="3"/>
  <c r="E27" i="3"/>
  <c r="F27" i="3"/>
  <c r="G27" i="3"/>
  <c r="D28" i="3"/>
  <c r="E28" i="3"/>
  <c r="F28" i="3"/>
  <c r="G28" i="3"/>
  <c r="D29" i="3"/>
  <c r="E29" i="3"/>
  <c r="F29" i="3"/>
  <c r="G29" i="3"/>
  <c r="D30" i="3"/>
  <c r="E30" i="3"/>
  <c r="F30" i="3"/>
  <c r="G30" i="3"/>
  <c r="D31" i="3"/>
  <c r="E31" i="3"/>
  <c r="F31" i="3"/>
  <c r="G31" i="3"/>
  <c r="D32" i="3"/>
  <c r="E32" i="3"/>
  <c r="F32" i="3"/>
  <c r="G32" i="3"/>
  <c r="D33" i="3"/>
  <c r="E33" i="3"/>
  <c r="F33" i="3"/>
  <c r="G33" i="3"/>
  <c r="D34" i="3"/>
  <c r="E34" i="3"/>
  <c r="F34" i="3"/>
  <c r="G34" i="3"/>
  <c r="D35" i="3"/>
  <c r="E35" i="3"/>
  <c r="F35" i="3"/>
  <c r="G35" i="3"/>
  <c r="D36" i="3"/>
  <c r="E36" i="3"/>
  <c r="F36" i="3"/>
  <c r="G36" i="3"/>
  <c r="D37" i="3"/>
  <c r="E37" i="3"/>
  <c r="F37" i="3"/>
  <c r="G37" i="3"/>
  <c r="D38" i="3"/>
  <c r="E38" i="3"/>
  <c r="F38" i="3"/>
  <c r="G38" i="3"/>
  <c r="AG6" i="3"/>
  <c r="AF6" i="3"/>
  <c r="T6" i="3"/>
  <c r="S6" i="3"/>
  <c r="G6" i="3"/>
  <c r="F6" i="3"/>
  <c r="E6" i="3"/>
  <c r="D6" i="3"/>
  <c r="N148" i="2"/>
  <c r="O148" i="2"/>
  <c r="N149" i="2"/>
  <c r="O149" i="2"/>
  <c r="N150" i="2"/>
  <c r="O150" i="2"/>
  <c r="N151" i="2"/>
  <c r="O151" i="2"/>
  <c r="N152" i="2"/>
  <c r="O152" i="2"/>
  <c r="N153" i="2"/>
  <c r="O153" i="2"/>
  <c r="N154" i="2"/>
  <c r="O154" i="2"/>
  <c r="N155" i="2"/>
  <c r="O155" i="2"/>
  <c r="N156" i="2"/>
  <c r="O156" i="2"/>
  <c r="N157" i="2"/>
  <c r="O157" i="2"/>
  <c r="N158" i="2"/>
  <c r="O158" i="2"/>
  <c r="N159" i="2"/>
  <c r="O159" i="2"/>
  <c r="N160" i="2"/>
  <c r="O160" i="2"/>
  <c r="N161" i="2"/>
  <c r="O161" i="2"/>
  <c r="N162" i="2"/>
  <c r="O162" i="2"/>
  <c r="N163" i="2"/>
  <c r="O163" i="2"/>
  <c r="N164" i="2"/>
  <c r="O164" i="2"/>
  <c r="N165" i="2"/>
  <c r="O165" i="2"/>
  <c r="N166" i="2"/>
  <c r="O166" i="2"/>
  <c r="N167" i="2"/>
  <c r="O167" i="2"/>
  <c r="N168" i="2"/>
  <c r="O168" i="2"/>
  <c r="N169" i="2"/>
  <c r="O169" i="2"/>
  <c r="N170" i="2"/>
  <c r="O170" i="2"/>
  <c r="N171" i="2"/>
  <c r="O171" i="2"/>
  <c r="N172" i="2"/>
  <c r="O172" i="2"/>
  <c r="N173" i="2"/>
  <c r="O173" i="2"/>
  <c r="N174" i="2"/>
  <c r="O174" i="2"/>
  <c r="N175" i="2"/>
  <c r="O175" i="2"/>
  <c r="N176" i="2"/>
  <c r="O176" i="2"/>
  <c r="N177" i="2"/>
  <c r="O177" i="2"/>
  <c r="N178" i="2"/>
  <c r="O178" i="2"/>
  <c r="N179" i="2"/>
  <c r="O179" i="2"/>
  <c r="N180" i="2"/>
  <c r="O180" i="2"/>
  <c r="N181" i="2"/>
  <c r="O181" i="2"/>
  <c r="N182" i="2"/>
  <c r="O182" i="2"/>
  <c r="N183" i="2"/>
  <c r="O183" i="2"/>
  <c r="N184" i="2"/>
  <c r="O184" i="2"/>
  <c r="N185" i="2"/>
  <c r="O185" i="2"/>
  <c r="N186" i="2"/>
  <c r="O186" i="2"/>
  <c r="N187" i="2"/>
  <c r="O187" i="2"/>
  <c r="N188" i="2"/>
  <c r="O188" i="2"/>
  <c r="N189" i="2"/>
  <c r="O189" i="2"/>
  <c r="N190" i="2"/>
  <c r="O190" i="2"/>
  <c r="N191" i="2"/>
  <c r="O191" i="2"/>
  <c r="N192" i="2"/>
  <c r="O192" i="2"/>
  <c r="N193" i="2"/>
  <c r="O193" i="2"/>
  <c r="N194" i="2"/>
  <c r="O194" i="2"/>
  <c r="N195" i="2"/>
  <c r="O195" i="2"/>
  <c r="N196" i="2"/>
  <c r="O196" i="2"/>
  <c r="N197" i="2"/>
  <c r="O197" i="2"/>
  <c r="N198" i="2"/>
  <c r="O198" i="2"/>
  <c r="N199" i="2"/>
  <c r="O199" i="2"/>
  <c r="N200" i="2"/>
  <c r="O200" i="2"/>
  <c r="N201" i="2"/>
  <c r="O201" i="2"/>
  <c r="N202" i="2"/>
  <c r="O202" i="2"/>
  <c r="N203" i="2"/>
  <c r="O203" i="2"/>
  <c r="N204" i="2"/>
  <c r="O204" i="2"/>
  <c r="N205" i="2"/>
  <c r="O205" i="2"/>
  <c r="N206" i="2"/>
  <c r="O206" i="2"/>
  <c r="N207" i="2"/>
  <c r="O207" i="2"/>
  <c r="N208" i="2"/>
  <c r="O208" i="2"/>
  <c r="N209" i="2"/>
  <c r="O209" i="2"/>
  <c r="N210" i="2"/>
  <c r="O210" i="2"/>
  <c r="N211" i="2"/>
  <c r="O211" i="2"/>
  <c r="N212" i="2"/>
  <c r="O212" i="2"/>
  <c r="N213" i="2"/>
  <c r="O213" i="2"/>
  <c r="N214" i="2"/>
  <c r="O214" i="2"/>
  <c r="N215" i="2"/>
  <c r="O215" i="2"/>
  <c r="N216" i="2"/>
  <c r="O216" i="2"/>
  <c r="N217" i="2"/>
  <c r="O217" i="2"/>
  <c r="N218" i="2"/>
  <c r="O218" i="2"/>
  <c r="N219" i="2"/>
  <c r="O219" i="2"/>
  <c r="N220" i="2"/>
  <c r="O220" i="2"/>
  <c r="N221" i="2"/>
  <c r="O221" i="2"/>
  <c r="N222" i="2"/>
  <c r="O222" i="2"/>
  <c r="N223" i="2"/>
  <c r="O223" i="2"/>
  <c r="N224" i="2"/>
  <c r="O224" i="2"/>
  <c r="N225" i="2"/>
  <c r="O225" i="2"/>
  <c r="A223" i="2"/>
  <c r="A224" i="2"/>
  <c r="A225" i="2"/>
  <c r="AH10" i="12"/>
  <c r="F23" i="11"/>
  <c r="C23" i="11"/>
  <c r="I86" i="2" l="1"/>
  <c r="I210" i="2" l="1"/>
  <c r="I204" i="2"/>
  <c r="I203" i="2"/>
  <c r="I202" i="2"/>
  <c r="I200" i="2"/>
  <c r="I199" i="2"/>
  <c r="I197" i="2"/>
  <c r="I195" i="2"/>
  <c r="I194" i="2"/>
  <c r="I192" i="2"/>
  <c r="I191" i="2"/>
  <c r="I189" i="2"/>
  <c r="I188" i="2"/>
  <c r="I187" i="2"/>
  <c r="I184" i="2"/>
  <c r="I183" i="2"/>
  <c r="I181" i="2"/>
  <c r="I177" i="2"/>
  <c r="I175" i="2"/>
  <c r="I173" i="2"/>
  <c r="I170" i="2"/>
  <c r="I168" i="2"/>
  <c r="I167" i="2"/>
  <c r="I164" i="2"/>
  <c r="I163" i="2"/>
  <c r="I160" i="2"/>
  <c r="I159" i="2"/>
  <c r="I156" i="2"/>
  <c r="I155" i="2"/>
  <c r="I154" i="2"/>
  <c r="I151" i="2"/>
  <c r="I148" i="2"/>
  <c r="I146" i="2"/>
  <c r="I127" i="2"/>
  <c r="I104" i="2"/>
  <c r="I102" i="2"/>
  <c r="I101" i="2"/>
  <c r="I100" i="2"/>
  <c r="I99" i="2"/>
  <c r="I98" i="2"/>
  <c r="I97" i="2"/>
  <c r="I94" i="2"/>
  <c r="I89" i="2"/>
  <c r="I88" i="2"/>
  <c r="I87" i="2"/>
  <c r="I83" i="2"/>
  <c r="I82" i="2"/>
  <c r="I79" i="2"/>
  <c r="I78" i="2"/>
  <c r="I77" i="2"/>
  <c r="I76" i="2"/>
  <c r="I75" i="2"/>
  <c r="I70" i="2"/>
  <c r="I69" i="2"/>
  <c r="I68" i="2"/>
  <c r="I67" i="2"/>
  <c r="I64" i="2"/>
  <c r="I63" i="2"/>
  <c r="I56" i="2"/>
  <c r="I55" i="2"/>
  <c r="I54" i="2"/>
  <c r="I49" i="2"/>
  <c r="I48" i="2"/>
  <c r="I41" i="2"/>
  <c r="I40" i="2"/>
  <c r="I39" i="2"/>
  <c r="I34" i="2"/>
  <c r="I33" i="2"/>
  <c r="I32" i="2"/>
  <c r="I27" i="2"/>
  <c r="I26" i="2"/>
  <c r="I25" i="2"/>
  <c r="I24" i="2"/>
  <c r="I19" i="2"/>
  <c r="I18" i="2"/>
  <c r="I17" i="2"/>
  <c r="I16" i="2"/>
  <c r="I15" i="2"/>
  <c r="I8" i="2"/>
  <c r="I7" i="2"/>
  <c r="I4" i="2"/>
  <c r="E200" i="2" l="1"/>
  <c r="E184" i="2"/>
  <c r="E167" i="2"/>
  <c r="E194" i="2"/>
  <c r="E149" i="2" l="1"/>
  <c r="D149" i="2"/>
  <c r="N5" i="2"/>
  <c r="O5" i="2" s="1"/>
  <c r="N9" i="2"/>
  <c r="O9" i="2" s="1"/>
  <c r="I10" i="2"/>
  <c r="N10" i="2" s="1"/>
  <c r="O10" i="2" s="1"/>
  <c r="N118" i="2" l="1"/>
  <c r="O118" i="2"/>
  <c r="N115" i="2"/>
  <c r="I91" i="2"/>
  <c r="I72" i="2"/>
  <c r="I58" i="2"/>
  <c r="I53" i="2"/>
  <c r="I38" i="2"/>
  <c r="I31" i="2"/>
  <c r="I21" i="2"/>
  <c r="I14" i="2"/>
  <c r="I6" i="2"/>
  <c r="I29" i="2"/>
  <c r="I36" i="2"/>
  <c r="I43" i="2"/>
  <c r="I60" i="2"/>
  <c r="N67" i="2" l="1"/>
  <c r="O67" i="2" s="1"/>
  <c r="E193" i="2" l="1"/>
  <c r="E192" i="2"/>
  <c r="E205" i="2" l="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R97" i="2" l="1"/>
  <c r="N42" i="2" l="1"/>
  <c r="O42" i="2" s="1"/>
  <c r="N147" i="2"/>
  <c r="O147" i="2"/>
  <c r="N141" i="2"/>
  <c r="O141" i="2"/>
  <c r="N146" i="2"/>
  <c r="W10" i="12"/>
  <c r="N129" i="2"/>
  <c r="O129" i="2"/>
  <c r="N124" i="2"/>
  <c r="O124" i="2"/>
  <c r="N127" i="2"/>
  <c r="N133" i="2"/>
  <c r="O133" i="2"/>
  <c r="N134" i="2"/>
  <c r="O134" i="2"/>
  <c r="N135" i="2"/>
  <c r="O135" i="2"/>
  <c r="N136" i="2"/>
  <c r="O136" i="2"/>
  <c r="N137" i="2"/>
  <c r="O137" i="2"/>
  <c r="N138" i="2"/>
  <c r="O138" i="2"/>
  <c r="N139" i="2"/>
  <c r="O139" i="2"/>
  <c r="N140" i="2"/>
  <c r="O140" i="2"/>
  <c r="N142" i="2"/>
  <c r="O142" i="2"/>
  <c r="N143" i="2"/>
  <c r="O143" i="2"/>
  <c r="N144" i="2"/>
  <c r="O144" i="2"/>
  <c r="N145" i="2"/>
  <c r="O145" i="2"/>
  <c r="N120" i="2"/>
  <c r="O120" i="2"/>
  <c r="N121" i="2"/>
  <c r="O121" i="2"/>
  <c r="N122" i="2"/>
  <c r="O122" i="2"/>
  <c r="N123" i="2"/>
  <c r="O123" i="2"/>
  <c r="N125" i="2"/>
  <c r="O125" i="2"/>
  <c r="N126" i="2"/>
  <c r="O126" i="2"/>
  <c r="N128" i="2"/>
  <c r="O128" i="2"/>
  <c r="N130" i="2"/>
  <c r="O130" i="2"/>
  <c r="N131" i="2"/>
  <c r="O131" i="2"/>
  <c r="N132" i="2"/>
  <c r="O132" i="2"/>
  <c r="N119" i="2"/>
  <c r="O119" i="2"/>
  <c r="N106" i="2"/>
  <c r="O106" i="2"/>
  <c r="N107" i="2"/>
  <c r="O107" i="2"/>
  <c r="N108" i="2"/>
  <c r="O108" i="2"/>
  <c r="N105" i="2"/>
  <c r="O127" i="2" l="1"/>
  <c r="O146" i="2"/>
  <c r="E202" i="2" l="1"/>
  <c r="D201" i="2"/>
  <c r="E201" i="2"/>
  <c r="D202" i="2"/>
  <c r="D150" i="2"/>
  <c r="Q10" i="12"/>
  <c r="P10" i="12"/>
  <c r="G10" i="12"/>
  <c r="O10" i="12"/>
  <c r="N10" i="12"/>
  <c r="M10" i="12"/>
  <c r="L10" i="12"/>
  <c r="E10" i="12"/>
  <c r="A10" i="12"/>
  <c r="I51" i="2"/>
  <c r="I45" i="2"/>
  <c r="N11" i="2"/>
  <c r="O11" i="2" s="1"/>
  <c r="E176" i="2"/>
  <c r="N53" i="2"/>
  <c r="O53" i="2" s="1"/>
  <c r="E175" i="2"/>
  <c r="N15" i="2"/>
  <c r="N4" i="2"/>
  <c r="O4" i="2" s="1"/>
  <c r="I93" i="2"/>
  <c r="N93" i="2" s="1"/>
  <c r="O93" i="2" s="1"/>
  <c r="N92" i="2"/>
  <c r="O92" i="2" s="1"/>
  <c r="I47" i="2"/>
  <c r="N43" i="2"/>
  <c r="N101" i="2" l="1"/>
  <c r="O101" i="2" s="1"/>
  <c r="N75" i="2"/>
  <c r="O104" i="2"/>
  <c r="N41" i="2"/>
  <c r="O41" i="2" s="1"/>
  <c r="N104" i="2"/>
  <c r="D178" i="2"/>
  <c r="U10" i="12"/>
  <c r="T10" i="12"/>
  <c r="AM40" i="3" l="1"/>
  <c r="AK40" i="3"/>
  <c r="AA40" i="3"/>
  <c r="Y40" i="3"/>
  <c r="AO6" i="3"/>
  <c r="V10" i="12" l="1"/>
  <c r="AG10" i="12" l="1"/>
  <c r="C2" i="11" l="1"/>
  <c r="E203" i="2"/>
  <c r="D204" i="2"/>
  <c r="D203" i="2"/>
  <c r="D200" i="2"/>
  <c r="E191" i="2"/>
  <c r="E190" i="2"/>
  <c r="E189" i="2"/>
  <c r="E188" i="2"/>
  <c r="E187" i="2"/>
  <c r="E186" i="2"/>
  <c r="E185" i="2"/>
  <c r="E183" i="2"/>
  <c r="E182" i="2"/>
  <c r="E181" i="2"/>
  <c r="E180" i="2"/>
  <c r="E179" i="2"/>
  <c r="E178" i="2"/>
  <c r="E177" i="2"/>
  <c r="D194" i="2"/>
  <c r="D164" i="2" l="1"/>
  <c r="D163" i="2"/>
  <c r="D162" i="2"/>
  <c r="D161" i="2"/>
  <c r="D160" i="2"/>
  <c r="D159" i="2"/>
  <c r="D158" i="2"/>
  <c r="D157" i="2"/>
  <c r="D156" i="2"/>
  <c r="D155" i="2"/>
  <c r="D154" i="2"/>
  <c r="D153" i="2"/>
  <c r="D152" i="2"/>
  <c r="D151" i="2"/>
  <c r="D148" i="2"/>
  <c r="E174" i="2"/>
  <c r="E173" i="2"/>
  <c r="E172" i="2"/>
  <c r="E171" i="2"/>
  <c r="E170" i="2"/>
  <c r="E169" i="2"/>
  <c r="E168" i="2"/>
  <c r="E166" i="2"/>
  <c r="E165" i="2"/>
  <c r="E164" i="2"/>
  <c r="E163" i="2"/>
  <c r="E162" i="2"/>
  <c r="E161" i="2"/>
  <c r="E160" i="2"/>
  <c r="E159" i="2"/>
  <c r="E158" i="2"/>
  <c r="E157" i="2"/>
  <c r="E156" i="2"/>
  <c r="E155" i="2"/>
  <c r="E154" i="2"/>
  <c r="E153" i="2"/>
  <c r="E152" i="2"/>
  <c r="E151" i="2"/>
  <c r="E150" i="2"/>
  <c r="E148" i="2"/>
  <c r="N40" i="3"/>
  <c r="L40" i="3"/>
  <c r="P6" i="3" l="1"/>
  <c r="P10" i="3"/>
  <c r="N99" i="2"/>
  <c r="O99" i="2" s="1"/>
  <c r="N100" i="2"/>
  <c r="O100" i="2" s="1"/>
  <c r="N95" i="2"/>
  <c r="O95" i="2" s="1"/>
  <c r="I96" i="2"/>
  <c r="N97" i="2"/>
  <c r="O97" i="2" s="1"/>
  <c r="N98" i="2"/>
  <c r="O98" i="2" s="1"/>
  <c r="N94" i="2"/>
  <c r="O94" i="2" s="1"/>
  <c r="N90" i="2"/>
  <c r="O90" i="2" s="1"/>
  <c r="N91" i="2"/>
  <c r="O91" i="2" s="1"/>
  <c r="N86" i="2"/>
  <c r="O86" i="2" s="1"/>
  <c r="N87" i="2"/>
  <c r="O87" i="2" s="1"/>
  <c r="N84" i="2"/>
  <c r="O84" i="2" s="1"/>
  <c r="I85" i="2"/>
  <c r="N85" i="2" s="1"/>
  <c r="O85" i="2" s="1"/>
  <c r="N88" i="2"/>
  <c r="O88" i="2" s="1"/>
  <c r="N89" i="2"/>
  <c r="O89" i="2" s="1"/>
  <c r="N83" i="2"/>
  <c r="O83" i="2" s="1"/>
  <c r="N82" i="2"/>
  <c r="O82" i="2" s="1"/>
  <c r="N78" i="2"/>
  <c r="O78" i="2" s="1"/>
  <c r="N79" i="2"/>
  <c r="O79" i="2" s="1"/>
  <c r="N76" i="2"/>
  <c r="O76" i="2" s="1"/>
  <c r="O75" i="2"/>
  <c r="N69" i="2"/>
  <c r="O69" i="2" s="1"/>
  <c r="N70" i="2"/>
  <c r="O70" i="2" s="1"/>
  <c r="N71" i="2"/>
  <c r="O71" i="2" s="1"/>
  <c r="N72" i="2"/>
  <c r="O72" i="2" s="1"/>
  <c r="N73" i="2"/>
  <c r="O73" i="2" s="1"/>
  <c r="I74" i="2"/>
  <c r="N74" i="2" s="1"/>
  <c r="O74" i="2" s="1"/>
  <c r="N80" i="2"/>
  <c r="O80" i="2" s="1"/>
  <c r="I81" i="2"/>
  <c r="N81" i="2" s="1"/>
  <c r="O81" i="2" s="1"/>
  <c r="N68" i="2"/>
  <c r="O68" i="2" s="1"/>
  <c r="N57" i="2"/>
  <c r="O57" i="2" s="1"/>
  <c r="N58" i="2"/>
  <c r="O58" i="2" s="1"/>
  <c r="N63" i="2"/>
  <c r="O63" i="2" s="1"/>
  <c r="N64" i="2"/>
  <c r="O64" i="2" s="1"/>
  <c r="N65" i="2"/>
  <c r="O65" i="2" s="1"/>
  <c r="I66" i="2"/>
  <c r="N66" i="2" s="1"/>
  <c r="O66" i="2" s="1"/>
  <c r="N56" i="2"/>
  <c r="O56" i="2" s="1"/>
  <c r="N59" i="2"/>
  <c r="O59" i="2" s="1"/>
  <c r="N60" i="2"/>
  <c r="O60" i="2" s="1"/>
  <c r="N52" i="2"/>
  <c r="O52" i="2" s="1"/>
  <c r="N50" i="2"/>
  <c r="O50" i="2" s="1"/>
  <c r="N51" i="2"/>
  <c r="O51" i="2" s="1"/>
  <c r="N48" i="2"/>
  <c r="O48" i="2" s="1"/>
  <c r="N49" i="2"/>
  <c r="O49" i="2" s="1"/>
  <c r="N46" i="2"/>
  <c r="O46" i="2" s="1"/>
  <c r="N44" i="2"/>
  <c r="O44" i="2" s="1"/>
  <c r="N45" i="2"/>
  <c r="O45" i="2" s="1"/>
  <c r="N54" i="2"/>
  <c r="O54" i="2" s="1"/>
  <c r="N55" i="2"/>
  <c r="O55" i="2" s="1"/>
  <c r="N39" i="2"/>
  <c r="O39" i="2" s="1"/>
  <c r="N40" i="2"/>
  <c r="O40" i="2" s="1"/>
  <c r="N37" i="2"/>
  <c r="O37" i="2" s="1"/>
  <c r="N38" i="2"/>
  <c r="O38" i="2" s="1"/>
  <c r="N35" i="2"/>
  <c r="O35" i="2" s="1"/>
  <c r="N36" i="2"/>
  <c r="O36" i="2" s="1"/>
  <c r="N33" i="2"/>
  <c r="O33" i="2" s="1"/>
  <c r="N34" i="2"/>
  <c r="O34" i="2" s="1"/>
  <c r="N31" i="2"/>
  <c r="O31" i="2" s="1"/>
  <c r="N30" i="2"/>
  <c r="O30" i="2" s="1"/>
  <c r="N29" i="2"/>
  <c r="O29" i="2" s="1"/>
  <c r="N32" i="2"/>
  <c r="O32" i="2" s="1"/>
  <c r="N26" i="2"/>
  <c r="O26" i="2" s="1"/>
  <c r="N25" i="2"/>
  <c r="O25" i="2" s="1"/>
  <c r="N24" i="2"/>
  <c r="O24" i="2" s="1"/>
  <c r="N18" i="2"/>
  <c r="O18" i="2" s="1"/>
  <c r="N19" i="2"/>
  <c r="O19" i="2" s="1"/>
  <c r="N22" i="2"/>
  <c r="O22" i="2" s="1"/>
  <c r="I23" i="2"/>
  <c r="N23" i="2" s="1"/>
  <c r="O23" i="2" s="1"/>
  <c r="N20" i="2"/>
  <c r="O20" i="2" s="1"/>
  <c r="N21" i="2"/>
  <c r="O21" i="2" s="1"/>
  <c r="N16" i="2"/>
  <c r="O16" i="2" s="1"/>
  <c r="N17" i="2"/>
  <c r="O17" i="2" s="1"/>
  <c r="O15" i="2"/>
  <c r="N13" i="2"/>
  <c r="O13" i="2" s="1"/>
  <c r="I12" i="2"/>
  <c r="N12" i="2" s="1"/>
  <c r="O12" i="2" s="1"/>
  <c r="N8" i="2"/>
  <c r="O8" i="2" s="1"/>
  <c r="N7" i="2"/>
  <c r="O7" i="2" s="1"/>
  <c r="N6" i="2"/>
  <c r="O6" i="2" s="1"/>
  <c r="AO7" i="3"/>
  <c r="AO8" i="3"/>
  <c r="AO9" i="3"/>
  <c r="AO10"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37" i="3"/>
  <c r="AO38"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6" i="3"/>
  <c r="C34" i="11"/>
  <c r="C35" i="11" s="1"/>
  <c r="C36" i="11" s="1"/>
  <c r="C37" i="11" s="1"/>
  <c r="C38" i="11" s="1"/>
  <c r="C39" i="11" s="1"/>
  <c r="C40" i="11" s="1"/>
  <c r="C41" i="11" s="1"/>
  <c r="C42" i="11" s="1"/>
  <c r="C43" i="11" s="1"/>
  <c r="P8" i="3"/>
  <c r="P9"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7" i="3"/>
  <c r="O43" i="2" l="1"/>
  <c r="N14" i="2"/>
  <c r="O14" i="2" s="1"/>
  <c r="N27" i="2"/>
  <c r="O27" i="2" s="1"/>
  <c r="N47" i="2"/>
  <c r="O47" i="2" s="1"/>
  <c r="N77" i="2"/>
  <c r="O77" i="2" s="1"/>
  <c r="N96" i="2"/>
  <c r="O96" i="2" s="1"/>
  <c r="D195" i="2" l="1"/>
  <c r="E195" i="2"/>
  <c r="D196" i="2"/>
  <c r="E196" i="2"/>
  <c r="D197" i="2"/>
  <c r="E197" i="2"/>
  <c r="D198" i="2"/>
  <c r="E198" i="2"/>
  <c r="D199" i="2"/>
  <c r="E199" i="2"/>
  <c r="E204" i="2"/>
  <c r="J10" i="12"/>
  <c r="I10" i="12"/>
  <c r="H10" i="12"/>
  <c r="I9" i="3" l="1"/>
  <c r="I38" i="3"/>
  <c r="I37" i="3"/>
  <c r="U23" i="3"/>
  <c r="AH23" i="3"/>
  <c r="U22" i="3"/>
  <c r="U7" i="3"/>
  <c r="AH8" i="3"/>
  <c r="AH24" i="3"/>
  <c r="U17" i="3"/>
  <c r="U33" i="3"/>
  <c r="AH13" i="3"/>
  <c r="AH29" i="3"/>
  <c r="U26" i="3"/>
  <c r="AH11" i="3"/>
  <c r="U12" i="3"/>
  <c r="AH18" i="3"/>
  <c r="AH34" i="3"/>
  <c r="U19" i="3"/>
  <c r="AH7" i="3"/>
  <c r="U16" i="3"/>
  <c r="U35" i="3"/>
  <c r="AH12" i="3"/>
  <c r="AH28" i="3"/>
  <c r="U21" i="3"/>
  <c r="U37" i="3"/>
  <c r="AH17" i="3"/>
  <c r="AH33" i="3"/>
  <c r="U10" i="3"/>
  <c r="U30" i="3"/>
  <c r="AH15" i="3"/>
  <c r="U24" i="3"/>
  <c r="AH22" i="3"/>
  <c r="AH38" i="3"/>
  <c r="U27" i="3"/>
  <c r="AH19" i="3"/>
  <c r="U20" i="3"/>
  <c r="U15" i="3"/>
  <c r="AH31" i="3"/>
  <c r="AH16" i="3"/>
  <c r="AH32" i="3"/>
  <c r="U9" i="3"/>
  <c r="U25" i="3"/>
  <c r="U28" i="3"/>
  <c r="AH21" i="3"/>
  <c r="AH37" i="3"/>
  <c r="U14" i="3"/>
  <c r="U34" i="3"/>
  <c r="AH35" i="3"/>
  <c r="U32" i="3"/>
  <c r="AH10" i="3"/>
  <c r="AH26" i="3"/>
  <c r="U11" i="3"/>
  <c r="U31" i="3"/>
  <c r="AH27" i="3"/>
  <c r="U36" i="3"/>
  <c r="AH20" i="3"/>
  <c r="AH36" i="3"/>
  <c r="U13" i="3"/>
  <c r="U29" i="3"/>
  <c r="AH9" i="3"/>
  <c r="AH25" i="3"/>
  <c r="U18" i="3"/>
  <c r="U38" i="3"/>
  <c r="U8" i="3"/>
  <c r="AH14" i="3"/>
  <c r="AH30" i="3"/>
  <c r="AF40" i="3"/>
  <c r="AG40" i="3"/>
  <c r="AH40" i="3" s="1"/>
  <c r="T40" i="3"/>
  <c r="U40" i="3" s="1"/>
  <c r="S40" i="3"/>
  <c r="S10" i="12"/>
  <c r="R10" i="12"/>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40" i="3"/>
  <c r="V6" i="3"/>
  <c r="AF10" i="12"/>
  <c r="AE10" i="12"/>
  <c r="AD10" i="12"/>
  <c r="AC10" i="12"/>
  <c r="AB10" i="12"/>
  <c r="AA10" i="12"/>
  <c r="Z10" i="12"/>
  <c r="Y10" i="12"/>
  <c r="X10" i="12"/>
  <c r="K10" i="12"/>
  <c r="F10" i="12"/>
  <c r="D10" i="12"/>
  <c r="C10" i="12"/>
  <c r="B10" i="12"/>
  <c r="A3" i="11"/>
  <c r="A4" i="11" s="1"/>
  <c r="A5" i="11" s="1"/>
  <c r="A6" i="11" s="1"/>
  <c r="A7" i="11" s="1"/>
  <c r="A8" i="11" s="1"/>
  <c r="A9" i="11" s="1"/>
  <c r="A10" i="11" s="1"/>
  <c r="D10" i="8" l="1"/>
  <c r="E10" i="8"/>
  <c r="C10" i="8"/>
  <c r="C10" i="11"/>
  <c r="F10" i="11" s="1"/>
  <c r="A11" i="11"/>
  <c r="A12" i="11" s="1"/>
  <c r="A13" i="11" s="1"/>
  <c r="A14" i="11" s="1"/>
  <c r="A15" i="11" s="1"/>
  <c r="A16" i="11" s="1"/>
  <c r="A17" i="11" s="1"/>
  <c r="A18" i="11" s="1"/>
  <c r="A19" i="11" s="1"/>
  <c r="A20" i="11" s="1"/>
  <c r="A21" i="11" s="1"/>
  <c r="A22" i="11" s="1"/>
  <c r="AD9" i="3"/>
  <c r="AP9" i="3"/>
  <c r="AD38" i="3"/>
  <c r="AP38" i="3"/>
  <c r="AD37" i="3"/>
  <c r="AP37" i="3"/>
  <c r="R53" i="3"/>
  <c r="S53" i="3"/>
  <c r="P53" i="3"/>
  <c r="O9" i="3"/>
  <c r="Q9" i="3"/>
  <c r="AL37" i="3"/>
  <c r="AB37" i="3"/>
  <c r="AJ37" i="3"/>
  <c r="X37" i="3"/>
  <c r="AN37" i="3"/>
  <c r="Z37" i="3"/>
  <c r="AL21" i="3"/>
  <c r="Z21" i="3"/>
  <c r="AB21" i="3"/>
  <c r="AJ21" i="3"/>
  <c r="AN21" i="3"/>
  <c r="X21" i="3"/>
  <c r="AJ32" i="3"/>
  <c r="Z32" i="3"/>
  <c r="AL32" i="3"/>
  <c r="AB32" i="3"/>
  <c r="AN32" i="3"/>
  <c r="X32" i="3"/>
  <c r="AJ16" i="3"/>
  <c r="AL16" i="3"/>
  <c r="AB16" i="3"/>
  <c r="AN16" i="3"/>
  <c r="Z16" i="3"/>
  <c r="X16" i="3"/>
  <c r="AJ31" i="3"/>
  <c r="Z31" i="3"/>
  <c r="AN31" i="3"/>
  <c r="X31" i="3"/>
  <c r="AL31" i="3"/>
  <c r="AB31" i="3"/>
  <c r="AB15" i="3"/>
  <c r="AJ15" i="3"/>
  <c r="Z15" i="3"/>
  <c r="AN15" i="3"/>
  <c r="X15" i="3"/>
  <c r="AL15" i="3"/>
  <c r="AL30" i="3"/>
  <c r="X30" i="3"/>
  <c r="AJ30" i="3"/>
  <c r="AB30" i="3"/>
  <c r="AN30" i="3"/>
  <c r="Z30" i="3"/>
  <c r="AL14" i="3"/>
  <c r="X14" i="3"/>
  <c r="AJ14" i="3"/>
  <c r="AB14" i="3"/>
  <c r="AN14" i="3"/>
  <c r="Z14" i="3"/>
  <c r="Z33" i="3"/>
  <c r="AJ33" i="3"/>
  <c r="X33" i="3"/>
  <c r="AN33" i="3"/>
  <c r="AL33" i="3"/>
  <c r="AB33" i="3"/>
  <c r="Z17" i="3"/>
  <c r="AN17" i="3"/>
  <c r="X17" i="3"/>
  <c r="AL17" i="3"/>
  <c r="AJ17" i="3"/>
  <c r="AB17" i="3"/>
  <c r="Z28" i="3"/>
  <c r="AL28" i="3"/>
  <c r="X28" i="3"/>
  <c r="AJ28" i="3"/>
  <c r="AB28" i="3"/>
  <c r="AN28" i="3"/>
  <c r="Z12" i="3"/>
  <c r="AL12" i="3"/>
  <c r="X12" i="3"/>
  <c r="AJ12" i="3"/>
  <c r="AN12" i="3"/>
  <c r="AB12" i="3"/>
  <c r="AB27" i="3"/>
  <c r="AJ27" i="3"/>
  <c r="Z27" i="3"/>
  <c r="AN27" i="3"/>
  <c r="X27" i="3"/>
  <c r="AL27" i="3"/>
  <c r="Z11" i="3"/>
  <c r="AN11" i="3"/>
  <c r="X11" i="3"/>
  <c r="AL11" i="3"/>
  <c r="AB11" i="3"/>
  <c r="AJ11" i="3"/>
  <c r="AB26" i="3"/>
  <c r="AL26" i="3"/>
  <c r="Z26" i="3"/>
  <c r="AJ26" i="3"/>
  <c r="X26" i="3"/>
  <c r="AN26" i="3"/>
  <c r="AB10" i="3"/>
  <c r="AN10" i="3"/>
  <c r="Z10" i="3"/>
  <c r="AL10" i="3"/>
  <c r="AJ10" i="3"/>
  <c r="X10" i="3"/>
  <c r="AN29" i="3"/>
  <c r="X29" i="3"/>
  <c r="AB29" i="3"/>
  <c r="AL29" i="3"/>
  <c r="AJ29" i="3"/>
  <c r="Z29" i="3"/>
  <c r="AN13" i="3"/>
  <c r="Z13" i="3"/>
  <c r="AB13" i="3"/>
  <c r="AL13" i="3"/>
  <c r="AJ13" i="3"/>
  <c r="X13" i="3"/>
  <c r="AN24" i="3"/>
  <c r="Z24" i="3"/>
  <c r="AB24" i="3"/>
  <c r="AL24" i="3"/>
  <c r="AJ24" i="3"/>
  <c r="X24" i="3"/>
  <c r="AJ8" i="3"/>
  <c r="Z8" i="3"/>
  <c r="AB8" i="3"/>
  <c r="AN8" i="3"/>
  <c r="AL8" i="3"/>
  <c r="X8" i="3"/>
  <c r="X23" i="3"/>
  <c r="AL23" i="3"/>
  <c r="AB23" i="3"/>
  <c r="AJ23" i="3"/>
  <c r="Z23" i="3"/>
  <c r="AN23" i="3"/>
  <c r="AB7" i="3"/>
  <c r="AL7" i="3"/>
  <c r="AN7" i="3"/>
  <c r="Z7" i="3"/>
  <c r="X7" i="3"/>
  <c r="AJ7" i="3"/>
  <c r="AJ38" i="3"/>
  <c r="X38" i="3"/>
  <c r="AN38" i="3"/>
  <c r="AB38" i="3"/>
  <c r="AL38" i="3"/>
  <c r="Z38" i="3"/>
  <c r="AJ22" i="3"/>
  <c r="X22" i="3"/>
  <c r="AN22" i="3"/>
  <c r="AB22" i="3"/>
  <c r="AL22" i="3"/>
  <c r="Z22" i="3"/>
  <c r="X25" i="3"/>
  <c r="AJ25" i="3"/>
  <c r="Z25" i="3"/>
  <c r="AL25" i="3"/>
  <c r="AB25" i="3"/>
  <c r="AN25" i="3"/>
  <c r="Z9" i="3"/>
  <c r="AJ9" i="3"/>
  <c r="AN9" i="3"/>
  <c r="X9" i="3"/>
  <c r="AB9" i="3"/>
  <c r="AL9" i="3"/>
  <c r="Z36" i="3"/>
  <c r="AL36" i="3"/>
  <c r="X36" i="3"/>
  <c r="AJ36" i="3"/>
  <c r="AB36" i="3"/>
  <c r="AN36" i="3"/>
  <c r="Z20" i="3"/>
  <c r="AL20" i="3"/>
  <c r="AJ20" i="3"/>
  <c r="X20" i="3"/>
  <c r="AN20" i="3"/>
  <c r="AB20" i="3"/>
  <c r="AJ35" i="3"/>
  <c r="AL35" i="3"/>
  <c r="Z35" i="3"/>
  <c r="AN35" i="3"/>
  <c r="X35" i="3"/>
  <c r="AB35" i="3"/>
  <c r="Z19" i="3"/>
  <c r="AN19" i="3"/>
  <c r="X19" i="3"/>
  <c r="AL19" i="3"/>
  <c r="AB19" i="3"/>
  <c r="AJ19" i="3"/>
  <c r="AB34" i="3"/>
  <c r="AN34" i="3"/>
  <c r="Z34" i="3"/>
  <c r="AL34" i="3"/>
  <c r="X34" i="3"/>
  <c r="AJ34" i="3"/>
  <c r="AB18" i="3"/>
  <c r="AL18" i="3"/>
  <c r="Z18" i="3"/>
  <c r="AJ18" i="3"/>
  <c r="AN18" i="3"/>
  <c r="X18" i="3"/>
  <c r="M9" i="3"/>
  <c r="Q38" i="3"/>
  <c r="M38" i="3"/>
  <c r="O38" i="3"/>
  <c r="K38" i="3"/>
  <c r="Q37" i="3"/>
  <c r="O37" i="3"/>
  <c r="K37" i="3"/>
  <c r="M37" i="3"/>
  <c r="K9" i="3"/>
  <c r="C6" i="11"/>
  <c r="F6" i="11" s="1"/>
  <c r="F2" i="11"/>
  <c r="C9" i="11"/>
  <c r="F9" i="11" s="1"/>
  <c r="C5" i="11"/>
  <c r="F5" i="11" s="1"/>
  <c r="C8" i="11"/>
  <c r="F8" i="11" s="1"/>
  <c r="C4" i="11"/>
  <c r="F4" i="11" s="1"/>
  <c r="C11" i="11"/>
  <c r="F11" i="11" s="1"/>
  <c r="C7" i="11"/>
  <c r="F7" i="11" s="1"/>
  <c r="C3" i="11"/>
  <c r="F3" i="11" s="1"/>
  <c r="C12" i="11" l="1"/>
  <c r="F12" i="11" s="1"/>
  <c r="U39" i="3"/>
  <c r="V39" i="3" s="1"/>
  <c r="AF39" i="3" s="1"/>
  <c r="AG39" i="3" s="1"/>
  <c r="C13" i="11"/>
  <c r="F13" i="11" s="1"/>
  <c r="N114" i="2"/>
  <c r="O114" i="2"/>
  <c r="N111" i="2"/>
  <c r="N110" i="2"/>
  <c r="O110" i="2"/>
  <c r="O111" i="2"/>
  <c r="N112" i="2"/>
  <c r="O112" i="2"/>
  <c r="N113" i="2"/>
  <c r="O113" i="2"/>
  <c r="N109" i="2"/>
  <c r="N117" i="2"/>
  <c r="O117" i="2"/>
  <c r="O115" i="2"/>
  <c r="I36" i="3"/>
  <c r="I35" i="3"/>
  <c r="I34" i="3"/>
  <c r="I33" i="3"/>
  <c r="I32" i="3"/>
  <c r="I31" i="3"/>
  <c r="I30" i="3"/>
  <c r="I29" i="3"/>
  <c r="I28" i="3"/>
  <c r="I27" i="3"/>
  <c r="I26" i="3"/>
  <c r="I23" i="3"/>
  <c r="I7" i="3"/>
  <c r="H128" i="2"/>
  <c r="H125" i="2"/>
  <c r="O103" i="2"/>
  <c r="N103" i="2"/>
  <c r="O102" i="2"/>
  <c r="N102" i="2"/>
  <c r="O109" i="2"/>
  <c r="O116" i="2"/>
  <c r="N116" i="2"/>
  <c r="O105" i="2"/>
  <c r="AD23" i="3" l="1"/>
  <c r="AP23" i="3"/>
  <c r="AD35" i="3"/>
  <c r="AP35" i="3"/>
  <c r="AD26" i="3"/>
  <c r="AP26" i="3"/>
  <c r="AP28" i="3"/>
  <c r="AD28" i="3"/>
  <c r="AD30" i="3"/>
  <c r="AP30" i="3"/>
  <c r="AP31" i="3"/>
  <c r="AD31" i="3"/>
  <c r="AP32" i="3"/>
  <c r="AD32" i="3"/>
  <c r="AD33" i="3"/>
  <c r="AP33" i="3"/>
  <c r="AD34" i="3"/>
  <c r="AP34" i="3"/>
  <c r="AD29" i="3"/>
  <c r="AP29" i="3"/>
  <c r="AD27" i="3"/>
  <c r="AP27" i="3"/>
  <c r="AD7" i="3"/>
  <c r="AP7" i="3"/>
  <c r="AD36" i="3"/>
  <c r="AP36" i="3"/>
  <c r="AH39" i="3"/>
  <c r="M7" i="3"/>
  <c r="C14" i="11"/>
  <c r="F14" i="11" s="1"/>
  <c r="O29" i="3"/>
  <c r="K29" i="3"/>
  <c r="M29" i="3"/>
  <c r="O33" i="3"/>
  <c r="K33" i="3"/>
  <c r="M33" i="3"/>
  <c r="M30" i="3"/>
  <c r="O30" i="3"/>
  <c r="K30" i="3"/>
  <c r="M34" i="3"/>
  <c r="O34" i="3"/>
  <c r="K34" i="3"/>
  <c r="K36" i="3"/>
  <c r="M36" i="3"/>
  <c r="O36" i="3"/>
  <c r="K31" i="3"/>
  <c r="M31" i="3"/>
  <c r="O31" i="3"/>
  <c r="K28" i="3"/>
  <c r="M28" i="3"/>
  <c r="O28" i="3"/>
  <c r="K32" i="3"/>
  <c r="M32" i="3"/>
  <c r="O32" i="3"/>
  <c r="K35" i="3"/>
  <c r="M35" i="3"/>
  <c r="O35" i="3"/>
  <c r="O27" i="3"/>
  <c r="K27" i="3"/>
  <c r="M27" i="3"/>
  <c r="K26" i="3"/>
  <c r="O26" i="3"/>
  <c r="M26" i="3"/>
  <c r="O23" i="3"/>
  <c r="K23" i="3"/>
  <c r="M23" i="3"/>
  <c r="I11" i="3"/>
  <c r="I19" i="3"/>
  <c r="I10" i="3"/>
  <c r="I12" i="3"/>
  <c r="I20" i="3"/>
  <c r="I14" i="3"/>
  <c r="I22" i="3"/>
  <c r="I21" i="3"/>
  <c r="I15" i="3"/>
  <c r="I13" i="3"/>
  <c r="I16" i="3"/>
  <c r="I17" i="3"/>
  <c r="I25" i="3"/>
  <c r="I8" i="3"/>
  <c r="I18" i="3"/>
  <c r="I24" i="3"/>
  <c r="Q36" i="3"/>
  <c r="Q28" i="3"/>
  <c r="Q27" i="3"/>
  <c r="Q35" i="3"/>
  <c r="Q34" i="3"/>
  <c r="Q26" i="3"/>
  <c r="Q30" i="3"/>
  <c r="Q32" i="3"/>
  <c r="Q31" i="3"/>
  <c r="Q29" i="3"/>
  <c r="Q23" i="3"/>
  <c r="Q33" i="3"/>
  <c r="AD15" i="3" l="1"/>
  <c r="AP15" i="3"/>
  <c r="AD18" i="3"/>
  <c r="AP18" i="3"/>
  <c r="AD8" i="3"/>
  <c r="AP8" i="3"/>
  <c r="AP20" i="3"/>
  <c r="AD20" i="3"/>
  <c r="AD17" i="3"/>
  <c r="AP17" i="3"/>
  <c r="AP25" i="3"/>
  <c r="AD25" i="3"/>
  <c r="AD13" i="3"/>
  <c r="AP13" i="3"/>
  <c r="AP10" i="3"/>
  <c r="AD10" i="3"/>
  <c r="AD14" i="3"/>
  <c r="AP14" i="3"/>
  <c r="AD19" i="3"/>
  <c r="AP19" i="3"/>
  <c r="O12" i="3"/>
  <c r="AP12" i="3"/>
  <c r="AD12" i="3"/>
  <c r="AD11" i="3"/>
  <c r="AP11" i="3"/>
  <c r="AD24" i="3"/>
  <c r="AP24" i="3"/>
  <c r="AD21" i="3"/>
  <c r="AP21" i="3"/>
  <c r="AD22" i="3"/>
  <c r="AP22" i="3"/>
  <c r="AD16" i="3"/>
  <c r="AP16" i="3"/>
  <c r="O10" i="3"/>
  <c r="Q10" i="3"/>
  <c r="O11" i="3"/>
  <c r="Q11" i="3"/>
  <c r="M8" i="3"/>
  <c r="M13" i="3"/>
  <c r="M14" i="3"/>
  <c r="M11" i="3"/>
  <c r="M12" i="3"/>
  <c r="M10" i="3"/>
  <c r="Q12" i="3"/>
  <c r="K12" i="3"/>
  <c r="Q16" i="3"/>
  <c r="M16" i="3"/>
  <c r="O16" i="3"/>
  <c r="K16" i="3"/>
  <c r="Q25" i="3"/>
  <c r="K25" i="3"/>
  <c r="M25" i="3"/>
  <c r="O25" i="3"/>
  <c r="Q13" i="3"/>
  <c r="K13" i="3"/>
  <c r="O13" i="3"/>
  <c r="Q14" i="3"/>
  <c r="K14" i="3"/>
  <c r="O14" i="3"/>
  <c r="Q15" i="3"/>
  <c r="O15" i="3"/>
  <c r="K15" i="3"/>
  <c r="M15" i="3"/>
  <c r="K11" i="3"/>
  <c r="Q7" i="3"/>
  <c r="K7" i="3"/>
  <c r="O7" i="3"/>
  <c r="Q24" i="3"/>
  <c r="O24" i="3"/>
  <c r="M24" i="3"/>
  <c r="K24" i="3"/>
  <c r="Q20" i="3"/>
  <c r="O20" i="3"/>
  <c r="M20" i="3"/>
  <c r="K20" i="3"/>
  <c r="Q19" i="3"/>
  <c r="M19" i="3"/>
  <c r="O19" i="3"/>
  <c r="K19" i="3"/>
  <c r="Q18" i="3"/>
  <c r="M18" i="3"/>
  <c r="O18" i="3"/>
  <c r="K18" i="3"/>
  <c r="Q17" i="3"/>
  <c r="O17" i="3"/>
  <c r="M17" i="3"/>
  <c r="K17" i="3"/>
  <c r="Q22" i="3"/>
  <c r="O22" i="3"/>
  <c r="M22" i="3"/>
  <c r="K22" i="3"/>
  <c r="Q21" i="3"/>
  <c r="M21" i="3"/>
  <c r="K21" i="3"/>
  <c r="O21" i="3"/>
  <c r="K10" i="3"/>
  <c r="Q8" i="3"/>
  <c r="O8" i="3"/>
  <c r="K8" i="3"/>
  <c r="C15" i="11" l="1"/>
  <c r="F15" i="11" s="1"/>
  <c r="C16" i="11" l="1"/>
  <c r="F16" i="11" s="1"/>
  <c r="C17" i="11"/>
  <c r="F17" i="11" s="1"/>
  <c r="C18" i="11" l="1"/>
  <c r="F18" i="11" s="1"/>
  <c r="C19" i="11" l="1"/>
  <c r="F19" i="11" s="1"/>
  <c r="C20" i="11" l="1"/>
  <c r="F20" i="11" s="1"/>
  <c r="C21" i="11" l="1"/>
  <c r="F21" i="11" s="1"/>
  <c r="I6" i="3"/>
  <c r="U6" i="3"/>
  <c r="AH6" i="3"/>
  <c r="K6" i="3" l="1"/>
  <c r="J39" i="3" s="1"/>
  <c r="J41" i="3" s="1"/>
  <c r="AP6" i="3"/>
  <c r="AO39" i="3" s="1"/>
  <c r="S56" i="3" s="1"/>
  <c r="C22" i="11"/>
  <c r="F22" i="11" s="1"/>
  <c r="C24" i="11"/>
  <c r="F24" i="11" s="1"/>
  <c r="AJ6" i="3"/>
  <c r="AI39" i="3" s="1"/>
  <c r="AI42" i="3" s="1"/>
  <c r="O6" i="3"/>
  <c r="N39" i="3" s="1"/>
  <c r="N41" i="3" s="1"/>
  <c r="M6" i="3"/>
  <c r="L39" i="3" s="1"/>
  <c r="L42" i="3" s="1"/>
  <c r="X6" i="3"/>
  <c r="W39" i="3" s="1"/>
  <c r="W41" i="3" s="1"/>
  <c r="AL6" i="3"/>
  <c r="AK39" i="3" s="1"/>
  <c r="AK41" i="3" s="1"/>
  <c r="Q6" i="3"/>
  <c r="P39" i="3" s="1"/>
  <c r="P56" i="3" s="1"/>
  <c r="AN6" i="3"/>
  <c r="AM39" i="3" s="1"/>
  <c r="Z6" i="3"/>
  <c r="Y39" i="3" s="1"/>
  <c r="AB6" i="3"/>
  <c r="AA39" i="3" s="1"/>
  <c r="AD6" i="3"/>
  <c r="AC39" i="3" s="1"/>
  <c r="R56" i="3" s="1"/>
  <c r="J42" i="3" l="1"/>
  <c r="AI41" i="3"/>
  <c r="W42" i="3"/>
  <c r="AK42" i="3"/>
  <c r="L41" i="3"/>
  <c r="P41" i="3" s="1"/>
  <c r="P57" i="3" s="1"/>
  <c r="N42" i="3"/>
  <c r="Y42" i="3"/>
  <c r="Y41" i="3"/>
  <c r="AM42" i="3"/>
  <c r="AM41" i="3"/>
  <c r="AA41" i="3"/>
  <c r="AA42" i="3"/>
  <c r="P42" i="3" l="1"/>
  <c r="P58" i="3" s="1"/>
  <c r="P64" i="3" s="1"/>
  <c r="C14" i="8" s="1"/>
  <c r="P61" i="3"/>
  <c r="C13" i="8" s="1"/>
  <c r="AO41" i="3"/>
  <c r="S57" i="3" s="1"/>
  <c r="AO42" i="3"/>
  <c r="AC42" i="3"/>
  <c r="C12" i="8"/>
  <c r="AC41" i="3"/>
  <c r="R57" i="3" l="1"/>
  <c r="R61" i="3" s="1"/>
  <c r="S58" i="3"/>
  <c r="S64" i="3" s="1"/>
  <c r="E14" i="8" s="1"/>
  <c r="R58" i="3"/>
  <c r="R64" i="3" s="1"/>
  <c r="D14" i="8" s="1"/>
  <c r="P63" i="3"/>
  <c r="C15" i="8" s="1"/>
  <c r="S61" i="3"/>
  <c r="E13" i="8" s="1"/>
  <c r="E12" i="8"/>
  <c r="D12" i="8" l="1"/>
  <c r="D13" i="8"/>
  <c r="R63" i="3"/>
  <c r="D15" i="8" s="1"/>
  <c r="S63" i="3"/>
  <c r="E1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Jalia Nanfuka (Consultant)</author>
  </authors>
  <commentList>
    <comment ref="A64" authorId="0" shapeId="0" xr:uid="{A335D430-F3F1-4734-971D-2A69867BC440}">
      <text>
        <r>
          <rPr>
            <b/>
            <sz val="9"/>
            <color indexed="81"/>
            <rFont val="Tahoma"/>
            <family val="2"/>
          </rPr>
          <t>Jalia Nanfuka (Consultant):</t>
        </r>
        <r>
          <rPr>
            <sz val="9"/>
            <color indexed="81"/>
            <rFont val="Tahoma"/>
            <family val="2"/>
          </rPr>
          <t xml:space="preserve">
Remove row as we don’t reflect procurement fees here. This line is the same as row 58</t>
        </r>
      </text>
    </comment>
  </commentList>
</comments>
</file>

<file path=xl/sharedStrings.xml><?xml version="1.0" encoding="utf-8"?>
<sst xmlns="http://schemas.openxmlformats.org/spreadsheetml/2006/main" count="2163" uniqueCount="545">
  <si>
    <t>Gavi Cold Chain Optimisation Platform (CCE OP)</t>
  </si>
  <si>
    <t xml:space="preserve">Country </t>
  </si>
  <si>
    <t>Links to spreadsheets in this file</t>
  </si>
  <si>
    <t>CCE Options Summary'</t>
  </si>
  <si>
    <t>Options CCE Model Selection'</t>
  </si>
  <si>
    <t>Specified CCE Model Price List'</t>
  </si>
  <si>
    <t xml:space="preserve">What is new under the Gavi CCEOP for Gavi 5.0 </t>
  </si>
  <si>
    <r>
      <t xml:space="preserve">a) Countries can </t>
    </r>
    <r>
      <rPr>
        <b/>
        <sz val="11"/>
        <color theme="1"/>
        <rFont val="Calibri"/>
        <family val="2"/>
        <scheme val="minor"/>
      </rPr>
      <t>only</t>
    </r>
    <r>
      <rPr>
        <sz val="11"/>
        <color theme="1"/>
        <rFont val="Calibri"/>
        <family val="2"/>
        <scheme val="minor"/>
      </rPr>
      <t xml:space="preserve"> apply for a maximum of </t>
    </r>
    <r>
      <rPr>
        <b/>
        <sz val="11"/>
        <color theme="1"/>
        <rFont val="Calibri"/>
        <family val="2"/>
        <scheme val="minor"/>
      </rPr>
      <t>3 years</t>
    </r>
    <r>
      <rPr>
        <sz val="11"/>
        <color theme="1"/>
        <rFont val="Calibri"/>
        <family val="2"/>
        <scheme val="minor"/>
      </rPr>
      <t xml:space="preserve"> to reduce end to end timelines for infrastructural investments</t>
    </r>
  </si>
  <si>
    <r>
      <t xml:space="preserve">b) Countries only have three options of liter capacity bands for equipment; </t>
    </r>
    <r>
      <rPr>
        <b/>
        <i/>
        <sz val="11"/>
        <color theme="1"/>
        <rFont val="Calibri"/>
        <family val="2"/>
        <scheme val="minor"/>
      </rPr>
      <t>0 -60L, 60L - 120L, and &gt;120L</t>
    </r>
  </si>
  <si>
    <t>c) Countries can procure new equipment that is bundled with RTMDs and annual data subscriptions</t>
  </si>
  <si>
    <t>d) Countries must apply for RTMDs for newly procured equipment targeted for the national, regional, and district level to enhance CCE performance monitoring</t>
  </si>
  <si>
    <t>e) Countries can apply for RTMDs for existing in-country equipment at the national, regional, and district level</t>
  </si>
  <si>
    <t>f) Countries can apply for annual subscription of data for existing RTMDs for only one year</t>
  </si>
  <si>
    <r>
      <t xml:space="preserve">g) Countries can apply for in-person or remote RTMD trainings </t>
    </r>
    <r>
      <rPr>
        <i/>
        <sz val="11"/>
        <color theme="1"/>
        <rFont val="Calibri"/>
        <family val="2"/>
        <scheme val="minor"/>
      </rPr>
      <t>(including refresher trainings to be included in the current strategic period)</t>
    </r>
    <r>
      <rPr>
        <sz val="11"/>
        <color theme="1"/>
        <rFont val="Calibri"/>
        <family val="2"/>
        <scheme val="minor"/>
      </rPr>
      <t xml:space="preserve">. The refresher training(s) can be undertaken </t>
    </r>
    <r>
      <rPr>
        <b/>
        <sz val="11"/>
        <color theme="1"/>
        <rFont val="Calibri"/>
        <family val="2"/>
        <scheme val="minor"/>
      </rPr>
      <t>12 to 24 months following the initial training</t>
    </r>
  </si>
  <si>
    <t>h) Countries can apply upfront for refresher trainings</t>
  </si>
  <si>
    <t xml:space="preserve">Instructions </t>
  </si>
  <si>
    <r>
      <t xml:space="preserve">This template should be filled by ALL countries applying for Platform support. </t>
    </r>
    <r>
      <rPr>
        <b/>
        <sz val="11"/>
        <rFont val="Calibri"/>
        <family val="2"/>
        <scheme val="minor"/>
      </rPr>
      <t>All 3 CCE model options under the Options_CCE Model Selection tab must be completed for the application to be considered as complete.</t>
    </r>
  </si>
  <si>
    <r>
      <t xml:space="preserve">The </t>
    </r>
    <r>
      <rPr>
        <sz val="11"/>
        <color theme="8"/>
        <rFont val="Calibri"/>
        <family val="2"/>
        <scheme val="minor"/>
      </rPr>
      <t>'Specified CCE Model Price List</t>
    </r>
    <r>
      <rPr>
        <sz val="11"/>
        <color theme="1"/>
        <rFont val="Calibri"/>
        <family val="2"/>
        <scheme val="minor"/>
      </rPr>
      <t xml:space="preserve">' spreadsheet provides an overview of the planning prices per equipment type: </t>
    </r>
    <r>
      <rPr>
        <b/>
        <sz val="11"/>
        <color theme="1"/>
        <rFont val="Calibri"/>
        <family val="2"/>
        <scheme val="minor"/>
      </rPr>
      <t>'Indicative equipment unit price' + 'Service bundle estimates'</t>
    </r>
    <r>
      <rPr>
        <sz val="11"/>
        <color theme="1"/>
        <rFont val="Calibri"/>
        <family val="2"/>
        <scheme val="minor"/>
      </rPr>
      <t>. Countries are NOT expected to fill this sheet.</t>
    </r>
  </si>
  <si>
    <r>
      <t xml:space="preserve">a)  For budget planning purposes,  service bundle estimates are: 
                               </t>
    </r>
    <r>
      <rPr>
        <b/>
        <sz val="11"/>
        <color theme="1"/>
        <rFont val="Calibri"/>
        <family val="2"/>
        <scheme val="minor"/>
      </rPr>
      <t xml:space="preserve">On-grid equipment: </t>
    </r>
    <r>
      <rPr>
        <sz val="11"/>
        <color theme="1"/>
        <rFont val="Calibri"/>
        <family val="2"/>
        <scheme val="minor"/>
      </rPr>
      <t>$850-$1350</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Off-grid equipment: </t>
    </r>
    <r>
      <rPr>
        <sz val="11"/>
        <color theme="1"/>
        <rFont val="Calibri"/>
        <family val="2"/>
        <scheme val="minor"/>
      </rPr>
      <t xml:space="preserve">$1750-$2150 (ground mount panels), $1750- $4000 (pole mount panels) 
</t>
    </r>
    <r>
      <rPr>
        <b/>
        <sz val="11"/>
        <color theme="1"/>
        <rFont val="Calibri"/>
        <family val="2"/>
        <scheme val="minor"/>
      </rPr>
      <t xml:space="preserve">                               Remote temperature monitoring devices (RTMDs): </t>
    </r>
    <r>
      <rPr>
        <sz val="11"/>
        <color theme="1"/>
        <rFont val="Calibri"/>
        <family val="2"/>
        <scheme val="minor"/>
      </rPr>
      <t xml:space="preserve">$200-$400 </t>
    </r>
  </si>
  <si>
    <r>
      <t xml:space="preserve">b)  For budget planning purposes, </t>
    </r>
    <r>
      <rPr>
        <b/>
        <sz val="11"/>
        <color theme="1"/>
        <rFont val="Calibri"/>
        <family val="2"/>
        <scheme val="minor"/>
      </rPr>
      <t>international freight should be budgeted for per unit as per the budget estimates provided on the 'Options_CCE Model Selection' tab</t>
    </r>
    <r>
      <rPr>
        <sz val="11"/>
        <color theme="1"/>
        <rFont val="Calibri"/>
        <family val="2"/>
        <scheme val="minor"/>
      </rPr>
      <t>, depending on destination - sea port delivery versus landlocked countries</t>
    </r>
  </si>
  <si>
    <r>
      <t xml:space="preserve">c) Countries should plan their budgets with the service bundle </t>
    </r>
    <r>
      <rPr>
        <b/>
        <sz val="11"/>
        <color theme="1"/>
        <rFont val="Calibri"/>
        <family val="2"/>
        <scheme val="minor"/>
      </rPr>
      <t xml:space="preserve">lower limit estimates </t>
    </r>
    <r>
      <rPr>
        <sz val="11"/>
        <color theme="1"/>
        <rFont val="Calibri"/>
        <family val="2"/>
        <scheme val="minor"/>
      </rPr>
      <t xml:space="preserve">(e.g. $850 for on-grid equipment) for CCE to be installed in health 
facilities with low costs of in-country transportation (e.g. short times, high-quality infrastructure), the </t>
    </r>
    <r>
      <rPr>
        <b/>
        <sz val="11"/>
        <color theme="1"/>
        <rFont val="Calibri"/>
        <family val="2"/>
        <scheme val="minor"/>
      </rPr>
      <t>upper limit estimates</t>
    </r>
    <r>
      <rPr>
        <sz val="11"/>
        <color theme="1"/>
        <rFont val="Calibri"/>
        <family val="2"/>
        <scheme val="minor"/>
      </rPr>
      <t xml:space="preserve"> (e.g. $2150 for 
off-grid equipment) for CCE to be installed in health facilities with high costs of in-country transportation (e.g. long travel times, low 
quality infrastructure) and </t>
    </r>
    <r>
      <rPr>
        <b/>
        <sz val="11"/>
        <color theme="1"/>
        <rFont val="Calibri"/>
        <family val="2"/>
        <scheme val="minor"/>
      </rPr>
      <t>in-between estimates</t>
    </r>
    <r>
      <rPr>
        <sz val="11"/>
        <color theme="1"/>
        <rFont val="Calibri"/>
        <family val="2"/>
        <scheme val="minor"/>
      </rPr>
      <t>, as appropriate. Small order quantities may call for budgets towards the upper limits.</t>
    </r>
  </si>
  <si>
    <r>
      <t>The '</t>
    </r>
    <r>
      <rPr>
        <sz val="11"/>
        <color theme="8"/>
        <rFont val="Calibri"/>
        <family val="2"/>
        <scheme val="minor"/>
      </rPr>
      <t>Options_CCE Model selection</t>
    </r>
    <r>
      <rPr>
        <sz val="11"/>
        <color theme="1"/>
        <rFont val="Calibri"/>
        <family val="2"/>
        <scheme val="minor"/>
      </rPr>
      <t xml:space="preserve">' spreadsheet should be used to build the budget for (total) requested CCE. </t>
    </r>
  </si>
  <si>
    <r>
      <rPr>
        <b/>
        <sz val="11"/>
        <color rgb="FF00B050"/>
        <rFont val="Calibri"/>
        <family val="2"/>
        <scheme val="minor"/>
      </rPr>
      <t>COUNTRY ACTION -&gt;</t>
    </r>
    <r>
      <rPr>
        <sz val="11"/>
        <color theme="1"/>
        <rFont val="Calibri"/>
        <family val="2"/>
        <scheme val="minor"/>
      </rPr>
      <t xml:space="preserve"> In this sheet, countries should:</t>
    </r>
  </si>
  <si>
    <r>
      <t xml:space="preserve"> a) Select appropriate</t>
    </r>
    <r>
      <rPr>
        <b/>
        <i/>
        <sz val="11"/>
        <rFont val="Calibri"/>
        <family val="2"/>
        <scheme val="minor"/>
      </rPr>
      <t xml:space="preserve"> 'Capacity segment'</t>
    </r>
    <r>
      <rPr>
        <i/>
        <sz val="11"/>
        <rFont val="Calibri"/>
        <family val="2"/>
        <scheme val="minor"/>
      </rPr>
      <t xml:space="preserve">  against the listed capacity setments. </t>
    </r>
  </si>
  <si>
    <r>
      <t xml:space="preserve">b) Select appropriate </t>
    </r>
    <r>
      <rPr>
        <b/>
        <i/>
        <sz val="11"/>
        <rFont val="Calibri"/>
        <family val="2"/>
        <scheme val="minor"/>
      </rPr>
      <t>'Equipment model'</t>
    </r>
    <r>
      <rPr>
        <i/>
        <sz val="11"/>
        <rFont val="Calibri"/>
        <family val="2"/>
        <scheme val="minor"/>
      </rPr>
      <t xml:space="preserve"> against the listed equipment types. </t>
    </r>
  </si>
  <si>
    <r>
      <t>c) Fill out the</t>
    </r>
    <r>
      <rPr>
        <b/>
        <i/>
        <sz val="11"/>
        <rFont val="Calibri"/>
        <family val="2"/>
        <scheme val="minor"/>
      </rPr>
      <t xml:space="preserve"> 'Estimated service bundle cost' </t>
    </r>
    <r>
      <rPr>
        <i/>
        <sz val="11"/>
        <rFont val="Calibri"/>
        <family val="2"/>
        <scheme val="minor"/>
      </rPr>
      <t xml:space="preserve">and </t>
    </r>
    <r>
      <rPr>
        <b/>
        <i/>
        <sz val="11"/>
        <rFont val="Calibri"/>
        <family val="2"/>
        <scheme val="minor"/>
      </rPr>
      <t>'Number of equipment'</t>
    </r>
    <r>
      <rPr>
        <i/>
        <sz val="11"/>
        <rFont val="Calibri"/>
        <family val="2"/>
        <scheme val="minor"/>
      </rPr>
      <t xml:space="preserve"> requested. </t>
    </r>
  </si>
  <si>
    <r>
      <t xml:space="preserve">d) Countries should only fill out planned </t>
    </r>
    <r>
      <rPr>
        <b/>
        <i/>
        <sz val="11"/>
        <rFont val="Calibri"/>
        <family val="2"/>
        <scheme val="minor"/>
      </rPr>
      <t>procurements for a maximum of 3 years</t>
    </r>
    <r>
      <rPr>
        <i/>
        <sz val="11"/>
        <rFont val="Calibri"/>
        <family val="2"/>
        <scheme val="minor"/>
      </rPr>
      <t xml:space="preserve"> as designed in the 'Options_CCE Model Selection' spreadsheet </t>
    </r>
  </si>
  <si>
    <r>
      <t xml:space="preserve">e) </t>
    </r>
    <r>
      <rPr>
        <b/>
        <i/>
        <sz val="11"/>
        <rFont val="Calibri"/>
        <family val="2"/>
        <scheme val="minor"/>
      </rPr>
      <t>Plan for CCEOP 1, 2, or a max of 3 years</t>
    </r>
    <r>
      <rPr>
        <i/>
        <sz val="11"/>
        <rFont val="Calibri"/>
        <family val="2"/>
        <scheme val="minor"/>
      </rPr>
      <t xml:space="preserve"> to reduce lead times associated with implementation of infrastructural investments</t>
    </r>
  </si>
  <si>
    <t>f) Uniform quantities for all budget options are to be indicated to specify actual CCE need to UNICEF</t>
  </si>
  <si>
    <r>
      <t xml:space="preserve">g) Country must select CCE it is </t>
    </r>
    <r>
      <rPr>
        <b/>
        <i/>
        <sz val="11"/>
        <rFont val="Calibri"/>
        <family val="2"/>
        <scheme val="minor"/>
      </rPr>
      <t>willing to receive and deploy</t>
    </r>
  </si>
  <si>
    <t>h) Where less than 3 models options exist for a particular capacity range, country can maintain same model allocation or select another capacity range</t>
  </si>
  <si>
    <r>
      <t xml:space="preserve">i) Countries must make sure to fill out all required information in </t>
    </r>
    <r>
      <rPr>
        <b/>
        <i/>
        <sz val="11"/>
        <rFont val="Calibri"/>
        <family val="2"/>
        <scheme val="minor"/>
      </rPr>
      <t>Option A cells</t>
    </r>
    <r>
      <rPr>
        <i/>
        <sz val="11"/>
        <rFont val="Calibri"/>
        <family val="2"/>
        <scheme val="minor"/>
      </rPr>
      <t xml:space="preserve"> </t>
    </r>
    <r>
      <rPr>
        <b/>
        <i/>
        <sz val="11"/>
        <rFont val="Calibri"/>
        <family val="2"/>
        <scheme val="minor"/>
      </rPr>
      <t>to active the Option B cells</t>
    </r>
  </si>
  <si>
    <t>ADDITIONAL DETAILS</t>
  </si>
  <si>
    <r>
      <t>- The</t>
    </r>
    <r>
      <rPr>
        <b/>
        <sz val="11"/>
        <color theme="1"/>
        <rFont val="Calibri"/>
        <family val="2"/>
        <scheme val="minor"/>
      </rPr>
      <t xml:space="preserve"> 'Equipment make', 'Vaccine capacity', "Freezer gross volume', </t>
    </r>
    <r>
      <rPr>
        <sz val="11"/>
        <color theme="1"/>
        <rFont val="Calibri"/>
        <family val="2"/>
        <scheme val="minor"/>
      </rPr>
      <t xml:space="preserve">and </t>
    </r>
    <r>
      <rPr>
        <b/>
        <sz val="11"/>
        <color theme="1"/>
        <rFont val="Calibri"/>
        <family val="2"/>
        <scheme val="minor"/>
      </rPr>
      <t xml:space="preserve">'Indicative Prices' </t>
    </r>
    <r>
      <rPr>
        <sz val="11"/>
        <color theme="1"/>
        <rFont val="Calibri"/>
        <family val="2"/>
        <scheme val="minor"/>
      </rPr>
      <t>will be populated automatically from the '</t>
    </r>
    <r>
      <rPr>
        <sz val="11"/>
        <color theme="8"/>
        <rFont val="Calibri"/>
        <family val="2"/>
        <scheme val="minor"/>
      </rPr>
      <t>Specified CCE Model Price
List</t>
    </r>
    <r>
      <rPr>
        <sz val="11"/>
        <color theme="1"/>
        <rFont val="Calibri"/>
        <family val="2"/>
        <scheme val="minor"/>
      </rPr>
      <t xml:space="preserve">' worksheet.  </t>
    </r>
  </si>
  <si>
    <r>
      <t xml:space="preserve">- All new </t>
    </r>
    <r>
      <rPr>
        <b/>
        <sz val="11"/>
        <rFont val="Calibri"/>
        <family val="2"/>
        <scheme val="minor"/>
      </rPr>
      <t>CCEOP equipment are bundled with a 30DTR and voltage regulator</t>
    </r>
    <r>
      <rPr>
        <sz val="11"/>
        <rFont val="Calibri"/>
        <family val="2"/>
        <scheme val="minor"/>
      </rPr>
      <t xml:space="preserve"> (as appropriate) and </t>
    </r>
    <r>
      <rPr>
        <b/>
        <sz val="11"/>
        <rFont val="Calibri"/>
        <family val="2"/>
        <scheme val="minor"/>
      </rPr>
      <t>these need not be separately requested in the budget template.</t>
    </r>
    <r>
      <rPr>
        <sz val="11"/>
        <rFont val="Calibri"/>
        <family val="2"/>
        <scheme val="minor"/>
      </rPr>
      <t xml:space="preserve"> However, countries </t>
    </r>
    <r>
      <rPr>
        <b/>
        <sz val="11"/>
        <rFont val="Calibri"/>
        <family val="2"/>
        <scheme val="minor"/>
      </rPr>
      <t>need to specifically request for 30 DTR or RTMDs and/or voltage regulators</t>
    </r>
    <r>
      <rPr>
        <sz val="11"/>
        <rFont val="Calibri"/>
        <family val="2"/>
        <scheme val="minor"/>
      </rPr>
      <t xml:space="preserve"> in the line items of the template</t>
    </r>
    <r>
      <rPr>
        <b/>
        <sz val="11"/>
        <rFont val="Calibri"/>
        <family val="2"/>
        <scheme val="minor"/>
      </rPr>
      <t xml:space="preserve"> if purchased for existing (in-country) equipment </t>
    </r>
    <r>
      <rPr>
        <sz val="11"/>
        <rFont val="Calibri"/>
        <family val="2"/>
        <scheme val="minor"/>
      </rPr>
      <t xml:space="preserve">(as appropriate) or if they choose to purchase RTMDs instead of 30DTR. </t>
    </r>
  </si>
  <si>
    <r>
      <t xml:space="preserve">- The Platform will support the purchase of </t>
    </r>
    <r>
      <rPr>
        <b/>
        <sz val="11"/>
        <rFont val="Calibri"/>
        <family val="2"/>
        <scheme val="minor"/>
      </rPr>
      <t>spare parts for newly purchased CCEOP, and existing (in-country)</t>
    </r>
    <r>
      <rPr>
        <sz val="11"/>
        <rFont val="Calibri"/>
        <family val="2"/>
        <scheme val="minor"/>
      </rPr>
      <t xml:space="preserve"> ILRs, SDDs, and freezers not older than 5 years at the time of applying for Platform support. Spare parts prices will be auto-populated once a spare part type has been selected</t>
    </r>
  </si>
  <si>
    <r>
      <t xml:space="preserve">- A </t>
    </r>
    <r>
      <rPr>
        <b/>
        <sz val="11"/>
        <color theme="1"/>
        <rFont val="Calibri"/>
        <family val="2"/>
        <scheme val="minor"/>
      </rPr>
      <t>6% buffer on total equipment cost</t>
    </r>
    <r>
      <rPr>
        <sz val="11"/>
        <color theme="1"/>
        <rFont val="Calibri"/>
        <family val="2"/>
        <scheme val="minor"/>
      </rPr>
      <t xml:space="preserve"> is built into </t>
    </r>
    <r>
      <rPr>
        <b/>
        <sz val="11"/>
        <color theme="1"/>
        <rFont val="Calibri"/>
        <family val="2"/>
        <scheme val="minor"/>
      </rPr>
      <t>country joint investment and Gavi joint investment</t>
    </r>
    <r>
      <rPr>
        <sz val="11"/>
        <color theme="1"/>
        <rFont val="Calibri"/>
        <family val="2"/>
        <scheme val="minor"/>
      </rPr>
      <t xml:space="preserve"> yearly budgets. This will cover currency variations, demurrage and associated costs and will be returned to country, if unused.</t>
    </r>
  </si>
  <si>
    <r>
      <t>- Each c</t>
    </r>
    <r>
      <rPr>
        <b/>
        <sz val="11"/>
        <color theme="1"/>
        <rFont val="Calibri"/>
        <family val="2"/>
        <scheme val="minor"/>
      </rPr>
      <t>ountry will be responsible for paying (UNICEF) procurement fees</t>
    </r>
    <r>
      <rPr>
        <sz val="11"/>
        <color theme="1"/>
        <rFont val="Calibri"/>
        <family val="2"/>
        <scheme val="minor"/>
      </rPr>
      <t xml:space="preserve"> on country joint-investment share along with the international freight. Procurement fee should be 8 or 8.5%.</t>
    </r>
  </si>
  <si>
    <r>
      <t>The '</t>
    </r>
    <r>
      <rPr>
        <sz val="11"/>
        <color theme="8"/>
        <rFont val="Calibri"/>
        <family val="2"/>
        <scheme val="minor"/>
      </rPr>
      <t>CCE Options Summary</t>
    </r>
    <r>
      <rPr>
        <sz val="11"/>
        <color theme="1"/>
        <rFont val="Calibri"/>
        <family val="2"/>
        <scheme val="minor"/>
      </rPr>
      <t xml:space="preserve">' spreadsheet should be used to compare the total budgets across the selected CCE Model Options </t>
    </r>
  </si>
  <si>
    <r>
      <t>In this sheet Section 1, is auto-populated based on the country inputs mentioned in '</t>
    </r>
    <r>
      <rPr>
        <sz val="11"/>
        <color rgb="FF0070C0"/>
        <rFont val="Calibri"/>
        <family val="2"/>
        <scheme val="minor"/>
      </rPr>
      <t>Options_CCE Model selection</t>
    </r>
    <r>
      <rPr>
        <sz val="11"/>
        <color theme="1"/>
        <rFont val="Calibri"/>
        <family val="2"/>
        <scheme val="minor"/>
      </rPr>
      <t xml:space="preserve">' spreadsheet. </t>
    </r>
  </si>
  <si>
    <r>
      <t xml:space="preserve">- </t>
    </r>
    <r>
      <rPr>
        <b/>
        <sz val="11"/>
        <color theme="1"/>
        <rFont val="Calibri"/>
        <family val="2"/>
        <scheme val="minor"/>
      </rPr>
      <t>Total CCE units for procurement (ILR+SDD)</t>
    </r>
    <r>
      <rPr>
        <sz val="11"/>
        <color theme="1"/>
        <rFont val="Calibri"/>
        <family val="2"/>
        <scheme val="minor"/>
      </rPr>
      <t xml:space="preserve"> compares the total number of ILR and SDD units that are procured under Options A, B and C</t>
    </r>
  </si>
  <si>
    <r>
      <t xml:space="preserve">- </t>
    </r>
    <r>
      <rPr>
        <b/>
        <sz val="11"/>
        <color theme="1"/>
        <rFont val="Calibri"/>
        <family val="2"/>
        <scheme val="minor"/>
      </rPr>
      <t>Total budget (All devices)</t>
    </r>
    <r>
      <rPr>
        <sz val="11"/>
        <color theme="1"/>
        <rFont val="Calibri"/>
        <family val="2"/>
        <scheme val="minor"/>
      </rPr>
      <t xml:space="preserve"> compares the total cost of CCE procurement for all device procurements (incl 6% buffer, freight charges and UNICEF procurement fees) under each option and highlights the most cost-effective option on an average $/CCE basis.</t>
    </r>
  </si>
  <si>
    <r>
      <t xml:space="preserve">            b)</t>
    </r>
    <r>
      <rPr>
        <b/>
        <i/>
        <sz val="11"/>
        <rFont val="Calibri"/>
        <family val="2"/>
        <scheme val="minor"/>
      </rPr>
      <t xml:space="preserve"> Explain</t>
    </r>
    <r>
      <rPr>
        <i/>
        <sz val="11"/>
        <rFont val="Calibri"/>
        <family val="2"/>
        <scheme val="minor"/>
      </rPr>
      <t xml:space="preserve"> rationale for selecting final CCE Model Option (cell A18)</t>
    </r>
  </si>
  <si>
    <t>Summary comparison of country choices</t>
  </si>
  <si>
    <r>
      <t>The purpose of this sheet is to enable decision makers to compare the cost implications of the CCE selection options entered in the CCE Selection sheets. The total units and cost ( cells C10-E15) are auto-populated from inputs  in the worksheet (Options_CCE Model Selection).</t>
    </r>
    <r>
      <rPr>
        <b/>
        <i/>
        <sz val="11"/>
        <color rgb="FFFF0000"/>
        <rFont val="Calibri"/>
        <family val="2"/>
        <scheme val="minor"/>
      </rPr>
      <t xml:space="preserve"> </t>
    </r>
  </si>
  <si>
    <t>Comparing cost effectiveness of CCE model options</t>
  </si>
  <si>
    <t>Option A</t>
  </si>
  <si>
    <t>Option B</t>
  </si>
  <si>
    <t>Option C</t>
  </si>
  <si>
    <t>Quantities Per Option</t>
  </si>
  <si>
    <t>Total CCE units for procurement (ILR+SDD)</t>
  </si>
  <si>
    <t>Buget Breakdown</t>
  </si>
  <si>
    <t>Total Country Joint Investment*</t>
  </si>
  <si>
    <t>Country Joint Investment procurement fees**</t>
  </si>
  <si>
    <t>Total Gavi Joint Investment***</t>
  </si>
  <si>
    <t>Total budget request (All devices)****</t>
  </si>
  <si>
    <t>*Total country joint investment row represents the total budget for the country including equipment costs, buffer, international freight, and UNICEF procurement fees for each option</t>
  </si>
  <si>
    <t>**These fees are to be paid by the country to UNICEF when the COP and Cost Estimates is approved and funds are disbursed</t>
  </si>
  <si>
    <t>***Total Gavi joint investment row represents Gavi joint investment which covers equipment costs, service bundle costs, buffer, and international freight. Gavi joint investment procurement fees are paid by Gavi directly to UNICEF SD</t>
  </si>
  <si>
    <t xml:space="preserve">****Total budget request  covers Gavi joint investment, country joint investment, and country joint investment procurement fees. This is the total budget requested for by the country </t>
  </si>
  <si>
    <t>Section 2: Please explain the rationale for selecting the final option below</t>
  </si>
  <si>
    <t>OPTION A</t>
  </si>
  <si>
    <t>OPTION B</t>
  </si>
  <si>
    <t>OPTION C</t>
  </si>
  <si>
    <t>YEAR 1</t>
  </si>
  <si>
    <t>YEAR 2</t>
  </si>
  <si>
    <t>YEAR 3</t>
  </si>
  <si>
    <t>TOTAL</t>
  </si>
  <si>
    <t>Select year</t>
  </si>
  <si>
    <t>Type of equipment</t>
  </si>
  <si>
    <t>Capacity segment</t>
  </si>
  <si>
    <t>Equipment model</t>
  </si>
  <si>
    <t>Equipment make</t>
  </si>
  <si>
    <t>Vaccine capacity (L)</t>
  </si>
  <si>
    <t>Freezer gross volume (L)</t>
  </si>
  <si>
    <t>Indicative equipment unit price $US</t>
  </si>
  <si>
    <t>Estimated service bundle cost $US</t>
  </si>
  <si>
    <t>Total unit cost
including service bundle cost $US</t>
  </si>
  <si>
    <t>Number of equipment</t>
  </si>
  <si>
    <t>Year 1 Total amount
$US</t>
  </si>
  <si>
    <t>Year 2 Total amount
$US</t>
  </si>
  <si>
    <t>Year 3 Total amount
$US</t>
  </si>
  <si>
    <t>Total number of equipment</t>
  </si>
  <si>
    <t>Total amount
$US</t>
  </si>
  <si>
    <t>Select from dropdown list</t>
  </si>
  <si>
    <t xml:space="preserve">Enter cost within service bundle price range </t>
  </si>
  <si>
    <t>Enter quantity</t>
  </si>
  <si>
    <t>_1. On grid ILR_without freezer comp</t>
  </si>
  <si>
    <t>_2. On grid ILR_with freezer comp</t>
  </si>
  <si>
    <t>_3. On grid freezers</t>
  </si>
  <si>
    <t>_4. Off grid SDD refrigerators_without freezer comp</t>
  </si>
  <si>
    <t>_5. Off grid SDD refrigerators_with freezer comp</t>
  </si>
  <si>
    <t>_6. Off grid SDD freezer</t>
  </si>
  <si>
    <t>_7. Existing CCE Temperature monitoring device_30DTR</t>
  </si>
  <si>
    <t>_8.Remote temperature monitoring devices_RTMDs</t>
  </si>
  <si>
    <t>_9.Long term passive devices</t>
  </si>
  <si>
    <t>_10. Freeze free vaccine carriers</t>
  </si>
  <si>
    <t>_11. Freeze free cold boxes</t>
  </si>
  <si>
    <t xml:space="preserve">_12. Voltage regulators for equipment </t>
  </si>
  <si>
    <t>_13. Ice packs</t>
  </si>
  <si>
    <t>_14.Spare parts New On grid ILR_without freezer comp</t>
  </si>
  <si>
    <t>_15.Spare parts New On grid ILR_with freezer comp</t>
  </si>
  <si>
    <t>_16.Spare parts New On grid freezers</t>
  </si>
  <si>
    <t>_17.Spare parts New Off grid SDD refrigerators_without freezer comp</t>
  </si>
  <si>
    <t>_18.Spare parts New Off grid SDD refrigerators_with freezer comp</t>
  </si>
  <si>
    <t>_19.Spare parts New Off grid SDD freezer</t>
  </si>
  <si>
    <t>_20.Annual Data Subscription renewals for Existing RTMDs</t>
  </si>
  <si>
    <t>_21.Training In person</t>
  </si>
  <si>
    <t>_22.Training Remote</t>
  </si>
  <si>
    <t xml:space="preserve">Total Equipment Budget </t>
  </si>
  <si>
    <r>
      <t xml:space="preserve">Country Joint Investment % (20% or 50%) </t>
    </r>
    <r>
      <rPr>
        <b/>
        <sz val="11"/>
        <color rgb="FFFF0000"/>
        <rFont val="Calibri"/>
        <family val="2"/>
        <scheme val="minor"/>
      </rPr>
      <t>Enter %</t>
    </r>
  </si>
  <si>
    <t>Country Equipment Budget</t>
  </si>
  <si>
    <t>Gavi Equipment Budget</t>
  </si>
  <si>
    <t>FREIGHT CALCULATIONS PER ANNUM</t>
  </si>
  <si>
    <t>International Freight per unit (ILRs and SDDs- Categories 1- 6)</t>
  </si>
  <si>
    <t>International Freight - flat fee (TMD - Category 7)</t>
  </si>
  <si>
    <t>International Freight - flat fee (RTMD- Category 8)</t>
  </si>
  <si>
    <t>International Freight per unit (Vaccine carriers- Category 9)</t>
  </si>
  <si>
    <t>International Freight per unit (Cold boxes -  Category 10)</t>
  </si>
  <si>
    <t>International Freight - flat fee (Voltage regulators- Category 11)</t>
  </si>
  <si>
    <t>International Freight per unit (Ice packs- Category 12)</t>
  </si>
  <si>
    <t>Total estimated International Freight Fees $US</t>
  </si>
  <si>
    <t>Total Budget Request (Incl. 6% Additional Buffer and International Freight)</t>
  </si>
  <si>
    <t>Country Joint Investment (excluding procurement fees)</t>
  </si>
  <si>
    <t xml:space="preserve">Gavi Joint Investment </t>
  </si>
  <si>
    <r>
      <t>Country procurement fee percentage ( % of Country Joint Investment Budget Per UNICEF: 8% or 8.5%) Select</t>
    </r>
    <r>
      <rPr>
        <b/>
        <sz val="11"/>
        <color rgb="FFFF0000"/>
        <rFont val="Calibri"/>
        <family val="2"/>
        <scheme val="minor"/>
      </rPr>
      <t xml:space="preserve"> %</t>
    </r>
  </si>
  <si>
    <t>Estimated Country Budget Procurement Fees $US (based on total equipment budget)</t>
  </si>
  <si>
    <t>Total Country Budget (Including 6% additional buffer, International Freight, and UNICEF Procurement fees) $US</t>
  </si>
  <si>
    <t>Total Gavi Budget (Including 6% additional buffer, and International Freight) $US</t>
  </si>
  <si>
    <t xml:space="preserve">Cold Chain Equipment List and Prices </t>
  </si>
  <si>
    <r>
      <t xml:space="preserve">Refer to these columns for on-grid device SB ranges and </t>
    </r>
    <r>
      <rPr>
        <b/>
        <i/>
        <u/>
        <sz val="11"/>
        <color theme="1"/>
        <rFont val="Calibri"/>
        <family val="2"/>
        <scheme val="minor"/>
      </rPr>
      <t xml:space="preserve">ground mounted </t>
    </r>
    <r>
      <rPr>
        <b/>
        <i/>
        <sz val="11"/>
        <color theme="1"/>
        <rFont val="Calibri"/>
        <family val="2"/>
        <scheme val="minor"/>
      </rPr>
      <t>solar panel installations</t>
    </r>
  </si>
  <si>
    <t>Refer to these columns for pole mounted solar panel installations</t>
  </si>
  <si>
    <t>Index</t>
  </si>
  <si>
    <t>Type of equipment and source of energy</t>
  </si>
  <si>
    <t>Capacity segment (L)</t>
  </si>
  <si>
    <t>Holdover/
Autonomy (days)</t>
  </si>
  <si>
    <t>Service bundle  indicative cost $US (Lower limit with Ground Mounts for Solar panels)</t>
  </si>
  <si>
    <t>Service bundle indicative cost $US (Upper limit with ground mounted solar panels for SDD)</t>
  </si>
  <si>
    <t>Service bundle  indicative cost $US (Lower limit Pole mounts)</t>
  </si>
  <si>
    <t>Service bundle indicative cost $US (Upper limit with Pole Mounts )</t>
  </si>
  <si>
    <t>Total unit cost $US
(lower limit ILR+ Ground mount)</t>
  </si>
  <si>
    <t>Total unit cost $US 
(upper limit ILR+ Ground mount)</t>
  </si>
  <si>
    <t>Solar Panel Mounting</t>
  </si>
  <si>
    <t xml:space="preserve"> - &lt;60L</t>
  </si>
  <si>
    <t>B Medical</t>
  </si>
  <si>
    <t>TCW 40R AC</t>
  </si>
  <si>
    <t>-</t>
  </si>
  <si>
    <t>NA</t>
  </si>
  <si>
    <t>1. Countries should plan with these prices if they request specific CCE make and model</t>
  </si>
  <si>
    <t xml:space="preserve">Godrej &amp; Boyce </t>
  </si>
  <si>
    <t>GVR 51 Lite AC</t>
  </si>
  <si>
    <t>GVR 51 Lite AC with RTMS (Bey. Wire. ICE3 BC141 bundled)</t>
  </si>
  <si>
    <t xml:space="preserve">2. Indicative PQS prices are from the most recent WHO PQS price list as of September 2021.  Accessible via: </t>
  </si>
  <si>
    <t>Vestfrost</t>
  </si>
  <si>
    <t>VLS 174A AC</t>
  </si>
  <si>
    <t>VLS 174A AC with RTMS (own integrated)</t>
  </si>
  <si>
    <t>WHO PQS Catalogue</t>
  </si>
  <si>
    <t>Aucma</t>
  </si>
  <si>
    <t>CFD-50</t>
  </si>
  <si>
    <t>CFD-50 with RTMS (Bey. Wire. ICE3 BC141 bundled)</t>
  </si>
  <si>
    <t>60 - &lt;120L</t>
  </si>
  <si>
    <t>Haier</t>
  </si>
  <si>
    <t>HBC 80</t>
  </si>
  <si>
    <t>HBC 80 with RTMS (Haier U-Cool bundled)</t>
  </si>
  <si>
    <t xml:space="preserve">3. Indicated PQS Unit/UNICEF LTA prices are for planning purposes and are the highest unit prices provided for each equipment </t>
  </si>
  <si>
    <t>GVR 75 Lite AC</t>
  </si>
  <si>
    <t>GVR 75 Lite AC with RTMS (Bey. Wire. ICE3 BC141 bundled)</t>
  </si>
  <si>
    <t>4. Service bundle costs are Gavi planning estimates. Lower limit estimates should be used for facilities closest to
 the distribution point while the upper limit estimates should be used for facilities farthest from the distribution point.</t>
  </si>
  <si>
    <t>TCW 80 AC</t>
  </si>
  <si>
    <t>VLS 304A AC</t>
  </si>
  <si>
    <t>*Purchases for 30DTRs should be limited to equipment storing Covid vaccine only</t>
  </si>
  <si>
    <t>VLS 304A AC with RTMS (Own integrated)</t>
  </si>
  <si>
    <t xml:space="preserve">*Purchases for voltage regulators is limited to equipment storing Covid vaccines only   </t>
  </si>
  <si>
    <t>VLS 204A AC</t>
  </si>
  <si>
    <t>VLS 204A AC with RTMS (Own integrated)</t>
  </si>
  <si>
    <t>GVR 99 Lite AC</t>
  </si>
  <si>
    <t>GVR 99 Lite AC with RTMS  (Bey. Wire. ICE3 BC141 bundled)</t>
  </si>
  <si>
    <t>HBC-120</t>
  </si>
  <si>
    <t>HBC-120 with RTMS (Haier U-Cool bundled)</t>
  </si>
  <si>
    <t>&gt;120L</t>
  </si>
  <si>
    <t>VLS 504A AC</t>
  </si>
  <si>
    <t>VLS 504A AC with RTMS (Own integrated)</t>
  </si>
  <si>
    <t>Dulas Solar</t>
  </si>
  <si>
    <t>VC 225 ILR</t>
  </si>
  <si>
    <t>VC 225 ILR with RTMS (B Wireless ICE3 BC141)</t>
  </si>
  <si>
    <t>HBC 260</t>
  </si>
  <si>
    <t>HBC 260 with RTMS (Haier U-Cool bundled)</t>
  </si>
  <si>
    <t>GVR 225 AC</t>
  </si>
  <si>
    <t>GVR 225 AC with RTMS (Bey. Wire. ICE3 BC141 bundled)</t>
  </si>
  <si>
    <t>TCW 4000 AC</t>
  </si>
  <si>
    <t xml:space="preserve">Coolfinity  </t>
  </si>
  <si>
    <t>Coolfinity IceVolt 300P</t>
  </si>
  <si>
    <t>Coolfinity IceVolt 300P  with RTMS (SmartMonitor SITE L bundled)</t>
  </si>
  <si>
    <t>HBCD - 90</t>
  </si>
  <si>
    <t>HBCD - 90 with RTMS (Haier U-Cool bundled)</t>
  </si>
  <si>
    <t>GVR 55 FF AC</t>
  </si>
  <si>
    <t>GVR 55 FF AC with RTMS  (Bey. Wire. ICE3 BC141 bundled)</t>
  </si>
  <si>
    <t>VLS 064 RF AC</t>
  </si>
  <si>
    <t>VLS 064 RF AC with RTMS (Own integrated)</t>
  </si>
  <si>
    <t>TCW120AC</t>
  </si>
  <si>
    <t>&gt;120</t>
  </si>
  <si>
    <t>DW-25W147</t>
  </si>
  <si>
    <t>DW-25W147 with RTMS (Bey. Wire. ICE3 BC141 bundled)</t>
  </si>
  <si>
    <t>HBD-86</t>
  </si>
  <si>
    <t>HBD-86 with RTMS (Bey. Wire. ICE3 BC141 bundled)</t>
  </si>
  <si>
    <t>DW-25W300</t>
  </si>
  <si>
    <t>DW-25W300 with RTMS (Bey. Wire. ICE3 BC141 bundled)</t>
  </si>
  <si>
    <t>MF 314</t>
  </si>
  <si>
    <t>MF 314 with RTMS (Own integrated)</t>
  </si>
  <si>
    <t>HBD-265</t>
  </si>
  <si>
    <t>HBD-265 with RTMS (Haier U-Cool bundled)</t>
  </si>
  <si>
    <t>GMF 200 ECO</t>
  </si>
  <si>
    <t>GMF 200 ECO with RTMS (Bey. Wire. ICE3 BC141 bundled)</t>
  </si>
  <si>
    <t>MF 114</t>
  </si>
  <si>
    <t>MF 114 with RTMS (Own integrated)</t>
  </si>
  <si>
    <t>TCW 40R SDD</t>
  </si>
  <si>
    <t>GVR 50 DC</t>
  </si>
  <si>
    <t>GVR 50 DC with RTMS  (Bey. Wire. ICE3 BC141 bundled)</t>
  </si>
  <si>
    <t>CFD-50 SDD</t>
  </si>
  <si>
    <t>CFD-50 SDD with RTMS (Bey. Wire. ICE3 BC141 bundled)</t>
  </si>
  <si>
    <t>VLS 054A SDD</t>
  </si>
  <si>
    <t>VLS 054A SDD with RTMS (Own integrated)</t>
  </si>
  <si>
    <t>HTC 110 SDD</t>
  </si>
  <si>
    <t>HTC 110 SDD with RTMS (Haier U-Cool bundled)</t>
  </si>
  <si>
    <t>VC 88 SDD</t>
  </si>
  <si>
    <t>VC 88 SDD with RTMS (B Wirless ICE3 BC141)</t>
  </si>
  <si>
    <t>VLS 094A SDD</t>
  </si>
  <si>
    <t>VLS 094A SDD with RTMS (Own integrated)</t>
  </si>
  <si>
    <t>GVR 100 DC</t>
  </si>
  <si>
    <t>GVR 100 DC with RTMS (Bey. Wire. ICE3 BC141 bundled)</t>
  </si>
  <si>
    <t>HTC-120</t>
  </si>
  <si>
    <t>HTC-120 with RTMS (Haier U-Cool bundled)</t>
  </si>
  <si>
    <t>TCW 80 SDD</t>
  </si>
  <si>
    <t>VC 200 SDD</t>
  </si>
  <si>
    <t>VC 200 SDD with RTMS (B Wirless ICE3 BC141)</t>
  </si>
  <si>
    <t>VLS 154A SDD</t>
  </si>
  <si>
    <t>VLS 154A SDD with RTMS (Own integrated)</t>
  </si>
  <si>
    <t>HTC-240</t>
  </si>
  <si>
    <t>HTC-240 with RTMS (Haier U-Cool bundled)</t>
  </si>
  <si>
    <t>TCW 4000 SDD</t>
  </si>
  <si>
    <t>TCW 40 SDD</t>
  </si>
  <si>
    <t>HTCD 90 SDD</t>
  </si>
  <si>
    <t>HTCD 90 SDD with RTMS (Haier U-Cool bundled)</t>
  </si>
  <si>
    <t>VLS 056 RF SDD</t>
  </si>
  <si>
    <t>VLS 056 RF SDD with RTMS (Own integrated)</t>
  </si>
  <si>
    <t>VC 60 SDD</t>
  </si>
  <si>
    <t>VC 60 SDD with RTMS (B Wirless ICE13 BC141)</t>
  </si>
  <si>
    <t>GVR 55 FF DC</t>
  </si>
  <si>
    <t>GVR 55 FF DC with RTMS (Bey. Wire. ICE3 BC141 bundled)</t>
  </si>
  <si>
    <t>TCD-100</t>
  </si>
  <si>
    <t>TCD-100 with RTMS (Bey. Wire. ICE3 BC141 bundled)</t>
  </si>
  <si>
    <t>TCW 2043 SDD</t>
  </si>
  <si>
    <t>HTCD 160B SDD</t>
  </si>
  <si>
    <t>HTCD 160B SDD with RTMS (Haier U-Cool bundled)</t>
  </si>
  <si>
    <t>VC 150 SDD</t>
  </si>
  <si>
    <t>VC 150 SDD with RTMS (B Wireless ICE3 BC141)</t>
  </si>
  <si>
    <t>VLS 096A RF SDD</t>
  </si>
  <si>
    <t>VLS 096A RF SDD with RTMS (Own integrated)</t>
  </si>
  <si>
    <t>TCW120SDD</t>
  </si>
  <si>
    <t>VFS 048 SDD</t>
  </si>
  <si>
    <t>HTD 40 SDD</t>
  </si>
  <si>
    <t>TFW 40 SDD</t>
  </si>
  <si>
    <t>_7. Temperature monitoring device_30DTR_Existing CCE</t>
  </si>
  <si>
    <t>Berlinger</t>
  </si>
  <si>
    <t>Fridge-Tag 2 E</t>
  </si>
  <si>
    <t>LogTag</t>
  </si>
  <si>
    <t>Vaxtag (TRID30-7FW)</t>
  </si>
  <si>
    <t>LogTag USB Cradle</t>
  </si>
  <si>
    <t>HETL-01</t>
  </si>
  <si>
    <t>Beyond Wireless</t>
  </si>
  <si>
    <t>ICE3 (WICR Model BC141) + 3 years data/portal access</t>
  </si>
  <si>
    <t>Ikhaya</t>
  </si>
  <si>
    <t>VM 1000 (WICR Model)+ 3 years data/portal access</t>
  </si>
  <si>
    <t>ICE3 EXTRA - MODEL BC440 (2 WICR Model) + 3 years data/portal access</t>
  </si>
  <si>
    <t>VM 1000 (2 WICR Model)+ 3 years data/portal access</t>
  </si>
  <si>
    <t>ICE3 EXTRA - MODEL BC440 (3 WICR Model)+ 3 years data/portal access</t>
  </si>
  <si>
    <t>VM 1000 (Refrigerator model)+ 3 years data/portal access</t>
  </si>
  <si>
    <t>Nexleaf</t>
  </si>
  <si>
    <t>CTX (Refrigerator model CTX)+ 3 years data/portal access</t>
  </si>
  <si>
    <t>Parsyl</t>
  </si>
  <si>
    <t>Trek Pro (Refrigerator model)+ 3 years data/portal access</t>
  </si>
  <si>
    <t>Haier U-Cool (Refrigerator model)+ 3 years data/portal access</t>
  </si>
  <si>
    <t>SmartMonitor Site L (Refrigerator model)+ 3 years data/portal access</t>
  </si>
  <si>
    <t>ICE3 (Refrigerator Model BC141)+ 3 years data/portal access</t>
  </si>
  <si>
    <t>&gt;5L</t>
  </si>
  <si>
    <t>Arktek YBC - 5</t>
  </si>
  <si>
    <t>&lt;5L</t>
  </si>
  <si>
    <t>AOV</t>
  </si>
  <si>
    <t>AFVC 46</t>
  </si>
  <si>
    <t>AFVC 44</t>
  </si>
  <si>
    <t>Blow Kings</t>
  </si>
  <si>
    <t>BK-VC-FF 1.6L</t>
  </si>
  <si>
    <t>BK-VC-FF 2.4L</t>
  </si>
  <si>
    <t xml:space="preserve">Qingdao Leff </t>
  </si>
  <si>
    <t>FFVC-1.7L</t>
  </si>
  <si>
    <t>Nilkamal</t>
  </si>
  <si>
    <t>BCVC46LFF</t>
  </si>
  <si>
    <t>RCW1</t>
  </si>
  <si>
    <t>&gt;15L</t>
  </si>
  <si>
    <t>FFCB-15L</t>
  </si>
  <si>
    <t>&lt;15L</t>
  </si>
  <si>
    <t>FFCB-20L</t>
  </si>
  <si>
    <t>Sollatek</t>
  </si>
  <si>
    <t>SVS04-22E 4A</t>
  </si>
  <si>
    <t>HVS-1000U</t>
  </si>
  <si>
    <t>0.3L</t>
  </si>
  <si>
    <t>AIP3</t>
  </si>
  <si>
    <t>APEX</t>
  </si>
  <si>
    <t>AIIP03</t>
  </si>
  <si>
    <t>BK V4H</t>
  </si>
  <si>
    <t xml:space="preserve">Nilkamal </t>
  </si>
  <si>
    <t>BIP-3</t>
  </si>
  <si>
    <t>WP-0.3L</t>
  </si>
  <si>
    <t>0.4L</t>
  </si>
  <si>
    <t>AIP4</t>
  </si>
  <si>
    <t>AIIP04</t>
  </si>
  <si>
    <t>BK 4</t>
  </si>
  <si>
    <t>BIP-4</t>
  </si>
  <si>
    <t>WP-0.4L</t>
  </si>
  <si>
    <t>0.6L</t>
  </si>
  <si>
    <t>AIP6</t>
  </si>
  <si>
    <t>AIIP06</t>
  </si>
  <si>
    <t>BK 6</t>
  </si>
  <si>
    <t>BIP-6</t>
  </si>
  <si>
    <t>Icepack 0.6L - set of 24</t>
  </si>
  <si>
    <t>WP-0.6L</t>
  </si>
  <si>
    <t>_14.Spare parts On grid ILR_without freezer comp</t>
  </si>
  <si>
    <t>_15.Spare parts On grid ILR_with freezer comp</t>
  </si>
  <si>
    <t>_16.Spare parts On grid freezers</t>
  </si>
  <si>
    <t>_17.Spare parts Off grid SDD refrigerators_without freezer comp</t>
  </si>
  <si>
    <t>_18.Spare parts Off grid SDD refrigerators_with freezer comp</t>
  </si>
  <si>
    <t>_19.Spare parts Off grid SDD freezer</t>
  </si>
  <si>
    <t>Fridge-tag 3 annual data subscription</t>
  </si>
  <si>
    <t>SmartMonitor Site L annual data subscription</t>
  </si>
  <si>
    <t>ICE3 (BC141) annual data subscription</t>
  </si>
  <si>
    <t>Haier U-Cool annual data subscription</t>
  </si>
  <si>
    <t>Vestfrost integrated RTMD annual data subscription</t>
  </si>
  <si>
    <t>VM 1000 annual data subscription</t>
  </si>
  <si>
    <t>CTX annual data subscription</t>
  </si>
  <si>
    <t>ColdTrace 5 annual data subscription</t>
  </si>
  <si>
    <t>U-Cool LoRa annual data subscription</t>
  </si>
  <si>
    <t>ICE3 (BC440) annual data subscription</t>
  </si>
  <si>
    <t>VM 1000 (for WICRs) annual data subscription</t>
  </si>
  <si>
    <t>Trek Pro annual data subscription</t>
  </si>
  <si>
    <t>_21.Training In Person</t>
  </si>
  <si>
    <t xml:space="preserve">In-person  refrigerators  and freezers  installation, maintenance , and repair </t>
  </si>
  <si>
    <t>In-person RTMD system , technician and general training on refrigerators and freezers</t>
  </si>
  <si>
    <t>In-person RTMD system , technician and general training on WICRs/WIFRs</t>
  </si>
  <si>
    <t>Remote RTMD system , technician and general training on refrigerators and freezers</t>
  </si>
  <si>
    <t>Remote RTMD system , technician and general training on WICRs/WIFRs</t>
  </si>
  <si>
    <t>Dropdown table 1-&gt; Type of equipment</t>
  </si>
  <si>
    <t>typeofequipment</t>
  </si>
  <si>
    <t xml:space="preserve"> On grid ILR_without freezer comp</t>
  </si>
  <si>
    <t xml:space="preserve"> On grid ILR_with freezer comp</t>
  </si>
  <si>
    <t xml:space="preserve"> On grid freezers</t>
  </si>
  <si>
    <t xml:space="preserve"> Off grid SDD refrigerators_without freezer comp</t>
  </si>
  <si>
    <t xml:space="preserve"> Off grid SDD refrigerators_with freezer comp</t>
  </si>
  <si>
    <t xml:space="preserve"> Off grid SDD freezer</t>
  </si>
  <si>
    <t xml:space="preserve"> Existing CCE Temperature monitoring device_30DTR</t>
  </si>
  <si>
    <t>Remote temperature monitoring devices_RTMDs</t>
  </si>
  <si>
    <t>Long term passive devices</t>
  </si>
  <si>
    <t xml:space="preserve"> Freeze free vaccine carriers</t>
  </si>
  <si>
    <t xml:space="preserve"> Freeze free cold boxes</t>
  </si>
  <si>
    <t xml:space="preserve"> Voltage regulators for equipment </t>
  </si>
  <si>
    <t xml:space="preserve"> Ice packs</t>
  </si>
  <si>
    <t>Spare parts New On grid ILR_without freezer comp</t>
  </si>
  <si>
    <t>Spare parts New On grid ILR_with freezer comp</t>
  </si>
  <si>
    <t>Spare parts New On grid freezers</t>
  </si>
  <si>
    <t>Spare parts New Off grid SDD refrigerators_without freezer comp</t>
  </si>
  <si>
    <t>Spare parts New Off grid SDD refrigerators_with freezer comp</t>
  </si>
  <si>
    <t>Spare parts New Off grid SDD freezer</t>
  </si>
  <si>
    <t>Annual Data Subscription renewals for Existing RTMDs</t>
  </si>
  <si>
    <t>Training In person</t>
  </si>
  <si>
    <t>Training Remote</t>
  </si>
  <si>
    <t>_12. Temperature monitoring device_30DTR</t>
  </si>
  <si>
    <t>_14. Standard vaccine carriers</t>
  </si>
  <si>
    <t xml:space="preserve">_18. Voltage regulators for equipment </t>
  </si>
  <si>
    <t>Years</t>
  </si>
  <si>
    <t>_19. Ice packs</t>
  </si>
  <si>
    <t>_22. Spare parts for new freezer equipment</t>
  </si>
  <si>
    <t>_23. Spare parts for new SDD without freezer comp</t>
  </si>
  <si>
    <t>_24. Spare parts for new SDD with freezer comp</t>
  </si>
  <si>
    <t>_25. Spare parts for new SDD freezer</t>
  </si>
  <si>
    <t>_1.OngridILR_withoutfreezercomp</t>
  </si>
  <si>
    <t>_2.OngridILR_withfreezercomp</t>
  </si>
  <si>
    <t>_3.Ongridfreezers</t>
  </si>
  <si>
    <t>_4.OffgridSDDrefrigerators_withoutfreezercomp</t>
  </si>
  <si>
    <t>_5.OffgridSDDrefrigerators_withfreezercomp</t>
  </si>
  <si>
    <t>_6.OffgridSDDfreezer</t>
  </si>
  <si>
    <t>_7.ExistingCCETemperaturemonitoringdevice_30DTR</t>
  </si>
  <si>
    <t>_8.Remotetemperaturemonitoringdevices_RTMDs</t>
  </si>
  <si>
    <t>_9.Longtermpassivedevices</t>
  </si>
  <si>
    <t>_10.Freezefreevaccinecarriers</t>
  </si>
  <si>
    <t>_11.Freezefreecoldboxes</t>
  </si>
  <si>
    <t>_12.Voltageregulatorsforequipment</t>
  </si>
  <si>
    <t>_13.Icepacks</t>
  </si>
  <si>
    <t>_14.SparepartsNewOngridILR_withoutfreezercomp</t>
  </si>
  <si>
    <t>_15.SparepartsNewOngridILR_withfreezercomp</t>
  </si>
  <si>
    <t>_16.SparepartsNewOngridfreezers</t>
  </si>
  <si>
    <t>_17.SparepartsNewOffgridSDDrefrigerators_withoutfreezercomp</t>
  </si>
  <si>
    <t>_18.SparepartsNewOffgridSDDrefrigerators_withfreezercomp</t>
  </si>
  <si>
    <t>_19.SparepartsNewOffgridSDDfreezer</t>
  </si>
  <si>
    <t>_20.AnnualDataSubscriptionrenewalsforExistingRTMDs</t>
  </si>
  <si>
    <t>_21.TrainingInperson</t>
  </si>
  <si>
    <t>_22.TrainingRemote</t>
  </si>
  <si>
    <t>0 - &lt; 60L</t>
  </si>
  <si>
    <t>WICR</t>
  </si>
  <si>
    <t>5 - &lt;10L</t>
  </si>
  <si>
    <t>0 - &lt;5L</t>
  </si>
  <si>
    <t>&gt; - 15L</t>
  </si>
  <si>
    <t>&gt; - 120L</t>
  </si>
  <si>
    <t>Refrigerator</t>
  </si>
  <si>
    <t>&lt; 15L</t>
  </si>
  <si>
    <t>TCW 40R AC-spare parts</t>
  </si>
  <si>
    <t>HBCD - 90-spare parts</t>
  </si>
  <si>
    <t>DW-25W147-spare parts</t>
  </si>
  <si>
    <t>TCW 40R SDD -spare parts</t>
  </si>
  <si>
    <t>TCW 40 SDD -spare parts</t>
  </si>
  <si>
    <t>HTD 40 SDD -spare parts</t>
  </si>
  <si>
    <t>HVS-1000E</t>
  </si>
  <si>
    <t>TCD-100-spare parts</t>
  </si>
  <si>
    <t>GVR 55 FF AC-spare parts</t>
  </si>
  <si>
    <t>MF 114-spare parts</t>
  </si>
  <si>
    <t>GVR 50 DC -spare parts</t>
  </si>
  <si>
    <t>HTCD 90 SDD -spare parts</t>
  </si>
  <si>
    <t>VFS 048 SDD -spare parts</t>
  </si>
  <si>
    <t>GVR 50 DC with RTMS (Bey. Wire. ICE3 BC141 bundled)</t>
  </si>
  <si>
    <t>GVR 51 Lite AC-spare parts</t>
  </si>
  <si>
    <t>VLS 064 RF AC-spare parts</t>
  </si>
  <si>
    <t>HBD-86-spare parts</t>
  </si>
  <si>
    <t>CFD-50 SDD -spare parts</t>
  </si>
  <si>
    <t>VLS 056 RF SDD -spare parts</t>
  </si>
  <si>
    <t>TFW 40 SDD -spare parts</t>
  </si>
  <si>
    <t>VLS 174A AC-spare parts</t>
  </si>
  <si>
    <t>TCW120AC-spare parts</t>
  </si>
  <si>
    <t>DW-25W300-spare parts</t>
  </si>
  <si>
    <t>VC 60 SDD -spare parts</t>
  </si>
  <si>
    <t>CFD-50 SDD with RTMS (Fridge Tag 3 bundled)</t>
  </si>
  <si>
    <t>HBC 80-spare parts</t>
  </si>
  <si>
    <t>MF 314-spare parts</t>
  </si>
  <si>
    <t>VLS 054A SDD -spare parts</t>
  </si>
  <si>
    <t>GVR 55 FF DC -spare parts</t>
  </si>
  <si>
    <t>VC 50 SDD</t>
  </si>
  <si>
    <t>GVR 75 Lite AC-spare parts</t>
  </si>
  <si>
    <t>HBD-265-spare parts</t>
  </si>
  <si>
    <t>HTC 110 SDD -spare parts</t>
  </si>
  <si>
    <t>TCW 2043 SDD -spare parts</t>
  </si>
  <si>
    <t>VC 50 SDD with RTMS (B Wireless ICE3 BC141)</t>
  </si>
  <si>
    <t>TCW 80 AC-spare parts</t>
  </si>
  <si>
    <t>TCW120SDD-spare parts</t>
  </si>
  <si>
    <t>VC 88 SDD -spare parts</t>
  </si>
  <si>
    <t>HTCD 160 SDD -spare parts</t>
  </si>
  <si>
    <t>VLS 304A AC-spare parts</t>
  </si>
  <si>
    <t>GMF 200 ECO-spare parts</t>
  </si>
  <si>
    <t>VLS 094A SDD -spare parts</t>
  </si>
  <si>
    <t>VC 150 SDD -spare parts</t>
  </si>
  <si>
    <t>VLS 204A AC-spare parts</t>
  </si>
  <si>
    <t>GVR 100 DC -spare parts</t>
  </si>
  <si>
    <t>VLS 096A RF SDD -spare parts</t>
  </si>
  <si>
    <t>GVR 99 Lite AC-spare parts</t>
  </si>
  <si>
    <t>HTC-120 -spare parts</t>
  </si>
  <si>
    <t>TCD-100 -spare parts</t>
  </si>
  <si>
    <t>Coolfinity IceVolt 300P  with RTMS (Fridge Tag 3 bundled)</t>
  </si>
  <si>
    <t>HBC-120-spare parts</t>
  </si>
  <si>
    <t>TCW 80 SDD -spare parts</t>
  </si>
  <si>
    <t>TCW120SDD -spare parts</t>
  </si>
  <si>
    <t>VLS 504A AC-spare parts</t>
  </si>
  <si>
    <t>VC 200 SDD -spare parts</t>
  </si>
  <si>
    <t>VC 225 ILR-spare parts</t>
  </si>
  <si>
    <t>VLS 154A SDD -spare parts</t>
  </si>
  <si>
    <t>HBC 260-spare parts</t>
  </si>
  <si>
    <t>HTC-240 -spare parts</t>
  </si>
  <si>
    <t>GVR 225 AC-spare parts</t>
  </si>
  <si>
    <t>TCW 4000 SDD -spare parts</t>
  </si>
  <si>
    <t>TCW 4000 AC-spare parts</t>
  </si>
  <si>
    <t>Coolfinity IceVolt 300P-spare parts</t>
  </si>
  <si>
    <t>CFD-50-spare parts</t>
  </si>
  <si>
    <t>5.0 countries</t>
  </si>
  <si>
    <t>UNICEF procurement fee</t>
  </si>
  <si>
    <t>Afghanistan</t>
  </si>
  <si>
    <t>Bangladesh</t>
  </si>
  <si>
    <t>Benin</t>
  </si>
  <si>
    <t>Burkina Faso</t>
  </si>
  <si>
    <t>Burundi</t>
  </si>
  <si>
    <t>Cambodia</t>
  </si>
  <si>
    <t>Cameroun</t>
  </si>
  <si>
    <t>CAR</t>
  </si>
  <si>
    <t>Chad</t>
  </si>
  <si>
    <t>Comoros</t>
  </si>
  <si>
    <t>Congo</t>
  </si>
  <si>
    <t>Congo DRC</t>
  </si>
  <si>
    <t>Côte d'Ivoire</t>
  </si>
  <si>
    <t>Djibouti</t>
  </si>
  <si>
    <t>Eritrea</t>
  </si>
  <si>
    <t>Ethiopia</t>
  </si>
  <si>
    <t>Gambia</t>
  </si>
  <si>
    <t>Ghana</t>
  </si>
  <si>
    <t>Guinea</t>
  </si>
  <si>
    <t>Guinea Bissau</t>
  </si>
  <si>
    <t>Haiti</t>
  </si>
  <si>
    <t>Kenya</t>
  </si>
  <si>
    <t>Korea, Republic of</t>
  </si>
  <si>
    <t>kryzgstan</t>
  </si>
  <si>
    <t>Lao PDR</t>
  </si>
  <si>
    <t>Lesotho</t>
  </si>
  <si>
    <t>Liberia</t>
  </si>
  <si>
    <t>Madagascar</t>
  </si>
  <si>
    <t>Malawi</t>
  </si>
  <si>
    <t>Mali</t>
  </si>
  <si>
    <t>Mauritania</t>
  </si>
  <si>
    <t>Mozambique</t>
  </si>
  <si>
    <t>Myanmar</t>
  </si>
  <si>
    <t>Nepal</t>
  </si>
  <si>
    <t>Niger</t>
  </si>
  <si>
    <t>Pakistan</t>
  </si>
  <si>
    <t>Rwanda</t>
  </si>
  <si>
    <t>Sao Tome &amp; Principe</t>
  </si>
  <si>
    <t>Senegal</t>
  </si>
  <si>
    <t>Sierra Leone</t>
  </si>
  <si>
    <t>Solomon Isl</t>
  </si>
  <si>
    <t>Somalia</t>
  </si>
  <si>
    <t>Sudan South</t>
  </si>
  <si>
    <t>Sudan, Republic of</t>
  </si>
  <si>
    <t>Syria</t>
  </si>
  <si>
    <t>Syria NWS</t>
  </si>
  <si>
    <t>Tajikistan</t>
  </si>
  <si>
    <t>Tanzania</t>
  </si>
  <si>
    <t>Timor Leste</t>
  </si>
  <si>
    <t>Togo</t>
  </si>
  <si>
    <t>Uganda</t>
  </si>
  <si>
    <t>Yemen</t>
  </si>
  <si>
    <t>Zambia</t>
  </si>
  <si>
    <t>Zimbabwe</t>
  </si>
  <si>
    <t>Indigo 201 (Carrier)</t>
  </si>
  <si>
    <t>Indigo 201 (Charger)</t>
  </si>
  <si>
    <t>Emvolio Plus</t>
  </si>
  <si>
    <t>_23.Transportable, Powered Vaccine Storage_TPVS</t>
  </si>
  <si>
    <t>_23.Transportable,PoweredVaccineStorage_TPVS</t>
  </si>
  <si>
    <t>EMK TEC GmbH</t>
  </si>
  <si>
    <t>BlackFrog Technologies Private Limited</t>
  </si>
  <si>
    <t>1.7L</t>
  </si>
  <si>
    <t>1.55L</t>
  </si>
  <si>
    <t>Transportable Powered Vaccine Storage_TPVS</t>
  </si>
  <si>
    <t>_23.TransportablePoweredVaccineStorage_TPVS</t>
  </si>
  <si>
    <t>_23.Transportable Powered Vaccine Storage_TPVS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</si>
</sst>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00_-;\-&quot;£&quot;* #,##0.00_-;_-&quot;£&quot;* &quot;-&quot;??_-;_-@_-"/>
    <numFmt numFmtId="165" formatCode="#,##0.0"/>
    <numFmt numFmtId="166" formatCode="0.0%"/>
    <numFmt numFmtId="167" formatCode="&quot;$&quot;#,##0"/>
    <numFmt numFmtId="168" formatCode="&quot;$&quot;#,##0.00"/>
    <numFmt numFmtId="169" formatCode="_([$$-409]* #,##0.00_);_([$$-409]* \(#,##0.00\);_([$$-409]* &quot;-&quot;??_);_(@_)"/>
    <numFmt numFmtId="170" formatCode="_(* #,##0.0_);_(* \(#,##0.0\);_(* &quot;-&quot;??_);_(@_)"/>
    <numFmt numFmtId="171" formatCode="_(* #,##0_);_(* \(#,##0\);_(* &quot;-&quot;??_);_(@_)"/>
    <numFmt numFmtId="172" formatCode="_(&quot;$&quot;* #,##0_);_(&quot;$&quot;* \(#,##0\);_(&quot;$&quot;* &quot;-&quot;??_);_(@_)"/>
    <numFmt numFmtId="173" formatCode="_([$$-409]* #,##0_);_([$$-409]* \(#,##0\);_([$$-409]* &quot;-&quot;??_);_(@_)"/>
  </numFmts>
  <fonts count="39"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8"/>
      <color theme="8" tint="-0.499984740745262"/>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4"/>
      <color theme="8" tint="-0.499984740745262"/>
      <name val="Calibri"/>
      <family val="2"/>
      <scheme val="minor"/>
    </font>
    <font>
      <sz val="14"/>
      <color theme="8" tint="-0.499984740745262"/>
      <name val="Calibri"/>
      <family val="2"/>
      <scheme val="minor"/>
    </font>
    <font>
      <b/>
      <sz val="11"/>
      <color theme="8" tint="-0.499984740745262"/>
      <name val="Calibri"/>
      <family val="2"/>
      <scheme val="minor"/>
    </font>
    <font>
      <sz val="10"/>
      <name val="Arial"/>
      <family val="2"/>
    </font>
    <font>
      <i/>
      <sz val="11"/>
      <color theme="4"/>
      <name val="Calibri"/>
      <family val="2"/>
      <scheme val="minor"/>
    </font>
    <font>
      <i/>
      <sz val="11"/>
      <color theme="1"/>
      <name val="Calibri"/>
      <family val="2"/>
      <scheme val="minor"/>
    </font>
    <font>
      <b/>
      <i/>
      <sz val="16"/>
      <color rgb="FFC00000"/>
      <name val="Calibri"/>
      <family val="2"/>
      <scheme val="minor"/>
    </font>
    <font>
      <sz val="11"/>
      <color rgb="FF0070C0"/>
      <name val="Calibri"/>
      <family val="2"/>
      <scheme val="minor"/>
    </font>
    <font>
      <sz val="11"/>
      <color theme="8"/>
      <name val="Calibri"/>
      <family val="2"/>
      <scheme val="minor"/>
    </font>
    <font>
      <i/>
      <sz val="11"/>
      <name val="Calibri"/>
      <family val="2"/>
      <scheme val="minor"/>
    </font>
    <font>
      <b/>
      <i/>
      <sz val="11"/>
      <name val="Calibri"/>
      <family val="2"/>
      <scheme val="minor"/>
    </font>
    <font>
      <b/>
      <i/>
      <sz val="11"/>
      <color theme="1"/>
      <name val="Calibri"/>
      <family val="2"/>
      <scheme val="minor"/>
    </font>
    <font>
      <b/>
      <i/>
      <u/>
      <sz val="11"/>
      <color theme="1"/>
      <name val="Calibri"/>
      <family val="2"/>
      <scheme val="minor"/>
    </font>
    <font>
      <i/>
      <sz val="11"/>
      <color rgb="FFC00000"/>
      <name val="Calibri"/>
      <family val="2"/>
      <scheme val="minor"/>
    </font>
    <font>
      <b/>
      <sz val="18"/>
      <color theme="5"/>
      <name val="Calibri"/>
      <family val="2"/>
      <scheme val="minor"/>
    </font>
    <font>
      <i/>
      <sz val="11"/>
      <color theme="0"/>
      <name val="Calibri"/>
      <family val="2"/>
      <scheme val="minor"/>
    </font>
    <font>
      <sz val="8"/>
      <name val="Calibri"/>
      <family val="2"/>
      <scheme val="minor"/>
    </font>
    <font>
      <b/>
      <sz val="16"/>
      <color rgb="FFC00000"/>
      <name val="Calibri"/>
      <family val="2"/>
      <scheme val="minor"/>
    </font>
    <font>
      <b/>
      <sz val="14"/>
      <color theme="8" tint="-0.249977111117893"/>
      <name val="Calibri"/>
      <family val="2"/>
      <scheme val="minor"/>
    </font>
    <font>
      <b/>
      <sz val="11"/>
      <color rgb="FF00B050"/>
      <name val="Calibri"/>
      <family val="2"/>
      <scheme val="minor"/>
    </font>
    <font>
      <b/>
      <sz val="16"/>
      <color theme="4" tint="-0.249977111117893"/>
      <name val="Calibri"/>
      <family val="2"/>
      <scheme val="minor"/>
    </font>
    <font>
      <b/>
      <u/>
      <sz val="14"/>
      <color theme="4" tint="-0.249977111117893"/>
      <name val="Calibri"/>
      <family val="2"/>
      <scheme val="minor"/>
    </font>
    <font>
      <b/>
      <sz val="14"/>
      <color theme="4" tint="-0.249977111117893"/>
      <name val="Calibri"/>
      <family val="2"/>
      <scheme val="minor"/>
    </font>
    <font>
      <b/>
      <u/>
      <sz val="16"/>
      <color theme="4" tint="-0.249977111117893"/>
      <name val="Calibri"/>
      <family val="2"/>
      <scheme val="minor"/>
    </font>
    <font>
      <b/>
      <i/>
      <sz val="11"/>
      <color theme="4"/>
      <name val="Calibri"/>
      <family val="2"/>
      <scheme val="minor"/>
    </font>
    <font>
      <b/>
      <i/>
      <sz val="11"/>
      <color rgb="FFFF0000"/>
      <name val="Calibri"/>
      <family val="2"/>
      <scheme val="minor"/>
    </font>
    <font>
      <b/>
      <sz val="14"/>
      <name val="Calibri"/>
      <family val="2"/>
      <scheme val="minor"/>
    </font>
    <font>
      <b/>
      <sz val="9"/>
      <color indexed="81"/>
      <name val="Tahoma"/>
      <family val="2"/>
    </font>
    <font>
      <sz val="9"/>
      <color indexed="81"/>
      <name val="Tahoma"/>
      <family val="2"/>
    </font>
  </fonts>
  <fills count="32">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CD9FF"/>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00206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FFCCFF"/>
        <bgColor indexed="64"/>
      </patternFill>
    </fill>
    <fill>
      <patternFill patternType="solid">
        <fgColor theme="3" tint="0.39997558519241921"/>
        <bgColor indexed="64"/>
      </patternFill>
    </fill>
    <fill>
      <patternFill patternType="solid">
        <fgColor rgb="FFFFFF00"/>
        <bgColor indexed="64"/>
      </patternFill>
    </fill>
    <fill>
      <patternFill patternType="solid">
        <fgColor theme="5" tint="-0.249977111117893"/>
        <bgColor indexed="64"/>
      </patternFill>
    </fill>
    <fill>
      <patternFill patternType="solid">
        <fgColor rgb="FFB4C6E7"/>
        <bgColor indexed="64"/>
      </patternFill>
    </fill>
    <fill>
      <patternFill patternType="solid">
        <fgColor rgb="FF00B0F0"/>
        <bgColor indexed="64"/>
      </patternFill>
    </fill>
    <fill>
      <patternFill patternType="solid">
        <fgColor rgb="FF7030A0"/>
        <bgColor indexed="64"/>
      </patternFill>
    </fill>
    <fill>
      <patternFill patternType="solid">
        <fgColor theme="5" tint="0.39997558519241921"/>
        <bgColor indexed="64"/>
      </patternFill>
    </fill>
    <fill>
      <patternFill patternType="solid">
        <fgColor rgb="FF00FFFF"/>
        <bgColor indexed="64"/>
      </patternFill>
    </fill>
  </fills>
  <borders count="89">
    <border>
      <left/>
      <right/>
      <top/>
      <bottom/>
      <diagonal/>
    </border>
    <border>
      <left style="medium">
        <color theme="4"/>
      </left>
      <right/>
      <top style="medium">
        <color theme="4"/>
      </top>
      <bottom/>
      <diagonal/>
    </border>
    <border>
      <left/>
      <right/>
      <top style="medium">
        <color theme="4"/>
      </top>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style="thin">
        <color theme="4"/>
      </left>
      <right/>
      <top/>
      <bottom/>
      <diagonal/>
    </border>
    <border>
      <left/>
      <right/>
      <top/>
      <bottom style="medium">
        <color theme="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ck">
        <color theme="8" tint="-0.499984740745262"/>
      </top>
      <bottom/>
      <diagonal/>
    </border>
    <border>
      <left style="medium">
        <color theme="0"/>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auto="1"/>
      </bottom>
      <diagonal/>
    </border>
    <border>
      <left style="medium">
        <color indexed="64"/>
      </left>
      <right/>
      <top style="medium">
        <color theme="4"/>
      </top>
      <bottom style="medium">
        <color theme="4"/>
      </bottom>
      <diagonal/>
    </border>
    <border>
      <left style="medium">
        <color indexed="64"/>
      </left>
      <right/>
      <top/>
      <bottom style="medium">
        <color theme="4"/>
      </bottom>
      <diagonal/>
    </border>
    <border>
      <left/>
      <right style="medium">
        <color indexed="64"/>
      </right>
      <top/>
      <bottom style="medium">
        <color theme="4"/>
      </bottom>
      <diagonal/>
    </border>
    <border>
      <left style="medium">
        <color indexed="64"/>
      </left>
      <right/>
      <top style="medium">
        <color theme="4"/>
      </top>
      <bottom/>
      <diagonal/>
    </border>
    <border>
      <left/>
      <right style="medium">
        <color indexed="64"/>
      </right>
      <top style="medium">
        <color theme="4"/>
      </top>
      <bottom/>
      <diagonal/>
    </border>
    <border>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theme="8" tint="-0.499984740745262"/>
      </left>
      <right/>
      <top/>
      <bottom/>
      <diagonal/>
    </border>
    <border>
      <left/>
      <right style="thick">
        <color theme="8" tint="-0.499984740745262"/>
      </right>
      <top/>
      <bottom/>
      <diagonal/>
    </border>
    <border>
      <left style="thick">
        <color auto="1"/>
      </left>
      <right style="thin">
        <color auto="1"/>
      </right>
      <top/>
      <bottom/>
      <diagonal/>
    </border>
    <border>
      <left style="thin">
        <color auto="1"/>
      </left>
      <right style="thick">
        <color auto="1"/>
      </right>
      <top/>
      <bottom/>
      <diagonal/>
    </border>
    <border>
      <left style="thin">
        <color auto="1"/>
      </left>
      <right style="medium">
        <color indexed="64"/>
      </right>
      <top style="medium">
        <color indexed="64"/>
      </top>
      <bottom style="thin">
        <color auto="1"/>
      </bottom>
      <diagonal/>
    </border>
    <border>
      <left/>
      <right style="thin">
        <color auto="1"/>
      </right>
      <top/>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thin">
        <color auto="1"/>
      </left>
      <right style="thin">
        <color auto="1"/>
      </right>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s>
  <cellStyleXfs count="7">
    <xf numFmtId="0" fontId="0" fillId="0" borderId="0"/>
    <xf numFmtId="0" fontId="7" fillId="0" borderId="0" applyNumberFormat="0" applyFill="0" applyBorder="0" applyAlignment="0" applyProtection="0"/>
    <xf numFmtId="9" fontId="9" fillId="0" borderId="0" applyFont="0" applyFill="0" applyBorder="0" applyAlignment="0" applyProtection="0"/>
    <xf numFmtId="0" fontId="13" fillId="0" borderId="0"/>
    <xf numFmtId="4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cellStyleXfs>
  <cellXfs count="477">
    <xf numFmtId="0" fontId="0" fillId="0" borderId="0" xfId="0"/>
    <xf numFmtId="0" fontId="0" fillId="0" borderId="6" xfId="0" applyBorder="1"/>
    <xf numFmtId="0" fontId="0" fillId="0" borderId="0" xfId="0" applyAlignment="1">
      <alignment vertical="top"/>
    </xf>
    <xf numFmtId="0" fontId="0" fillId="0" borderId="0" xfId="0" applyAlignment="1">
      <alignment vertical="center"/>
    </xf>
    <xf numFmtId="3" fontId="0" fillId="0" borderId="9" xfId="0" applyNumberFormat="1" applyBorder="1" applyAlignment="1">
      <alignment vertical="center"/>
    </xf>
    <xf numFmtId="0" fontId="1" fillId="14" borderId="8" xfId="0" applyFont="1" applyFill="1" applyBorder="1" applyAlignment="1">
      <alignment horizontal="center" vertical="center" wrapText="1"/>
    </xf>
    <xf numFmtId="0" fontId="1" fillId="14" borderId="13" xfId="0" applyFont="1" applyFill="1" applyBorder="1" applyAlignment="1">
      <alignment horizontal="center" vertical="center" wrapText="1"/>
    </xf>
    <xf numFmtId="0" fontId="0" fillId="0" borderId="0" xfId="0" applyAlignment="1">
      <alignment vertical="center" wrapText="1"/>
    </xf>
    <xf numFmtId="0" fontId="0" fillId="0" borderId="14" xfId="0" applyBorder="1" applyAlignment="1">
      <alignment vertical="top"/>
    </xf>
    <xf numFmtId="0" fontId="3" fillId="4" borderId="9" xfId="0" applyFont="1" applyFill="1" applyBorder="1" applyAlignment="1">
      <alignment vertical="center" wrapText="1"/>
    </xf>
    <xf numFmtId="0" fontId="0" fillId="8" borderId="9" xfId="0" applyFill="1" applyBorder="1" applyAlignment="1">
      <alignment vertical="center" wrapText="1"/>
    </xf>
    <xf numFmtId="0" fontId="0" fillId="7" borderId="9" xfId="0" applyFill="1" applyBorder="1" applyAlignment="1">
      <alignment vertical="center" wrapText="1"/>
    </xf>
    <xf numFmtId="0" fontId="0" fillId="10" borderId="9" xfId="0" applyFill="1" applyBorder="1" applyAlignment="1">
      <alignment vertical="center" wrapText="1"/>
    </xf>
    <xf numFmtId="0" fontId="2" fillId="0" borderId="0" xfId="0" applyFont="1" applyAlignment="1">
      <alignment horizontal="left" vertical="center"/>
    </xf>
    <xf numFmtId="0" fontId="0" fillId="0" borderId="0" xfId="0" applyAlignment="1">
      <alignment wrapText="1"/>
    </xf>
    <xf numFmtId="0" fontId="6" fillId="0" borderId="2" xfId="0" applyFont="1" applyBorder="1" applyAlignment="1">
      <alignment horizontal="left" vertical="top" wrapText="1"/>
    </xf>
    <xf numFmtId="0" fontId="6" fillId="0" borderId="1" xfId="0" applyFont="1" applyBorder="1" applyAlignment="1">
      <alignment vertical="top"/>
    </xf>
    <xf numFmtId="37" fontId="0" fillId="0" borderId="0" xfId="0" applyNumberFormat="1"/>
    <xf numFmtId="165" fontId="0" fillId="0" borderId="9" xfId="0" applyNumberFormat="1" applyBorder="1" applyAlignment="1">
      <alignment horizontal="right" vertical="center"/>
    </xf>
    <xf numFmtId="165" fontId="0" fillId="11" borderId="9" xfId="0" applyNumberFormat="1" applyFill="1" applyBorder="1" applyAlignment="1">
      <alignment horizontal="right" vertical="center"/>
    </xf>
    <xf numFmtId="0" fontId="6" fillId="0" borderId="2" xfId="0" applyFont="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2" fillId="5" borderId="9"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2" fillId="6" borderId="9" xfId="0" applyFont="1" applyFill="1" applyBorder="1" applyAlignment="1" applyProtection="1">
      <alignment vertical="center" wrapText="1"/>
      <protection locked="0"/>
    </xf>
    <xf numFmtId="0" fontId="1" fillId="15" borderId="9" xfId="0" applyFont="1" applyFill="1" applyBorder="1" applyAlignment="1" applyProtection="1">
      <alignment vertical="center" wrapText="1"/>
      <protection locked="0"/>
    </xf>
    <xf numFmtId="0" fontId="2" fillId="12" borderId="9" xfId="0" applyFont="1" applyFill="1" applyBorder="1" applyAlignment="1" applyProtection="1">
      <alignment vertical="center" wrapText="1"/>
      <protection locked="0"/>
    </xf>
    <xf numFmtId="0" fontId="2" fillId="2" borderId="9"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1" fillId="4" borderId="9" xfId="0" applyFont="1" applyFill="1" applyBorder="1" applyAlignment="1" applyProtection="1">
      <alignment vertical="center" wrapText="1"/>
      <protection locked="0"/>
    </xf>
    <xf numFmtId="0" fontId="2" fillId="7" borderId="9" xfId="0" applyFont="1" applyFill="1" applyBorder="1" applyAlignment="1" applyProtection="1">
      <alignment vertical="center" wrapText="1"/>
      <protection locked="0"/>
    </xf>
    <xf numFmtId="0" fontId="2" fillId="8" borderId="9" xfId="0" applyFont="1" applyFill="1" applyBorder="1" applyAlignment="1" applyProtection="1">
      <alignment vertical="center" wrapText="1"/>
      <protection locked="0"/>
    </xf>
    <xf numFmtId="0" fontId="2" fillId="9" borderId="9" xfId="0" applyFont="1" applyFill="1" applyBorder="1" applyAlignment="1" applyProtection="1">
      <alignment vertical="center" wrapText="1"/>
      <protection locked="0"/>
    </xf>
    <xf numFmtId="0" fontId="2" fillId="10" borderId="9" xfId="0" applyFont="1" applyFill="1" applyBorder="1" applyAlignment="1" applyProtection="1">
      <alignment vertical="center" wrapText="1"/>
      <protection locked="0"/>
    </xf>
    <xf numFmtId="0" fontId="5" fillId="13" borderId="9" xfId="0" applyFont="1" applyFill="1" applyBorder="1" applyAlignment="1" applyProtection="1">
      <alignment vertical="center" wrapText="1"/>
      <protection locked="0"/>
    </xf>
    <xf numFmtId="37" fontId="0" fillId="0" borderId="9" xfId="0" applyNumberFormat="1" applyBorder="1" applyAlignment="1" applyProtection="1">
      <alignment vertical="center" wrapText="1"/>
      <protection locked="0"/>
    </xf>
    <xf numFmtId="0" fontId="0" fillId="0" borderId="6" xfId="0" applyBorder="1" applyAlignment="1">
      <alignment wrapText="1"/>
    </xf>
    <xf numFmtId="0" fontId="11" fillId="0" borderId="0" xfId="0" applyFont="1"/>
    <xf numFmtId="0" fontId="10" fillId="0" borderId="4" xfId="0" applyFont="1" applyBorder="1" applyAlignment="1" applyProtection="1">
      <alignment horizontal="left" vertical="top"/>
      <protection locked="0"/>
    </xf>
    <xf numFmtId="0" fontId="11" fillId="0" borderId="6" xfId="0" applyFont="1" applyBorder="1"/>
    <xf numFmtId="0" fontId="11" fillId="0" borderId="0" xfId="0" applyFont="1" applyAlignment="1">
      <alignment vertical="top"/>
    </xf>
    <xf numFmtId="0" fontId="0" fillId="0" borderId="9" xfId="0" applyBorder="1" applyAlignment="1">
      <alignment horizontal="right" vertical="center"/>
    </xf>
    <xf numFmtId="0" fontId="0" fillId="0" borderId="9" xfId="0" applyBorder="1" applyAlignment="1">
      <alignment horizontal="right" vertical="center" wrapText="1"/>
    </xf>
    <xf numFmtId="37" fontId="0" fillId="0" borderId="9" xfId="0" applyNumberFormat="1" applyBorder="1" applyAlignment="1">
      <alignment horizontal="center" vertical="center"/>
    </xf>
    <xf numFmtId="0" fontId="10" fillId="0" borderId="32"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7" fillId="0" borderId="31" xfId="1" quotePrefix="1" applyBorder="1" applyAlignment="1" applyProtection="1">
      <alignment horizontal="left" vertical="top"/>
      <protection locked="0"/>
    </xf>
    <xf numFmtId="37" fontId="0" fillId="0" borderId="10" xfId="0" applyNumberFormat="1" applyBorder="1" applyAlignment="1">
      <alignment horizontal="right" vertical="center" wrapText="1"/>
    </xf>
    <xf numFmtId="0" fontId="0" fillId="22" borderId="9" xfId="0" applyFill="1" applyBorder="1" applyAlignment="1">
      <alignment vertical="center" wrapText="1"/>
    </xf>
    <xf numFmtId="0" fontId="0" fillId="23" borderId="9" xfId="0" applyFill="1" applyBorder="1" applyAlignment="1">
      <alignment vertical="center" wrapText="1"/>
    </xf>
    <xf numFmtId="0" fontId="0" fillId="24" borderId="9" xfId="0" applyFill="1" applyBorder="1" applyAlignment="1">
      <alignment vertical="center" wrapText="1"/>
    </xf>
    <xf numFmtId="0" fontId="3" fillId="18" borderId="9" xfId="0" applyFont="1" applyFill="1" applyBorder="1" applyAlignment="1">
      <alignment vertical="center" wrapText="1"/>
    </xf>
    <xf numFmtId="0" fontId="1" fillId="14" borderId="22" xfId="0" applyFont="1" applyFill="1" applyBorder="1" applyAlignment="1">
      <alignment horizontal="center" vertical="center" wrapText="1"/>
    </xf>
    <xf numFmtId="0" fontId="1" fillId="14" borderId="18" xfId="0" applyFont="1" applyFill="1" applyBorder="1" applyAlignment="1">
      <alignment horizontal="center" vertical="center" wrapText="1"/>
    </xf>
    <xf numFmtId="3" fontId="0" fillId="0" borderId="19" xfId="0" applyNumberFormat="1" applyBorder="1" applyAlignment="1">
      <alignment vertical="center"/>
    </xf>
    <xf numFmtId="3" fontId="0" fillId="0" borderId="26" xfId="0" applyNumberFormat="1" applyBorder="1" applyAlignment="1">
      <alignment vertical="center"/>
    </xf>
    <xf numFmtId="3" fontId="0" fillId="0" borderId="51" xfId="0" applyNumberFormat="1" applyBorder="1" applyAlignment="1">
      <alignment vertical="center"/>
    </xf>
    <xf numFmtId="165" fontId="0" fillId="0" borderId="19" xfId="0" applyNumberFormat="1" applyBorder="1" applyAlignment="1">
      <alignment horizontal="right" vertical="center"/>
    </xf>
    <xf numFmtId="0" fontId="1" fillId="14" borderId="55" xfId="0" applyFont="1" applyFill="1" applyBorder="1" applyAlignment="1">
      <alignment horizontal="center" vertical="center" wrapText="1"/>
    </xf>
    <xf numFmtId="0" fontId="23" fillId="0" borderId="0" xfId="0" applyFont="1"/>
    <xf numFmtId="0" fontId="8" fillId="0" borderId="0" xfId="0" applyFont="1" applyAlignment="1">
      <alignment vertical="center" wrapText="1"/>
    </xf>
    <xf numFmtId="0" fontId="8" fillId="0" borderId="8" xfId="0" applyFont="1" applyBorder="1" applyAlignment="1">
      <alignment horizontal="center" vertical="center" wrapText="1"/>
    </xf>
    <xf numFmtId="0" fontId="8" fillId="0" borderId="0" xfId="0" applyFont="1" applyAlignment="1">
      <alignment horizontal="left" vertical="center"/>
    </xf>
    <xf numFmtId="3" fontId="6" fillId="0" borderId="2" xfId="0" applyNumberFormat="1" applyFont="1" applyBorder="1" applyAlignment="1" applyProtection="1">
      <alignment horizontal="left" vertical="top" wrapText="1"/>
      <protection locked="0"/>
    </xf>
    <xf numFmtId="0" fontId="1" fillId="14" borderId="56" xfId="0" applyFont="1" applyFill="1" applyBorder="1" applyAlignment="1">
      <alignment horizontal="center" vertical="center" wrapText="1"/>
    </xf>
    <xf numFmtId="0" fontId="1" fillId="14" borderId="57" xfId="0" applyFont="1" applyFill="1" applyBorder="1" applyAlignment="1">
      <alignment horizontal="center" vertical="center" wrapText="1"/>
    </xf>
    <xf numFmtId="0" fontId="8" fillId="0" borderId="0" xfId="0" applyFont="1" applyAlignment="1" applyProtection="1">
      <alignment vertical="center"/>
      <protection locked="0"/>
    </xf>
    <xf numFmtId="0" fontId="24" fillId="0" borderId="0" xfId="0" quotePrefix="1" applyFont="1" applyAlignment="1" applyProtection="1">
      <alignment vertical="center"/>
      <protection locked="0"/>
    </xf>
    <xf numFmtId="0" fontId="0" fillId="0" borderId="16" xfId="0" applyBorder="1" applyAlignment="1">
      <alignment vertical="center"/>
    </xf>
    <xf numFmtId="0" fontId="0" fillId="27" borderId="9" xfId="0" applyFill="1" applyBorder="1" applyAlignment="1">
      <alignment vertical="center" wrapText="1"/>
    </xf>
    <xf numFmtId="0" fontId="8" fillId="0" borderId="0" xfId="0" applyFont="1" applyAlignment="1">
      <alignment vertical="center"/>
    </xf>
    <xf numFmtId="0" fontId="0" fillId="26" borderId="9" xfId="0" applyFill="1" applyBorder="1" applyAlignment="1">
      <alignment vertical="center" wrapText="1"/>
    </xf>
    <xf numFmtId="0" fontId="0" fillId="0" borderId="0" xfId="0" applyAlignment="1">
      <alignment horizontal="left" vertical="center"/>
    </xf>
    <xf numFmtId="0" fontId="0" fillId="0" borderId="9" xfId="0" applyBorder="1"/>
    <xf numFmtId="0" fontId="0" fillId="0" borderId="9" xfId="0" applyBorder="1" applyAlignment="1">
      <alignment vertical="top" wrapText="1"/>
    </xf>
    <xf numFmtId="0" fontId="3" fillId="19" borderId="9" xfId="0" applyFont="1" applyFill="1" applyBorder="1" applyAlignment="1">
      <alignment vertical="top" wrapText="1"/>
    </xf>
    <xf numFmtId="0" fontId="27" fillId="0" borderId="0" xfId="0" applyFont="1"/>
    <xf numFmtId="0" fontId="2" fillId="0" borderId="9" xfId="0" applyFont="1" applyBorder="1" applyAlignment="1" applyProtection="1">
      <alignment vertical="center" wrapText="1"/>
      <protection locked="0"/>
    </xf>
    <xf numFmtId="37" fontId="0" fillId="0" borderId="69" xfId="0" applyNumberFormat="1" applyBorder="1" applyAlignment="1">
      <alignment vertical="center" wrapText="1"/>
    </xf>
    <xf numFmtId="37" fontId="0" fillId="0" borderId="51" xfId="0" applyNumberFormat="1" applyBorder="1" applyAlignment="1">
      <alignment vertical="center" wrapText="1"/>
    </xf>
    <xf numFmtId="0" fontId="0" fillId="0" borderId="9" xfId="0" applyBorder="1" applyAlignment="1">
      <alignment vertical="center" wrapText="1"/>
    </xf>
    <xf numFmtId="0" fontId="2" fillId="0" borderId="0" xfId="0" applyFont="1"/>
    <xf numFmtId="0" fontId="0" fillId="0" borderId="10" xfId="0" applyBorder="1" applyAlignment="1">
      <alignment vertical="center" wrapText="1"/>
    </xf>
    <xf numFmtId="37" fontId="0" fillId="0" borderId="55" xfId="0" applyNumberFormat="1" applyBorder="1" applyAlignment="1">
      <alignment vertical="center" wrapText="1"/>
    </xf>
    <xf numFmtId="0" fontId="0" fillId="0" borderId="8" xfId="0" applyBorder="1" applyAlignment="1" applyProtection="1">
      <alignment vertical="center" wrapText="1"/>
      <protection locked="0"/>
    </xf>
    <xf numFmtId="0" fontId="0" fillId="0" borderId="22" xfId="0" applyBorder="1" applyAlignment="1">
      <alignment vertical="center" wrapText="1"/>
    </xf>
    <xf numFmtId="0" fontId="0" fillId="11" borderId="9" xfId="0" applyFill="1" applyBorder="1"/>
    <xf numFmtId="0" fontId="5" fillId="13" borderId="8" xfId="0" applyFont="1" applyFill="1" applyBorder="1" applyAlignment="1" applyProtection="1">
      <alignment vertical="center" wrapText="1"/>
      <protection locked="0"/>
    </xf>
    <xf numFmtId="37" fontId="0" fillId="0" borderId="22" xfId="0" applyNumberFormat="1" applyBorder="1" applyAlignment="1">
      <alignment horizontal="right" vertical="center" wrapText="1"/>
    </xf>
    <xf numFmtId="9" fontId="0" fillId="0" borderId="0" xfId="0" applyNumberFormat="1"/>
    <xf numFmtId="0" fontId="2" fillId="0" borderId="0" xfId="0" applyFont="1" applyAlignment="1">
      <alignment horizontal="right"/>
    </xf>
    <xf numFmtId="37" fontId="0" fillId="0" borderId="56" xfId="0" applyNumberFormat="1" applyBorder="1" applyAlignment="1">
      <alignment vertical="center" wrapText="1"/>
    </xf>
    <xf numFmtId="37" fontId="0" fillId="0" borderId="26" xfId="0" applyNumberFormat="1" applyBorder="1" applyAlignment="1">
      <alignment vertical="center" wrapText="1"/>
    </xf>
    <xf numFmtId="37" fontId="0" fillId="0" borderId="27" xfId="0" applyNumberFormat="1" applyBorder="1" applyAlignment="1">
      <alignment vertical="center" wrapText="1"/>
    </xf>
    <xf numFmtId="167" fontId="0" fillId="0" borderId="9" xfId="0" applyNumberFormat="1" applyBorder="1" applyAlignment="1">
      <alignment horizontal="center" vertical="center"/>
    </xf>
    <xf numFmtId="0" fontId="10" fillId="5" borderId="5" xfId="0" applyFont="1" applyFill="1" applyBorder="1" applyAlignment="1" applyProtection="1">
      <alignment horizontal="left" vertical="top"/>
      <protection locked="0"/>
    </xf>
    <xf numFmtId="0" fontId="10" fillId="5" borderId="4" xfId="0" applyFont="1" applyFill="1" applyBorder="1" applyAlignment="1" applyProtection="1">
      <alignment horizontal="left" vertical="top"/>
      <protection locked="0"/>
    </xf>
    <xf numFmtId="0" fontId="32" fillId="0" borderId="37" xfId="0" applyFont="1" applyBorder="1" applyAlignment="1" applyProtection="1">
      <alignment horizontal="left" vertical="top"/>
      <protection locked="0"/>
    </xf>
    <xf numFmtId="0" fontId="11" fillId="0" borderId="32" xfId="0" applyFont="1" applyBorder="1"/>
    <xf numFmtId="0" fontId="7" fillId="0" borderId="31" xfId="1" quotePrefix="1" applyBorder="1"/>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33" fillId="0" borderId="0" xfId="0" applyFont="1"/>
    <xf numFmtId="0" fontId="4" fillId="0" borderId="0" xfId="0" applyFont="1"/>
    <xf numFmtId="0" fontId="0" fillId="0" borderId="8" xfId="0" applyBorder="1" applyAlignment="1">
      <alignment horizontal="right" vertical="center" wrapText="1"/>
    </xf>
    <xf numFmtId="0" fontId="0" fillId="0" borderId="9" xfId="0" applyBorder="1" applyAlignment="1">
      <alignment wrapText="1"/>
    </xf>
    <xf numFmtId="0" fontId="0" fillId="28" borderId="9" xfId="0" applyFill="1" applyBorder="1" applyAlignment="1">
      <alignment wrapText="1"/>
    </xf>
    <xf numFmtId="0" fontId="0" fillId="23" borderId="9" xfId="0" applyFill="1" applyBorder="1" applyAlignment="1">
      <alignment wrapText="1"/>
    </xf>
    <xf numFmtId="0" fontId="0" fillId="3" borderId="9" xfId="0" applyFill="1" applyBorder="1"/>
    <xf numFmtId="0" fontId="0" fillId="0" borderId="9" xfId="0" applyBorder="1" applyAlignment="1">
      <alignment horizontal="left" vertical="top" wrapText="1"/>
    </xf>
    <xf numFmtId="0" fontId="2" fillId="0" borderId="83" xfId="0" applyFont="1" applyBorder="1"/>
    <xf numFmtId="167" fontId="2" fillId="0" borderId="86" xfId="0" applyNumberFormat="1" applyFont="1" applyBorder="1" applyAlignment="1">
      <alignment horizontal="center" vertical="center"/>
    </xf>
    <xf numFmtId="167" fontId="2" fillId="0" borderId="82" xfId="0" applyNumberFormat="1" applyFont="1" applyBorder="1" applyAlignment="1">
      <alignment horizontal="center" vertical="center"/>
    </xf>
    <xf numFmtId="0" fontId="3" fillId="19" borderId="24" xfId="0" applyFont="1" applyFill="1" applyBorder="1"/>
    <xf numFmtId="0" fontId="1" fillId="19" borderId="25" xfId="0" applyFont="1" applyFill="1" applyBorder="1" applyAlignment="1">
      <alignment horizontal="center" vertical="center" wrapText="1"/>
    </xf>
    <xf numFmtId="0" fontId="1" fillId="19" borderId="25" xfId="0" applyFont="1" applyFill="1" applyBorder="1" applyAlignment="1">
      <alignment horizontal="center" vertical="center"/>
    </xf>
    <xf numFmtId="0" fontId="1" fillId="19" borderId="69" xfId="0" applyFont="1" applyFill="1" applyBorder="1" applyAlignment="1">
      <alignment horizontal="center" vertical="center"/>
    </xf>
    <xf numFmtId="0" fontId="0" fillId="0" borderId="26" xfId="0" applyBorder="1" applyAlignment="1">
      <alignment vertical="center" wrapText="1"/>
    </xf>
    <xf numFmtId="37" fontId="0" fillId="0" borderId="51" xfId="0" applyNumberFormat="1" applyBorder="1" applyAlignment="1">
      <alignment horizontal="center" vertical="center"/>
    </xf>
    <xf numFmtId="0" fontId="0" fillId="0" borderId="26" xfId="0" applyBorder="1"/>
    <xf numFmtId="167" fontId="0" fillId="0" borderId="51" xfId="0" applyNumberFormat="1" applyBorder="1" applyAlignment="1">
      <alignment horizontal="center" vertical="center"/>
    </xf>
    <xf numFmtId="0" fontId="0" fillId="0" borderId="27" xfId="0" applyBorder="1"/>
    <xf numFmtId="167" fontId="0" fillId="0" borderId="87" xfId="0" applyNumberFormat="1" applyBorder="1" applyAlignment="1">
      <alignment horizontal="center" vertical="center"/>
    </xf>
    <xf numFmtId="167" fontId="0" fillId="0" borderId="78" xfId="0" applyNumberFormat="1" applyBorder="1" applyAlignment="1">
      <alignment horizontal="center" vertical="center"/>
    </xf>
    <xf numFmtId="0" fontId="3" fillId="29" borderId="9" xfId="0" applyFont="1" applyFill="1" applyBorder="1" applyAlignment="1">
      <alignment wrapText="1"/>
    </xf>
    <xf numFmtId="0" fontId="0" fillId="0" borderId="0" xfId="0" applyAlignment="1">
      <alignment horizontal="left" vertical="top" wrapText="1"/>
    </xf>
    <xf numFmtId="170" fontId="0" fillId="0" borderId="10" xfId="6" applyNumberFormat="1" applyFont="1" applyBorder="1" applyAlignment="1">
      <alignment vertical="center"/>
    </xf>
    <xf numFmtId="170" fontId="0" fillId="0" borderId="10" xfId="6" applyNumberFormat="1" applyFont="1" applyFill="1" applyBorder="1" applyAlignment="1">
      <alignment vertical="center"/>
    </xf>
    <xf numFmtId="170" fontId="0" fillId="0" borderId="10" xfId="6" applyNumberFormat="1" applyFont="1" applyBorder="1" applyAlignment="1">
      <alignment horizontal="right" vertical="center"/>
    </xf>
    <xf numFmtId="170" fontId="0" fillId="0" borderId="9" xfId="6" applyNumberFormat="1" applyFont="1" applyBorder="1"/>
    <xf numFmtId="171" fontId="0" fillId="0" borderId="57" xfId="6" applyNumberFormat="1" applyFont="1" applyBorder="1" applyAlignment="1">
      <alignment vertical="center" wrapText="1"/>
    </xf>
    <xf numFmtId="171" fontId="0" fillId="0" borderId="51" xfId="6" applyNumberFormat="1" applyFont="1" applyBorder="1" applyAlignment="1">
      <alignment vertical="center" wrapText="1"/>
    </xf>
    <xf numFmtId="171" fontId="0" fillId="0" borderId="9" xfId="6" applyNumberFormat="1" applyFont="1" applyBorder="1" applyAlignment="1">
      <alignment vertical="center" wrapText="1"/>
    </xf>
    <xf numFmtId="171" fontId="0" fillId="0" borderId="36" xfId="6" applyNumberFormat="1" applyFont="1" applyBorder="1" applyAlignment="1">
      <alignment vertical="center" wrapText="1"/>
    </xf>
    <xf numFmtId="171" fontId="0" fillId="0" borderId="10" xfId="6" applyNumberFormat="1" applyFont="1" applyBorder="1" applyAlignment="1">
      <alignment vertical="center" wrapText="1"/>
    </xf>
    <xf numFmtId="171" fontId="0" fillId="0" borderId="22" xfId="6" applyNumberFormat="1" applyFont="1" applyBorder="1" applyAlignment="1">
      <alignment vertical="center" wrapText="1"/>
    </xf>
    <xf numFmtId="171" fontId="0" fillId="0" borderId="55" xfId="6" applyNumberFormat="1" applyFont="1" applyBorder="1" applyAlignment="1">
      <alignment vertical="center" wrapText="1"/>
    </xf>
    <xf numFmtId="0" fontId="0" fillId="0" borderId="9" xfId="0" applyBorder="1" applyAlignment="1">
      <alignment horizontal="left" vertical="center" wrapText="1"/>
    </xf>
    <xf numFmtId="37" fontId="0" fillId="0" borderId="9" xfId="0" applyNumberFormat="1" applyBorder="1" applyAlignment="1">
      <alignment vertical="center" wrapText="1"/>
    </xf>
    <xf numFmtId="171" fontId="0" fillId="0" borderId="9" xfId="6" applyNumberFormat="1" applyFont="1" applyBorder="1" applyAlignment="1" applyProtection="1">
      <alignment vertical="center" wrapText="1"/>
    </xf>
    <xf numFmtId="0" fontId="1" fillId="16" borderId="48" xfId="0" applyFont="1" applyFill="1" applyBorder="1" applyAlignment="1">
      <alignment vertical="center" wrapText="1"/>
    </xf>
    <xf numFmtId="37" fontId="0" fillId="18" borderId="17" xfId="0" applyNumberFormat="1" applyFill="1" applyBorder="1" applyAlignment="1">
      <alignment vertical="center" wrapText="1"/>
    </xf>
    <xf numFmtId="37" fontId="0" fillId="18" borderId="18" xfId="0" applyNumberFormat="1" applyFill="1" applyBorder="1" applyAlignment="1">
      <alignment vertical="center" wrapText="1"/>
    </xf>
    <xf numFmtId="37" fontId="0" fillId="0" borderId="19" xfId="0" applyNumberFormat="1" applyBorder="1" applyAlignment="1">
      <alignment vertical="center" wrapText="1"/>
    </xf>
    <xf numFmtId="0" fontId="0" fillId="18" borderId="45" xfId="0" applyFill="1" applyBorder="1" applyAlignment="1">
      <alignment vertical="center" wrapText="1"/>
    </xf>
    <xf numFmtId="0" fontId="0" fillId="18" borderId="0" xfId="0" applyFill="1" applyAlignment="1">
      <alignment horizontal="left" vertical="center" wrapText="1"/>
    </xf>
    <xf numFmtId="37" fontId="0" fillId="18" borderId="0" xfId="0" applyNumberFormat="1" applyFill="1" applyAlignment="1">
      <alignment vertical="center" wrapText="1"/>
    </xf>
    <xf numFmtId="0" fontId="0" fillId="18" borderId="70" xfId="0" applyFill="1" applyBorder="1" applyAlignment="1">
      <alignment vertical="center" wrapText="1"/>
    </xf>
    <xf numFmtId="0" fontId="0" fillId="0" borderId="19" xfId="0" applyBorder="1" applyAlignment="1">
      <alignment vertical="center" wrapText="1"/>
    </xf>
    <xf numFmtId="0" fontId="0" fillId="26" borderId="45" xfId="0" applyFill="1" applyBorder="1" applyAlignment="1">
      <alignment vertical="center" wrapText="1"/>
    </xf>
    <xf numFmtId="0" fontId="0" fillId="26" borderId="0" xfId="0" applyFill="1" applyAlignment="1">
      <alignment vertical="center" wrapText="1"/>
    </xf>
    <xf numFmtId="0" fontId="0" fillId="26" borderId="70" xfId="0" applyFill="1" applyBorder="1" applyAlignment="1">
      <alignment vertical="center" wrapText="1"/>
    </xf>
    <xf numFmtId="0" fontId="1" fillId="16" borderId="47" xfId="0" applyFont="1" applyFill="1" applyBorder="1" applyAlignment="1">
      <alignment vertical="center" wrapText="1"/>
    </xf>
    <xf numFmtId="0" fontId="0" fillId="18" borderId="23" xfId="0" applyFill="1" applyBorder="1" applyAlignment="1">
      <alignment vertical="center" wrapText="1"/>
    </xf>
    <xf numFmtId="0" fontId="0" fillId="18" borderId="42" xfId="0" applyFill="1" applyBorder="1" applyAlignment="1">
      <alignment horizontal="left" vertical="center" wrapText="1"/>
    </xf>
    <xf numFmtId="37" fontId="0" fillId="18" borderId="42" xfId="0" applyNumberFormat="1" applyFill="1" applyBorder="1" applyAlignment="1">
      <alignment vertical="center" wrapText="1"/>
    </xf>
    <xf numFmtId="0" fontId="0" fillId="18" borderId="80" xfId="0" applyFill="1" applyBorder="1" applyAlignment="1">
      <alignment vertical="center" wrapText="1"/>
    </xf>
    <xf numFmtId="0" fontId="0" fillId="0" borderId="18" xfId="0" applyBorder="1" applyAlignment="1">
      <alignment vertical="center" wrapText="1"/>
    </xf>
    <xf numFmtId="0" fontId="0" fillId="26" borderId="23" xfId="0" applyFill="1" applyBorder="1" applyAlignment="1">
      <alignment vertical="center" wrapText="1"/>
    </xf>
    <xf numFmtId="0" fontId="0" fillId="26" borderId="42" xfId="0" applyFill="1" applyBorder="1" applyAlignment="1">
      <alignment vertical="center" wrapText="1"/>
    </xf>
    <xf numFmtId="0" fontId="0" fillId="26" borderId="80" xfId="0" applyFill="1" applyBorder="1" applyAlignment="1">
      <alignment vertical="center" wrapText="1"/>
    </xf>
    <xf numFmtId="0" fontId="1" fillId="0" borderId="0" xfId="0" applyFont="1" applyAlignment="1">
      <alignment vertical="center" wrapText="1"/>
    </xf>
    <xf numFmtId="0" fontId="1" fillId="16" borderId="0" xfId="0" applyFont="1" applyFill="1" applyAlignment="1">
      <alignment vertical="center" wrapText="1"/>
    </xf>
    <xf numFmtId="169" fontId="5" fillId="0" borderId="0" xfId="0" applyNumberFormat="1" applyFont="1" applyAlignment="1">
      <alignment horizontal="right" vertical="center" wrapText="1"/>
    </xf>
    <xf numFmtId="0" fontId="0" fillId="0" borderId="0" xfId="0" applyAlignment="1">
      <alignment horizontal="left" vertical="center" wrapText="1"/>
    </xf>
    <xf numFmtId="37" fontId="0" fillId="0" borderId="0" xfId="0" applyNumberFormat="1" applyAlignment="1">
      <alignment vertical="center" wrapText="1"/>
    </xf>
    <xf numFmtId="169" fontId="0" fillId="0" borderId="0" xfId="0" applyNumberFormat="1" applyAlignment="1">
      <alignment horizontal="right" vertical="center" wrapText="1"/>
    </xf>
    <xf numFmtId="0" fontId="0" fillId="0" borderId="0" xfId="0" applyAlignment="1">
      <alignment horizontal="right" vertical="center" wrapText="1"/>
    </xf>
    <xf numFmtId="44" fontId="0" fillId="0" borderId="0" xfId="0" applyNumberFormat="1" applyAlignment="1">
      <alignment horizontal="right" vertical="center" wrapText="1"/>
    </xf>
    <xf numFmtId="0" fontId="1" fillId="18" borderId="0" xfId="0" applyFont="1" applyFill="1" applyAlignment="1">
      <alignment vertical="center" wrapText="1"/>
    </xf>
    <xf numFmtId="0" fontId="2" fillId="18" borderId="77" xfId="0" applyFont="1" applyFill="1" applyBorder="1" applyAlignment="1">
      <alignment horizontal="center" vertical="center" wrapText="1"/>
    </xf>
    <xf numFmtId="0" fontId="2" fillId="18" borderId="50" xfId="0" applyFont="1" applyFill="1" applyBorder="1" applyAlignment="1">
      <alignment horizontal="center" vertical="center" wrapText="1"/>
    </xf>
    <xf numFmtId="167" fontId="8" fillId="0" borderId="76" xfId="4" applyNumberFormat="1" applyFont="1" applyFill="1" applyBorder="1" applyAlignment="1" applyProtection="1">
      <alignment vertical="center" wrapText="1"/>
    </xf>
    <xf numFmtId="167" fontId="8" fillId="0" borderId="58" xfId="4" applyNumberFormat="1" applyFont="1" applyFill="1" applyBorder="1" applyAlignment="1" applyProtection="1">
      <alignment vertical="center" wrapText="1"/>
    </xf>
    <xf numFmtId="168" fontId="8" fillId="0" borderId="58" xfId="4" applyNumberFormat="1" applyFont="1" applyFill="1" applyBorder="1" applyAlignment="1" applyProtection="1">
      <alignment vertical="center" wrapText="1"/>
    </xf>
    <xf numFmtId="0" fontId="1" fillId="18" borderId="0" xfId="0" applyFont="1" applyFill="1" applyAlignment="1">
      <alignment horizontal="left" vertical="center" wrapText="1"/>
    </xf>
    <xf numFmtId="168" fontId="0" fillId="0" borderId="81" xfId="0" applyNumberFormat="1" applyBorder="1"/>
    <xf numFmtId="167" fontId="0" fillId="0" borderId="33" xfId="0" applyNumberFormat="1" applyBorder="1" applyAlignment="1">
      <alignment vertical="center"/>
    </xf>
    <xf numFmtId="167" fontId="0" fillId="0" borderId="34" xfId="0" applyNumberFormat="1" applyBorder="1" applyAlignment="1">
      <alignment vertical="center"/>
    </xf>
    <xf numFmtId="168" fontId="0" fillId="0" borderId="34" xfId="0" applyNumberFormat="1" applyBorder="1"/>
    <xf numFmtId="168" fontId="0" fillId="0" borderId="35" xfId="0" applyNumberFormat="1" applyBorder="1"/>
    <xf numFmtId="37" fontId="2" fillId="20" borderId="77" xfId="0" applyNumberFormat="1" applyFont="1" applyFill="1" applyBorder="1" applyAlignment="1">
      <alignment horizontal="center"/>
    </xf>
    <xf numFmtId="37" fontId="2" fillId="20" borderId="50" xfId="0" applyNumberFormat="1" applyFont="1" applyFill="1" applyBorder="1" applyAlignment="1">
      <alignment horizontal="center"/>
    </xf>
    <xf numFmtId="37" fontId="2" fillId="0" borderId="0" xfId="0" applyNumberFormat="1" applyFont="1" applyAlignment="1">
      <alignment horizontal="center"/>
    </xf>
    <xf numFmtId="0" fontId="1" fillId="20" borderId="19" xfId="0" applyFont="1" applyFill="1" applyBorder="1" applyAlignment="1">
      <alignment horizontal="left" vertical="center" wrapText="1"/>
    </xf>
    <xf numFmtId="167" fontId="0" fillId="0" borderId="12" xfId="0" applyNumberFormat="1" applyBorder="1" applyAlignment="1">
      <alignment vertical="center" wrapText="1"/>
    </xf>
    <xf numFmtId="167" fontId="0" fillId="0" borderId="0" xfId="0" applyNumberFormat="1" applyAlignment="1">
      <alignment vertical="center" wrapText="1"/>
    </xf>
    <xf numFmtId="167" fontId="0" fillId="0" borderId="0" xfId="0" applyNumberFormat="1" applyAlignment="1">
      <alignment horizontal="right" vertical="center" wrapText="1"/>
    </xf>
    <xf numFmtId="167" fontId="0" fillId="0" borderId="9" xfId="0" applyNumberFormat="1" applyBorder="1" applyAlignment="1">
      <alignment vertical="center" wrapText="1"/>
    </xf>
    <xf numFmtId="0" fontId="1" fillId="17" borderId="42" xfId="0" applyFont="1" applyFill="1" applyBorder="1" applyAlignment="1">
      <alignment horizontal="left" vertical="center" wrapText="1"/>
    </xf>
    <xf numFmtId="167" fontId="0" fillId="0" borderId="9" xfId="0" applyNumberFormat="1" applyBorder="1"/>
    <xf numFmtId="167" fontId="2" fillId="0" borderId="85" xfId="0" applyNumberFormat="1" applyFont="1" applyBorder="1"/>
    <xf numFmtId="167" fontId="2" fillId="0" borderId="30" xfId="0" applyNumberFormat="1" applyFont="1" applyBorder="1"/>
    <xf numFmtId="167" fontId="2" fillId="0" borderId="48" xfId="0" applyNumberFormat="1" applyFont="1" applyBorder="1"/>
    <xf numFmtId="167" fontId="2" fillId="0" borderId="77" xfId="0" applyNumberFormat="1" applyFont="1" applyBorder="1"/>
    <xf numFmtId="37" fontId="0" fillId="0" borderId="21" xfId="0" applyNumberFormat="1" applyBorder="1" applyAlignment="1">
      <alignment vertical="center" wrapText="1"/>
    </xf>
    <xf numFmtId="37" fontId="0" fillId="11" borderId="51" xfId="0" applyNumberFormat="1" applyFill="1" applyBorder="1" applyAlignment="1">
      <alignment vertical="center" wrapText="1"/>
    </xf>
    <xf numFmtId="37" fontId="0" fillId="0" borderId="62" xfId="0" applyNumberFormat="1" applyBorder="1" applyAlignment="1">
      <alignment vertical="center" wrapText="1"/>
    </xf>
    <xf numFmtId="171" fontId="0" fillId="0" borderId="8" xfId="6" applyNumberFormat="1" applyFont="1" applyBorder="1" applyAlignment="1" applyProtection="1">
      <alignment vertical="center" wrapText="1"/>
    </xf>
    <xf numFmtId="0" fontId="2" fillId="0" borderId="28" xfId="0" applyFont="1" applyBorder="1" applyProtection="1">
      <protection locked="0"/>
    </xf>
    <xf numFmtId="0" fontId="2" fillId="0" borderId="29" xfId="0" applyFont="1" applyBorder="1" applyProtection="1">
      <protection locked="0"/>
    </xf>
    <xf numFmtId="0" fontId="2" fillId="0" borderId="30" xfId="0" applyFont="1" applyBorder="1" applyProtection="1">
      <protection locked="0"/>
    </xf>
    <xf numFmtId="0" fontId="2" fillId="0" borderId="0" xfId="0" applyFont="1" applyProtection="1">
      <protection locked="0"/>
    </xf>
    <xf numFmtId="0" fontId="4" fillId="14" borderId="47" xfId="0" applyFont="1" applyFill="1" applyBorder="1" applyAlignment="1" applyProtection="1">
      <alignment horizontal="center"/>
      <protection locked="0"/>
    </xf>
    <xf numFmtId="0" fontId="12" fillId="0" borderId="50" xfId="0" applyFont="1" applyBorder="1" applyAlignment="1" applyProtection="1">
      <alignment horizontal="center"/>
      <protection locked="0"/>
    </xf>
    <xf numFmtId="0" fontId="12" fillId="0" borderId="82" xfId="0" applyFont="1" applyBorder="1" applyAlignment="1" applyProtection="1">
      <alignment horizontal="center"/>
      <protection locked="0"/>
    </xf>
    <xf numFmtId="0" fontId="12" fillId="0" borderId="34" xfId="0" applyFont="1" applyBorder="1" applyAlignment="1" applyProtection="1">
      <alignment horizontal="center"/>
      <protection locked="0"/>
    </xf>
    <xf numFmtId="0" fontId="12" fillId="0" borderId="35" xfId="0" applyFont="1" applyBorder="1" applyAlignment="1" applyProtection="1">
      <alignment horizontal="center"/>
      <protection locked="0"/>
    </xf>
    <xf numFmtId="0" fontId="2" fillId="0" borderId="33" xfId="0" applyFont="1" applyBorder="1" applyProtection="1">
      <protection locked="0"/>
    </xf>
    <xf numFmtId="0" fontId="2" fillId="0" borderId="34" xfId="0" applyFont="1" applyBorder="1" applyProtection="1">
      <protection locked="0"/>
    </xf>
    <xf numFmtId="0" fontId="2" fillId="0" borderId="35" xfId="0" applyFont="1" applyBorder="1" applyProtection="1">
      <protection locked="0"/>
    </xf>
    <xf numFmtId="0" fontId="5" fillId="18" borderId="47" xfId="0" applyFont="1" applyFill="1" applyBorder="1" applyAlignment="1" applyProtection="1">
      <alignment horizontal="center"/>
      <protection locked="0"/>
    </xf>
    <xf numFmtId="0" fontId="5" fillId="18" borderId="0" xfId="0" applyFont="1" applyFill="1" applyAlignment="1" applyProtection="1">
      <alignment horizontal="center"/>
      <protection locked="0"/>
    </xf>
    <xf numFmtId="0" fontId="12" fillId="0" borderId="0" xfId="0" applyFont="1" applyAlignment="1" applyProtection="1">
      <alignment horizontal="center"/>
      <protection locked="0"/>
    </xf>
    <xf numFmtId="0" fontId="5" fillId="18" borderId="67" xfId="0" applyFont="1" applyFill="1" applyBorder="1" applyAlignment="1" applyProtection="1">
      <alignment horizontal="center"/>
      <protection locked="0"/>
    </xf>
    <xf numFmtId="0" fontId="12" fillId="0" borderId="45" xfId="0" applyFont="1" applyBorder="1" applyAlignment="1" applyProtection="1">
      <alignment horizontal="center"/>
      <protection locked="0"/>
    </xf>
    <xf numFmtId="0" fontId="12" fillId="0" borderId="33" xfId="0" applyFont="1" applyBorder="1" applyAlignment="1" applyProtection="1">
      <alignment horizontal="center"/>
      <protection locked="0"/>
    </xf>
    <xf numFmtId="0" fontId="5" fillId="26" borderId="47" xfId="0" applyFont="1" applyFill="1" applyBorder="1" applyAlignment="1" applyProtection="1">
      <alignment horizontal="center"/>
      <protection locked="0"/>
    </xf>
    <xf numFmtId="0" fontId="5" fillId="26" borderId="83" xfId="0" applyFont="1" applyFill="1" applyBorder="1" applyAlignment="1" applyProtection="1">
      <alignment horizontal="center"/>
      <protection locked="0"/>
    </xf>
    <xf numFmtId="0" fontId="12" fillId="0" borderId="79" xfId="0" applyFont="1" applyBorder="1" applyAlignment="1" applyProtection="1">
      <alignment horizontal="center"/>
      <protection locked="0"/>
    </xf>
    <xf numFmtId="37" fontId="0" fillId="0" borderId="24" xfId="0" applyNumberFormat="1" applyBorder="1" applyAlignment="1" applyProtection="1">
      <alignment horizontal="right" vertical="center" wrapText="1"/>
      <protection locked="0"/>
    </xf>
    <xf numFmtId="37" fontId="0" fillId="0" borderId="19" xfId="0" applyNumberFormat="1" applyBorder="1" applyAlignment="1" applyProtection="1">
      <alignment horizontal="right" vertical="center" wrapText="1"/>
      <protection locked="0"/>
    </xf>
    <xf numFmtId="0" fontId="0" fillId="0" borderId="56" xfId="0" applyBorder="1" applyAlignment="1" applyProtection="1">
      <alignment vertical="center" wrapText="1"/>
      <protection locked="0"/>
    </xf>
    <xf numFmtId="0" fontId="0" fillId="0" borderId="24" xfId="0" applyBorder="1" applyAlignment="1" applyProtection="1">
      <alignment vertical="center" wrapText="1"/>
      <protection locked="0"/>
    </xf>
    <xf numFmtId="37" fontId="0" fillId="0" borderId="26" xfId="0" applyNumberFormat="1" applyBorder="1" applyAlignment="1" applyProtection="1">
      <alignment horizontal="right" vertical="center" wrapText="1"/>
      <protection locked="0"/>
    </xf>
    <xf numFmtId="0" fontId="0" fillId="0" borderId="26" xfId="0" applyBorder="1" applyAlignment="1" applyProtection="1">
      <alignment vertical="center" wrapText="1"/>
      <protection locked="0"/>
    </xf>
    <xf numFmtId="37" fontId="0" fillId="0" borderId="54" xfId="0" applyNumberFormat="1" applyBorder="1" applyAlignment="1" applyProtection="1">
      <alignment horizontal="right" vertical="center" wrapText="1"/>
      <protection locked="0"/>
    </xf>
    <xf numFmtId="37" fontId="0" fillId="0" borderId="18" xfId="0" applyNumberFormat="1" applyBorder="1" applyAlignment="1" applyProtection="1">
      <alignment horizontal="right" vertical="center" wrapText="1"/>
      <protection locked="0"/>
    </xf>
    <xf numFmtId="0" fontId="0" fillId="0" borderId="54" xfId="0" applyBorder="1" applyAlignment="1" applyProtection="1">
      <alignment vertical="center" wrapText="1"/>
      <protection locked="0"/>
    </xf>
    <xf numFmtId="0" fontId="10" fillId="0" borderId="31" xfId="0" applyFont="1" applyBorder="1" applyAlignment="1">
      <alignment horizontal="left" vertical="top" wrapText="1"/>
    </xf>
    <xf numFmtId="0" fontId="10" fillId="0" borderId="0" xfId="0" applyFont="1" applyAlignment="1">
      <alignment horizontal="left" vertical="top" wrapText="1"/>
    </xf>
    <xf numFmtId="0" fontId="10" fillId="0" borderId="32" xfId="0" applyFont="1" applyBorder="1" applyAlignment="1">
      <alignment horizontal="left" vertical="top" wrapText="1"/>
    </xf>
    <xf numFmtId="0" fontId="10" fillId="0" borderId="32" xfId="0" applyFont="1" applyBorder="1" applyAlignment="1">
      <alignment horizontal="center" vertical="top" wrapText="1"/>
    </xf>
    <xf numFmtId="0" fontId="10" fillId="0" borderId="31" xfId="0" applyFont="1" applyBorder="1" applyAlignment="1">
      <alignment horizontal="left" vertical="top"/>
    </xf>
    <xf numFmtId="0" fontId="10" fillId="0" borderId="0" xfId="0" applyFont="1" applyAlignment="1">
      <alignment horizontal="left" vertical="top"/>
    </xf>
    <xf numFmtId="0" fontId="10" fillId="0" borderId="32" xfId="0" applyFont="1" applyBorder="1" applyAlignment="1">
      <alignment horizontal="left" vertical="top"/>
    </xf>
    <xf numFmtId="0" fontId="31" fillId="0" borderId="31" xfId="0" applyFont="1" applyBorder="1" applyAlignment="1">
      <alignment horizontal="left" vertical="top"/>
    </xf>
    <xf numFmtId="0" fontId="7" fillId="0" borderId="31" xfId="1" quotePrefix="1" applyBorder="1" applyAlignment="1" applyProtection="1">
      <alignment horizontal="left" vertical="top"/>
    </xf>
    <xf numFmtId="0" fontId="11" fillId="0" borderId="31" xfId="0" applyFont="1" applyBorder="1"/>
    <xf numFmtId="0" fontId="0" fillId="0" borderId="31" xfId="0" applyBorder="1"/>
    <xf numFmtId="0" fontId="0" fillId="0" borderId="32" xfId="0" applyBorder="1" applyAlignment="1">
      <alignment horizontal="left" vertical="top" wrapText="1"/>
    </xf>
    <xf numFmtId="0" fontId="0" fillId="0" borderId="31" xfId="0" applyBorder="1" applyAlignment="1">
      <alignment wrapText="1"/>
    </xf>
    <xf numFmtId="0" fontId="0" fillId="0" borderId="0" xfId="0" applyAlignment="1">
      <alignment horizontal="left" wrapText="1"/>
    </xf>
    <xf numFmtId="0" fontId="0" fillId="0" borderId="32" xfId="0" applyBorder="1" applyAlignment="1">
      <alignment horizontal="left" wrapText="1"/>
    </xf>
    <xf numFmtId="0" fontId="0" fillId="0" borderId="32" xfId="0" applyBorder="1"/>
    <xf numFmtId="0" fontId="19" fillId="0" borderId="0" xfId="0" applyFont="1"/>
    <xf numFmtId="0" fontId="19" fillId="0" borderId="32" xfId="0" applyFont="1" applyBorder="1"/>
    <xf numFmtId="0" fontId="19" fillId="0" borderId="31" xfId="0" applyFont="1" applyBorder="1"/>
    <xf numFmtId="0" fontId="29" fillId="0" borderId="0" xfId="0" applyFont="1"/>
    <xf numFmtId="0" fontId="5" fillId="0" borderId="31" xfId="0" applyFont="1" applyBorder="1" applyAlignment="1">
      <alignment horizontal="left" vertical="top" wrapText="1"/>
    </xf>
    <xf numFmtId="0" fontId="5" fillId="0" borderId="0" xfId="0" applyFont="1" applyAlignment="1">
      <alignment horizontal="left" vertical="top" wrapText="1"/>
    </xf>
    <xf numFmtId="0" fontId="7" fillId="0" borderId="32" xfId="1" applyFill="1" applyBorder="1" applyAlignment="1" applyProtection="1">
      <alignment horizontal="left" vertical="top" wrapText="1"/>
    </xf>
    <xf numFmtId="0" fontId="0" fillId="0" borderId="0" xfId="0" quotePrefix="1" applyAlignment="1">
      <alignment horizontal="left" vertical="center" wrapText="1"/>
    </xf>
    <xf numFmtId="0" fontId="0" fillId="0" borderId="32" xfId="0" quotePrefix="1" applyBorder="1" applyAlignment="1">
      <alignment horizontal="left" vertical="center" wrapText="1"/>
    </xf>
    <xf numFmtId="0" fontId="4" fillId="0" borderId="0" xfId="0" quotePrefix="1" applyFont="1"/>
    <xf numFmtId="0" fontId="0" fillId="0" borderId="33" xfId="0" applyBorder="1"/>
    <xf numFmtId="0" fontId="0" fillId="0" borderId="34" xfId="0" applyBorder="1"/>
    <xf numFmtId="0" fontId="0" fillId="0" borderId="35" xfId="0" applyBorder="1"/>
    <xf numFmtId="0" fontId="1" fillId="21" borderId="48" xfId="0" applyFont="1" applyFill="1" applyBorder="1" applyAlignment="1">
      <alignment horizontal="left" vertical="center" wrapText="1"/>
    </xf>
    <xf numFmtId="0" fontId="25" fillId="18" borderId="42" xfId="0" applyFont="1" applyFill="1" applyBorder="1" applyAlignment="1">
      <alignment horizontal="left" vertical="center" wrapText="1"/>
    </xf>
    <xf numFmtId="0" fontId="25" fillId="18" borderId="9" xfId="0" applyFont="1" applyFill="1" applyBorder="1" applyAlignment="1">
      <alignment horizontal="left" vertical="center" wrapText="1"/>
    </xf>
    <xf numFmtId="0" fontId="1" fillId="17" borderId="17" xfId="0" applyFont="1" applyFill="1" applyBorder="1" applyAlignment="1">
      <alignment horizontal="left" vertical="center" wrapText="1"/>
    </xf>
    <xf numFmtId="0" fontId="1" fillId="20" borderId="10" xfId="0" applyFont="1" applyFill="1" applyBorder="1" applyAlignment="1">
      <alignment horizontal="left" vertical="center" wrapText="1"/>
    </xf>
    <xf numFmtId="0" fontId="1" fillId="20" borderId="11" xfId="0" applyFont="1" applyFill="1" applyBorder="1" applyAlignment="1">
      <alignment horizontal="left" vertical="center" wrapText="1"/>
    </xf>
    <xf numFmtId="167" fontId="0" fillId="0" borderId="9" xfId="0" applyNumberFormat="1" applyBorder="1" applyAlignment="1">
      <alignment horizontal="right" vertical="center" wrapText="1"/>
    </xf>
    <xf numFmtId="0" fontId="0" fillId="11" borderId="0" xfId="0" applyFill="1"/>
    <xf numFmtId="37" fontId="0" fillId="11" borderId="0" xfId="0" applyNumberFormat="1" applyFill="1"/>
    <xf numFmtId="0" fontId="12" fillId="11" borderId="0" xfId="0" applyFont="1" applyFill="1"/>
    <xf numFmtId="0" fontId="1" fillId="14" borderId="73" xfId="0" applyFont="1" applyFill="1" applyBorder="1" applyAlignment="1">
      <alignment horizontal="center" vertical="center" wrapText="1"/>
    </xf>
    <xf numFmtId="37" fontId="1" fillId="14" borderId="73" xfId="0" applyNumberFormat="1" applyFont="1" applyFill="1" applyBorder="1" applyAlignment="1">
      <alignment horizontal="center" vertical="center" wrapText="1"/>
    </xf>
    <xf numFmtId="37" fontId="1" fillId="14" borderId="45" xfId="0" applyNumberFormat="1" applyFont="1" applyFill="1" applyBorder="1" applyAlignment="1">
      <alignment horizontal="center" vertical="center" wrapText="1"/>
    </xf>
    <xf numFmtId="0" fontId="1" fillId="14" borderId="12" xfId="0" applyFont="1" applyFill="1" applyBorder="1" applyAlignment="1">
      <alignment horizontal="center" vertical="center" wrapText="1"/>
    </xf>
    <xf numFmtId="0" fontId="4" fillId="14" borderId="12" xfId="0" applyFont="1" applyFill="1" applyBorder="1" applyAlignment="1">
      <alignment horizontal="center" vertical="center" wrapText="1"/>
    </xf>
    <xf numFmtId="37" fontId="1" fillId="14" borderId="12" xfId="0" applyNumberFormat="1" applyFont="1" applyFill="1" applyBorder="1" applyAlignment="1">
      <alignment horizontal="center" vertical="center" wrapText="1"/>
    </xf>
    <xf numFmtId="37" fontId="4" fillId="14" borderId="12" xfId="0" applyNumberFormat="1" applyFont="1" applyFill="1" applyBorder="1" applyAlignment="1">
      <alignment horizontal="center" vertical="center" wrapText="1"/>
    </xf>
    <xf numFmtId="37" fontId="1" fillId="14" borderId="23" xfId="0" applyNumberFormat="1" applyFont="1" applyFill="1" applyBorder="1" applyAlignment="1">
      <alignment horizontal="center" vertical="center" wrapText="1"/>
    </xf>
    <xf numFmtId="37" fontId="1" fillId="14" borderId="67" xfId="0" applyNumberFormat="1" applyFont="1" applyFill="1" applyBorder="1" applyAlignment="1">
      <alignment horizontal="center" vertical="center" wrapText="1"/>
    </xf>
    <xf numFmtId="37" fontId="1" fillId="14" borderId="68" xfId="0" applyNumberFormat="1" applyFont="1" applyFill="1" applyBorder="1" applyAlignment="1">
      <alignment horizontal="center" vertical="center" wrapText="1"/>
    </xf>
    <xf numFmtId="37" fontId="1" fillId="14" borderId="70" xfId="0" applyNumberFormat="1" applyFont="1" applyFill="1" applyBorder="1" applyAlignment="1">
      <alignment horizontal="center" vertical="center" wrapText="1"/>
    </xf>
    <xf numFmtId="37" fontId="1" fillId="14" borderId="74" xfId="0" applyNumberFormat="1" applyFont="1" applyFill="1" applyBorder="1" applyAlignment="1">
      <alignment horizontal="center" vertical="center" wrapText="1"/>
    </xf>
    <xf numFmtId="37" fontId="1" fillId="14" borderId="75" xfId="0" applyNumberFormat="1" applyFont="1" applyFill="1" applyBorder="1" applyAlignment="1">
      <alignment horizontal="center" vertical="center" wrapText="1"/>
    </xf>
    <xf numFmtId="0" fontId="1" fillId="18" borderId="73" xfId="0" applyFont="1" applyFill="1" applyBorder="1" applyAlignment="1">
      <alignment horizontal="center" vertical="center" wrapText="1"/>
    </xf>
    <xf numFmtId="37" fontId="1" fillId="18" borderId="73" xfId="0" applyNumberFormat="1" applyFont="1" applyFill="1" applyBorder="1" applyAlignment="1">
      <alignment horizontal="center" vertical="center" wrapText="1"/>
    </xf>
    <xf numFmtId="37" fontId="1" fillId="18" borderId="45" xfId="0" applyNumberFormat="1" applyFont="1" applyFill="1" applyBorder="1" applyAlignment="1">
      <alignment horizontal="center" vertical="center" wrapText="1"/>
    </xf>
    <xf numFmtId="0" fontId="0" fillId="18" borderId="0" xfId="0" applyFill="1" applyAlignment="1">
      <alignment vertical="center"/>
    </xf>
    <xf numFmtId="37" fontId="1" fillId="18" borderId="67" xfId="0" applyNumberFormat="1" applyFont="1" applyFill="1" applyBorder="1" applyAlignment="1">
      <alignment horizontal="center" vertical="center" wrapText="1"/>
    </xf>
    <xf numFmtId="37" fontId="1" fillId="18" borderId="68" xfId="0" applyNumberFormat="1" applyFont="1" applyFill="1" applyBorder="1" applyAlignment="1">
      <alignment horizontal="center" vertical="center" wrapText="1"/>
    </xf>
    <xf numFmtId="37" fontId="1" fillId="18" borderId="18" xfId="0" applyNumberFormat="1" applyFont="1" applyFill="1" applyBorder="1" applyAlignment="1">
      <alignment horizontal="center" vertical="center" wrapText="1"/>
    </xf>
    <xf numFmtId="37" fontId="1" fillId="18" borderId="22" xfId="0" applyNumberFormat="1" applyFont="1" applyFill="1" applyBorder="1" applyAlignment="1">
      <alignment horizontal="center" vertical="center" wrapText="1"/>
    </xf>
    <xf numFmtId="37" fontId="1" fillId="18" borderId="61" xfId="0" applyNumberFormat="1" applyFont="1" applyFill="1" applyBorder="1" applyAlignment="1">
      <alignment horizontal="center" vertical="center" wrapText="1"/>
    </xf>
    <xf numFmtId="37" fontId="1" fillId="18" borderId="75" xfId="0" applyNumberFormat="1" applyFont="1" applyFill="1" applyBorder="1" applyAlignment="1">
      <alignment horizontal="center" vertical="center" wrapText="1"/>
    </xf>
    <xf numFmtId="0" fontId="1" fillId="26" borderId="73" xfId="0" applyFont="1" applyFill="1" applyBorder="1" applyAlignment="1">
      <alignment horizontal="center" vertical="center" wrapText="1"/>
    </xf>
    <xf numFmtId="37" fontId="1" fillId="26" borderId="73" xfId="0" applyNumberFormat="1" applyFont="1" applyFill="1" applyBorder="1" applyAlignment="1">
      <alignment horizontal="center" vertical="center" wrapText="1"/>
    </xf>
    <xf numFmtId="37" fontId="1" fillId="26" borderId="45" xfId="0" applyNumberFormat="1" applyFont="1" applyFill="1" applyBorder="1" applyAlignment="1">
      <alignment horizontal="center" vertical="center" wrapText="1"/>
    </xf>
    <xf numFmtId="37" fontId="1" fillId="26" borderId="67" xfId="0" applyNumberFormat="1" applyFont="1" applyFill="1" applyBorder="1" applyAlignment="1">
      <alignment horizontal="center" vertical="center" wrapText="1"/>
    </xf>
    <xf numFmtId="37" fontId="1" fillId="26" borderId="68" xfId="0" applyNumberFormat="1" applyFont="1" applyFill="1" applyBorder="1" applyAlignment="1">
      <alignment horizontal="center" vertical="center" wrapText="1"/>
    </xf>
    <xf numFmtId="37" fontId="1" fillId="26" borderId="70" xfId="0" applyNumberFormat="1" applyFont="1" applyFill="1" applyBorder="1" applyAlignment="1">
      <alignment horizontal="center" vertical="center" wrapText="1"/>
    </xf>
    <xf numFmtId="37" fontId="1" fillId="26" borderId="74" xfId="0" applyNumberFormat="1" applyFont="1" applyFill="1" applyBorder="1" applyAlignment="1">
      <alignment horizontal="center" vertical="center" wrapText="1"/>
    </xf>
    <xf numFmtId="37" fontId="1" fillId="26" borderId="75" xfId="0" applyNumberFormat="1" applyFont="1" applyFill="1" applyBorder="1" applyAlignment="1">
      <alignment horizontal="center" vertical="center" wrapText="1"/>
    </xf>
    <xf numFmtId="37" fontId="4" fillId="14" borderId="67" xfId="0" applyNumberFormat="1" applyFont="1" applyFill="1" applyBorder="1" applyAlignment="1">
      <alignment horizontal="center" vertical="center" wrapText="1"/>
    </xf>
    <xf numFmtId="37" fontId="4" fillId="14" borderId="70" xfId="0" applyNumberFormat="1" applyFont="1" applyFill="1" applyBorder="1" applyAlignment="1">
      <alignment horizontal="center" vertical="center" wrapText="1"/>
    </xf>
    <xf numFmtId="37" fontId="4" fillId="14" borderId="63" xfId="0" applyNumberFormat="1" applyFont="1" applyFill="1" applyBorder="1" applyAlignment="1">
      <alignment horizontal="center" vertical="center" wrapText="1"/>
    </xf>
    <xf numFmtId="37" fontId="1" fillId="14" borderId="64" xfId="0" applyNumberFormat="1" applyFont="1" applyFill="1" applyBorder="1" applyAlignment="1">
      <alignment horizontal="center" vertical="center" wrapText="1"/>
    </xf>
    <xf numFmtId="37" fontId="4" fillId="14" borderId="60" xfId="0" applyNumberFormat="1" applyFont="1" applyFill="1" applyBorder="1" applyAlignment="1">
      <alignment horizontal="center" vertical="center" wrapText="1"/>
    </xf>
    <xf numFmtId="37" fontId="1" fillId="14" borderId="59" xfId="0" applyNumberFormat="1" applyFont="1" applyFill="1" applyBorder="1" applyAlignment="1">
      <alignment horizontal="center" vertical="center" wrapText="1"/>
    </xf>
    <xf numFmtId="0" fontId="2" fillId="18" borderId="73" xfId="0" applyFont="1" applyFill="1" applyBorder="1" applyAlignment="1">
      <alignment horizontal="center" vertical="center" wrapText="1"/>
    </xf>
    <xf numFmtId="37" fontId="2" fillId="18" borderId="67" xfId="0" applyNumberFormat="1" applyFont="1" applyFill="1" applyBorder="1" applyAlignment="1">
      <alignment horizontal="center" vertical="center" wrapText="1"/>
    </xf>
    <xf numFmtId="37" fontId="2" fillId="18" borderId="70" xfId="0" applyNumberFormat="1" applyFont="1" applyFill="1" applyBorder="1" applyAlignment="1">
      <alignment horizontal="center" vertical="center" wrapText="1"/>
    </xf>
    <xf numFmtId="37" fontId="2" fillId="18" borderId="74" xfId="0" applyNumberFormat="1" applyFont="1" applyFill="1" applyBorder="1" applyAlignment="1">
      <alignment horizontal="center" vertical="center" wrapText="1"/>
    </xf>
    <xf numFmtId="37" fontId="2" fillId="26" borderId="67" xfId="0" applyNumberFormat="1" applyFont="1" applyFill="1" applyBorder="1" applyAlignment="1">
      <alignment horizontal="center" vertical="center" wrapText="1"/>
    </xf>
    <xf numFmtId="37" fontId="2" fillId="26" borderId="70" xfId="0" applyNumberFormat="1" applyFont="1" applyFill="1" applyBorder="1" applyAlignment="1">
      <alignment horizontal="center" vertical="center" wrapText="1"/>
    </xf>
    <xf numFmtId="37" fontId="2" fillId="26" borderId="74" xfId="0" applyNumberFormat="1" applyFont="1" applyFill="1" applyBorder="1" applyAlignment="1">
      <alignment horizontal="center" vertical="center" wrapText="1"/>
    </xf>
    <xf numFmtId="37" fontId="0" fillId="0" borderId="10" xfId="0" applyNumberFormat="1" applyBorder="1" applyAlignment="1">
      <alignment vertical="center" wrapText="1"/>
    </xf>
    <xf numFmtId="37" fontId="0" fillId="0" borderId="22" xfId="0" applyNumberFormat="1" applyBorder="1" applyAlignment="1">
      <alignment vertical="center" wrapText="1"/>
    </xf>
    <xf numFmtId="0" fontId="0" fillId="30" borderId="9" xfId="0" applyFill="1" applyBorder="1" applyAlignment="1">
      <alignment vertical="center" wrapText="1"/>
    </xf>
    <xf numFmtId="166" fontId="0" fillId="0" borderId="0" xfId="0" applyNumberFormat="1"/>
    <xf numFmtId="37" fontId="1" fillId="18" borderId="56" xfId="0" applyNumberFormat="1" applyFont="1" applyFill="1" applyBorder="1" applyAlignment="1">
      <alignment horizontal="center" vertical="center" wrapText="1"/>
    </xf>
    <xf numFmtId="37" fontId="1" fillId="18" borderId="57" xfId="0" applyNumberFormat="1" applyFont="1" applyFill="1" applyBorder="1" applyAlignment="1">
      <alignment horizontal="center" vertical="center" wrapText="1"/>
    </xf>
    <xf numFmtId="171" fontId="0" fillId="0" borderId="88" xfId="6" applyNumberFormat="1" applyFont="1" applyBorder="1" applyAlignment="1">
      <alignment vertical="center" wrapText="1"/>
    </xf>
    <xf numFmtId="37" fontId="0" fillId="26" borderId="45" xfId="0" applyNumberFormat="1" applyFill="1" applyBorder="1" applyAlignment="1">
      <alignment vertical="center" wrapText="1"/>
    </xf>
    <xf numFmtId="37" fontId="0" fillId="26" borderId="0" xfId="0" applyNumberFormat="1" applyFill="1" applyAlignment="1">
      <alignment vertical="center" wrapText="1"/>
    </xf>
    <xf numFmtId="37" fontId="0" fillId="26" borderId="70" xfId="0" applyNumberFormat="1" applyFill="1" applyBorder="1" applyAlignment="1">
      <alignment vertical="center" wrapText="1"/>
    </xf>
    <xf numFmtId="0" fontId="1" fillId="26" borderId="74" xfId="0" applyFont="1" applyFill="1" applyBorder="1" applyAlignment="1">
      <alignment horizontal="center" vertical="center" wrapText="1"/>
    </xf>
    <xf numFmtId="0" fontId="2" fillId="26" borderId="74" xfId="0" applyFont="1" applyFill="1" applyBorder="1" applyAlignment="1">
      <alignment horizontal="center" vertical="center" wrapText="1"/>
    </xf>
    <xf numFmtId="0" fontId="0" fillId="0" borderId="27" xfId="0" applyBorder="1" applyAlignment="1" applyProtection="1">
      <alignment vertical="center" wrapText="1"/>
      <protection locked="0"/>
    </xf>
    <xf numFmtId="0" fontId="0" fillId="0" borderId="87" xfId="0" applyBorder="1" applyAlignment="1">
      <alignment vertical="center" wrapText="1"/>
    </xf>
    <xf numFmtId="171" fontId="0" fillId="0" borderId="87" xfId="6" applyNumberFormat="1" applyFont="1" applyBorder="1" applyAlignment="1" applyProtection="1">
      <alignment vertical="center" wrapText="1"/>
    </xf>
    <xf numFmtId="0" fontId="0" fillId="0" borderId="87" xfId="0" applyBorder="1" applyAlignment="1" applyProtection="1">
      <alignment vertical="center" wrapText="1"/>
      <protection locked="0"/>
    </xf>
    <xf numFmtId="171" fontId="0" fillId="0" borderId="87" xfId="6" applyNumberFormat="1" applyFont="1" applyBorder="1" applyAlignment="1">
      <alignment vertical="center" wrapText="1"/>
    </xf>
    <xf numFmtId="171" fontId="0" fillId="0" borderId="78" xfId="6" applyNumberFormat="1" applyFont="1" applyBorder="1" applyAlignment="1">
      <alignment vertical="center" wrapText="1"/>
    </xf>
    <xf numFmtId="166" fontId="0" fillId="0" borderId="9" xfId="0" applyNumberFormat="1" applyBorder="1" applyProtection="1">
      <protection locked="0"/>
    </xf>
    <xf numFmtId="0" fontId="0" fillId="0" borderId="11" xfId="0" applyBorder="1" applyAlignment="1">
      <alignment vertical="center"/>
    </xf>
    <xf numFmtId="170" fontId="0" fillId="0" borderId="9" xfId="6" applyNumberFormat="1" applyFont="1" applyBorder="1" applyAlignment="1" applyProtection="1">
      <alignment vertical="center" wrapText="1"/>
    </xf>
    <xf numFmtId="165" fontId="0" fillId="0" borderId="19" xfId="0" applyNumberFormat="1" applyBorder="1" applyAlignment="1">
      <alignment vertical="center"/>
    </xf>
    <xf numFmtId="165" fontId="0" fillId="0" borderId="9" xfId="0" applyNumberFormat="1" applyBorder="1" applyAlignment="1">
      <alignment vertical="center"/>
    </xf>
    <xf numFmtId="170" fontId="9" fillId="0" borderId="10" xfId="6" applyNumberFormat="1" applyFont="1" applyBorder="1" applyAlignment="1">
      <alignment vertical="center"/>
    </xf>
    <xf numFmtId="43" fontId="0" fillId="0" borderId="0" xfId="0" applyNumberFormat="1" applyProtection="1">
      <protection locked="0"/>
    </xf>
    <xf numFmtId="0" fontId="7" fillId="0" borderId="0" xfId="1" applyBorder="1" applyAlignment="1">
      <alignment vertical="center"/>
    </xf>
    <xf numFmtId="0" fontId="19" fillId="0" borderId="31" xfId="0" applyFont="1" applyBorder="1"/>
    <xf numFmtId="0" fontId="19" fillId="0" borderId="0" xfId="0" applyFont="1"/>
    <xf numFmtId="0" fontId="19" fillId="0" borderId="32" xfId="0" applyFont="1" applyBorder="1"/>
    <xf numFmtId="0" fontId="0" fillId="0" borderId="40" xfId="0" applyBorder="1"/>
    <xf numFmtId="0" fontId="0" fillId="0" borderId="2" xfId="0" applyBorder="1"/>
    <xf numFmtId="0" fontId="0" fillId="0" borderId="41" xfId="0" applyBorder="1"/>
    <xf numFmtId="0" fontId="0" fillId="0" borderId="0" xfId="0" applyAlignment="1">
      <alignment horizontal="left" wrapText="1"/>
    </xf>
    <xf numFmtId="0" fontId="0" fillId="0" borderId="32" xfId="0" applyBorder="1" applyAlignment="1">
      <alignment horizontal="left" wrapText="1"/>
    </xf>
    <xf numFmtId="0" fontId="0" fillId="0" borderId="0" xfId="0" quotePrefix="1" applyAlignment="1">
      <alignment horizontal="left" vertical="center" wrapText="1"/>
    </xf>
    <xf numFmtId="0" fontId="0" fillId="0" borderId="32" xfId="0" quotePrefix="1" applyBorder="1" applyAlignment="1">
      <alignment horizontal="left" vertical="center" wrapText="1"/>
    </xf>
    <xf numFmtId="0" fontId="8" fillId="0" borderId="0" xfId="0" quotePrefix="1" applyFont="1" applyAlignment="1">
      <alignment horizontal="left" vertical="top" wrapText="1"/>
    </xf>
    <xf numFmtId="0" fontId="8" fillId="0" borderId="32" xfId="0" quotePrefix="1" applyFont="1" applyBorder="1" applyAlignment="1">
      <alignment horizontal="left" vertical="top" wrapText="1"/>
    </xf>
    <xf numFmtId="0" fontId="0" fillId="0" borderId="0" xfId="0" quotePrefix="1" applyAlignment="1">
      <alignment horizontal="left" vertical="top" wrapText="1"/>
    </xf>
    <xf numFmtId="0" fontId="0" fillId="0" borderId="32" xfId="0" quotePrefix="1" applyBorder="1" applyAlignment="1">
      <alignment horizontal="left" vertical="top" wrapText="1"/>
    </xf>
    <xf numFmtId="0" fontId="33" fillId="0" borderId="28" xfId="0" applyFont="1" applyBorder="1" applyAlignment="1">
      <alignment horizontal="center" vertical="top" wrapText="1"/>
    </xf>
    <xf numFmtId="0" fontId="30" fillId="0" borderId="29" xfId="0" applyFont="1" applyBorder="1" applyAlignment="1">
      <alignment horizontal="center" vertical="top" wrapText="1"/>
    </xf>
    <xf numFmtId="0" fontId="30" fillId="0" borderId="30" xfId="0" applyFont="1" applyBorder="1" applyAlignment="1">
      <alignment horizontal="center" vertical="top" wrapText="1"/>
    </xf>
    <xf numFmtId="0" fontId="28" fillId="0" borderId="38" xfId="0" applyFont="1" applyBorder="1" applyAlignment="1">
      <alignment horizontal="left" vertical="top" wrapText="1"/>
    </xf>
    <xf numFmtId="0" fontId="28" fillId="0" borderId="7" xfId="0" applyFont="1" applyBorder="1" applyAlignment="1">
      <alignment horizontal="left" vertical="top" wrapText="1"/>
    </xf>
    <xf numFmtId="0" fontId="28" fillId="0" borderId="39" xfId="0" applyFont="1" applyBorder="1" applyAlignment="1">
      <alignment horizontal="left" vertical="top" wrapText="1"/>
    </xf>
    <xf numFmtId="0" fontId="15" fillId="0" borderId="31" xfId="0" applyFont="1" applyBorder="1"/>
    <xf numFmtId="0" fontId="15" fillId="0" borderId="0" xfId="0" applyFont="1"/>
    <xf numFmtId="0" fontId="15" fillId="0" borderId="32" xfId="0" applyFont="1" applyBorder="1"/>
    <xf numFmtId="0" fontId="0" fillId="0" borderId="0" xfId="0" applyAlignment="1">
      <alignment horizontal="left" vertical="top" wrapText="1"/>
    </xf>
    <xf numFmtId="0" fontId="0" fillId="0" borderId="32" xfId="0" applyBorder="1" applyAlignment="1">
      <alignment horizontal="left" vertical="top" wrapText="1"/>
    </xf>
    <xf numFmtId="0" fontId="36" fillId="5" borderId="3" xfId="0" applyFont="1" applyFill="1" applyBorder="1" applyAlignment="1" applyProtection="1">
      <alignment horizontal="left" vertical="top"/>
      <protection locked="0"/>
    </xf>
    <xf numFmtId="0" fontId="36" fillId="5" borderId="5" xfId="0" applyFont="1" applyFill="1" applyBorder="1" applyAlignment="1" applyProtection="1">
      <alignment horizontal="left" vertical="top"/>
      <protection locked="0"/>
    </xf>
    <xf numFmtId="0" fontId="34" fillId="0" borderId="0" xfId="0" applyFont="1" applyAlignment="1">
      <alignment horizontal="left" vertical="center" wrapText="1"/>
    </xf>
    <xf numFmtId="0" fontId="16" fillId="0" borderId="0" xfId="0" applyFont="1" applyAlignment="1">
      <alignment horizontal="left" vertical="center" wrapText="1"/>
    </xf>
    <xf numFmtId="0" fontId="0" fillId="5" borderId="0" xfId="0" applyFill="1" applyAlignment="1" applyProtection="1">
      <alignment horizontal="center"/>
      <protection locked="0"/>
    </xf>
    <xf numFmtId="0" fontId="2" fillId="0" borderId="7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2" xfId="0" applyFont="1" applyBorder="1" applyAlignment="1">
      <alignment horizontal="center" vertical="center" wrapText="1"/>
    </xf>
    <xf numFmtId="0" fontId="5" fillId="0" borderId="71" xfId="0" applyFont="1" applyBorder="1" applyAlignment="1">
      <alignment horizontal="center"/>
    </xf>
    <xf numFmtId="0" fontId="5" fillId="0" borderId="11" xfId="0" applyFont="1" applyBorder="1" applyAlignment="1">
      <alignment horizontal="center"/>
    </xf>
    <xf numFmtId="0" fontId="5" fillId="0" borderId="72" xfId="0" applyFont="1" applyBorder="1" applyAlignment="1">
      <alignment horizontal="center"/>
    </xf>
    <xf numFmtId="167" fontId="2" fillId="0" borderId="83" xfId="0" applyNumberFormat="1" applyFont="1" applyBorder="1" applyAlignment="1">
      <alignment vertical="center"/>
    </xf>
    <xf numFmtId="167" fontId="2" fillId="0" borderId="82" xfId="0" applyNumberFormat="1" applyFont="1" applyBorder="1" applyAlignment="1">
      <alignment vertical="center"/>
    </xf>
    <xf numFmtId="0" fontId="1" fillId="21" borderId="47" xfId="0" applyFont="1" applyFill="1" applyBorder="1" applyAlignment="1">
      <alignment horizontal="left" vertical="center" wrapText="1"/>
    </xf>
    <xf numFmtId="0" fontId="1" fillId="21" borderId="48" xfId="0" applyFont="1" applyFill="1" applyBorder="1" applyAlignment="1">
      <alignment horizontal="left" vertical="center" wrapText="1"/>
    </xf>
    <xf numFmtId="0" fontId="1" fillId="21" borderId="49" xfId="0" applyFont="1" applyFill="1" applyBorder="1" applyAlignment="1">
      <alignment horizontal="left" vertical="center" wrapText="1"/>
    </xf>
    <xf numFmtId="172" fontId="0" fillId="0" borderId="9" xfId="4" applyNumberFormat="1" applyFont="1" applyBorder="1" applyAlignment="1" applyProtection="1">
      <alignment horizontal="right" vertical="center" wrapText="1"/>
    </xf>
    <xf numFmtId="172" fontId="0" fillId="0" borderId="9" xfId="0" applyNumberFormat="1" applyBorder="1" applyAlignment="1">
      <alignment horizontal="right" vertical="center" wrapText="1"/>
    </xf>
    <xf numFmtId="9" fontId="0" fillId="0" borderId="9" xfId="2" applyFont="1" applyBorder="1" applyAlignment="1" applyProtection="1">
      <alignment horizontal="right" vertical="center" wrapText="1"/>
      <protection locked="0"/>
    </xf>
    <xf numFmtId="167" fontId="2" fillId="3" borderId="9" xfId="0" applyNumberFormat="1" applyFont="1" applyFill="1" applyBorder="1" applyAlignment="1">
      <alignment horizontal="right" vertical="center" wrapText="1"/>
    </xf>
    <xf numFmtId="173" fontId="5" fillId="0" borderId="9" xfId="0" applyNumberFormat="1" applyFont="1" applyBorder="1" applyAlignment="1">
      <alignment horizontal="right" vertical="center" wrapText="1"/>
    </xf>
    <xf numFmtId="9" fontId="5" fillId="0" borderId="9" xfId="2" applyFont="1" applyFill="1" applyBorder="1" applyAlignment="1" applyProtection="1">
      <alignment horizontal="right" vertical="center" wrapText="1"/>
      <protection locked="0"/>
    </xf>
    <xf numFmtId="9" fontId="2" fillId="3" borderId="9" xfId="2" applyFont="1" applyFill="1" applyBorder="1" applyAlignment="1" applyProtection="1">
      <alignment horizontal="right" vertical="center" wrapText="1"/>
    </xf>
    <xf numFmtId="172" fontId="0" fillId="0" borderId="10" xfId="4" applyNumberFormat="1" applyFont="1" applyBorder="1" applyAlignment="1" applyProtection="1">
      <alignment horizontal="center" vertical="center" wrapText="1"/>
    </xf>
    <xf numFmtId="172" fontId="0" fillId="0" borderId="19" xfId="4" applyNumberFormat="1" applyFont="1" applyBorder="1" applyAlignment="1" applyProtection="1">
      <alignment horizontal="center" vertical="center" wrapText="1"/>
    </xf>
    <xf numFmtId="172" fontId="0" fillId="0" borderId="12" xfId="4" applyNumberFormat="1" applyFont="1" applyFill="1" applyBorder="1" applyAlignment="1" applyProtection="1">
      <alignment horizontal="right" vertical="center" wrapText="1"/>
    </xf>
    <xf numFmtId="173" fontId="0" fillId="0" borderId="9" xfId="4" applyNumberFormat="1" applyFont="1" applyFill="1" applyBorder="1" applyAlignment="1" applyProtection="1">
      <alignment horizontal="right" vertical="center" wrapText="1"/>
    </xf>
    <xf numFmtId="173" fontId="0" fillId="0" borderId="12" xfId="4" applyNumberFormat="1" applyFont="1" applyFill="1" applyBorder="1" applyAlignment="1" applyProtection="1">
      <alignment horizontal="right" vertical="center" wrapText="1"/>
    </xf>
    <xf numFmtId="172" fontId="0" fillId="0" borderId="9" xfId="4" applyNumberFormat="1" applyFont="1" applyFill="1" applyBorder="1" applyAlignment="1" applyProtection="1">
      <alignment horizontal="right" vertical="center" wrapText="1"/>
    </xf>
    <xf numFmtId="37" fontId="0" fillId="18" borderId="22" xfId="0" applyNumberFormat="1" applyFill="1" applyBorder="1" applyAlignment="1">
      <alignment horizontal="right" vertical="center" wrapText="1"/>
    </xf>
    <xf numFmtId="37" fontId="0" fillId="18" borderId="17" xfId="0" applyNumberFormat="1" applyFill="1" applyBorder="1" applyAlignment="1">
      <alignment horizontal="right" vertical="center" wrapText="1"/>
    </xf>
    <xf numFmtId="37" fontId="2" fillId="20" borderId="47" xfId="0" applyNumberFormat="1" applyFont="1" applyFill="1" applyBorder="1" applyAlignment="1">
      <alignment horizontal="center"/>
    </xf>
    <xf numFmtId="37" fontId="2" fillId="20" borderId="48" xfId="0" applyNumberFormat="1" applyFont="1" applyFill="1" applyBorder="1" applyAlignment="1">
      <alignment horizontal="center"/>
    </xf>
    <xf numFmtId="0" fontId="1" fillId="16" borderId="47" xfId="0" applyFont="1" applyFill="1" applyBorder="1" applyAlignment="1">
      <alignment horizontal="left" vertical="center" wrapText="1"/>
    </xf>
    <xf numFmtId="0" fontId="1" fillId="16" borderId="48" xfId="0" applyFont="1" applyFill="1" applyBorder="1" applyAlignment="1">
      <alignment horizontal="left" vertical="center" wrapText="1"/>
    </xf>
    <xf numFmtId="9" fontId="8" fillId="0" borderId="9" xfId="2" applyFont="1" applyFill="1" applyBorder="1" applyAlignment="1" applyProtection="1">
      <alignment horizontal="right" vertical="center" wrapText="1"/>
      <protection locked="0"/>
    </xf>
    <xf numFmtId="0" fontId="25" fillId="18" borderId="23" xfId="0" applyFont="1" applyFill="1" applyBorder="1" applyAlignment="1">
      <alignment horizontal="left" vertical="center" wrapText="1"/>
    </xf>
    <xf numFmtId="0" fontId="25" fillId="18" borderId="42" xfId="0" applyFont="1" applyFill="1" applyBorder="1" applyAlignment="1">
      <alignment horizontal="left" vertical="center" wrapText="1"/>
    </xf>
    <xf numFmtId="0" fontId="25" fillId="18" borderId="43" xfId="0" applyFont="1" applyFill="1" applyBorder="1" applyAlignment="1">
      <alignment horizontal="left" vertical="center" wrapText="1"/>
    </xf>
    <xf numFmtId="167" fontId="0" fillId="0" borderId="27" xfId="0" applyNumberFormat="1" applyBorder="1" applyAlignment="1">
      <alignment vertical="center"/>
    </xf>
    <xf numFmtId="167" fontId="0" fillId="0" borderId="78" xfId="0" applyNumberFormat="1" applyBorder="1" applyAlignment="1">
      <alignment vertical="center"/>
    </xf>
    <xf numFmtId="0" fontId="1" fillId="18" borderId="45" xfId="0" applyFont="1" applyFill="1" applyBorder="1" applyAlignment="1">
      <alignment horizontal="left" vertical="center" wrapText="1"/>
    </xf>
    <xf numFmtId="0" fontId="1" fillId="18" borderId="0" xfId="0" applyFont="1" applyFill="1" applyAlignment="1">
      <alignment horizontal="left" vertical="center" wrapText="1"/>
    </xf>
    <xf numFmtId="0" fontId="1" fillId="18" borderId="46" xfId="0" applyFont="1" applyFill="1" applyBorder="1" applyAlignment="1">
      <alignment horizontal="left" vertical="center" wrapText="1"/>
    </xf>
    <xf numFmtId="0" fontId="25" fillId="18" borderId="9" xfId="0" applyFont="1" applyFill="1" applyBorder="1" applyAlignment="1">
      <alignment horizontal="left" vertical="center" wrapText="1"/>
    </xf>
    <xf numFmtId="167" fontId="8" fillId="0" borderId="24" xfId="4" applyNumberFormat="1" applyFont="1" applyFill="1" applyBorder="1" applyAlignment="1" applyProtection="1">
      <alignment horizontal="right" vertical="center" wrapText="1"/>
    </xf>
    <xf numFmtId="167" fontId="8" fillId="0" borderId="69" xfId="4" applyNumberFormat="1" applyFont="1" applyFill="1" applyBorder="1" applyAlignment="1" applyProtection="1">
      <alignment horizontal="right" vertical="center" wrapText="1"/>
    </xf>
    <xf numFmtId="0" fontId="1" fillId="18" borderId="9" xfId="0" applyFont="1" applyFill="1" applyBorder="1" applyAlignment="1">
      <alignment horizontal="left" vertical="center" wrapText="1"/>
    </xf>
    <xf numFmtId="167" fontId="2" fillId="18" borderId="47" xfId="0" applyNumberFormat="1" applyFont="1" applyFill="1" applyBorder="1" applyAlignment="1">
      <alignment horizontal="center" vertical="center" wrapText="1"/>
    </xf>
    <xf numFmtId="167" fontId="2" fillId="18" borderId="50" xfId="0" applyNumberFormat="1" applyFont="1" applyFill="1" applyBorder="1" applyAlignment="1">
      <alignment horizontal="center" vertical="center" wrapText="1"/>
    </xf>
    <xf numFmtId="167" fontId="2" fillId="0" borderId="56" xfId="0" applyNumberFormat="1" applyFont="1" applyBorder="1" applyAlignment="1">
      <alignment vertical="center"/>
    </xf>
    <xf numFmtId="167" fontId="2" fillId="0" borderId="84" xfId="0" applyNumberFormat="1" applyFont="1" applyBorder="1" applyAlignment="1">
      <alignment vertical="center"/>
    </xf>
    <xf numFmtId="0" fontId="1" fillId="17" borderId="23" xfId="0" applyFont="1" applyFill="1" applyBorder="1" applyAlignment="1">
      <alignment horizontal="left" vertical="center" wrapText="1"/>
    </xf>
    <xf numFmtId="0" fontId="1" fillId="17" borderId="42" xfId="0" applyFont="1" applyFill="1" applyBorder="1" applyAlignment="1">
      <alignment horizontal="left" vertical="center" wrapText="1"/>
    </xf>
    <xf numFmtId="0" fontId="1" fillId="17" borderId="43" xfId="0" applyFont="1" applyFill="1" applyBorder="1" applyAlignment="1">
      <alignment horizontal="left" vertical="center" wrapText="1"/>
    </xf>
    <xf numFmtId="0" fontId="1" fillId="17" borderId="22" xfId="0" applyFont="1" applyFill="1" applyBorder="1" applyAlignment="1">
      <alignment horizontal="left" vertical="center" wrapText="1"/>
    </xf>
    <xf numFmtId="0" fontId="1" fillId="17" borderId="17" xfId="0" applyFont="1" applyFill="1" applyBorder="1" applyAlignment="1">
      <alignment horizontal="left" vertical="center" wrapText="1"/>
    </xf>
    <xf numFmtId="0" fontId="1" fillId="17" borderId="44" xfId="0" applyFont="1" applyFill="1" applyBorder="1" applyAlignment="1">
      <alignment horizontal="left" vertical="center" wrapText="1"/>
    </xf>
    <xf numFmtId="167" fontId="0" fillId="0" borderId="80" xfId="0" applyNumberFormat="1" applyBorder="1" applyAlignment="1">
      <alignment horizontal="right" vertical="center" wrapText="1"/>
    </xf>
    <xf numFmtId="167" fontId="0" fillId="0" borderId="23" xfId="0" applyNumberFormat="1" applyBorder="1" applyAlignment="1">
      <alignment horizontal="right" vertical="center" wrapText="1"/>
    </xf>
    <xf numFmtId="0" fontId="1" fillId="20" borderId="10" xfId="0" applyFont="1" applyFill="1" applyBorder="1" applyAlignment="1">
      <alignment horizontal="left" vertical="center" wrapText="1"/>
    </xf>
    <xf numFmtId="0" fontId="1" fillId="20" borderId="11" xfId="0" applyFont="1" applyFill="1" applyBorder="1" applyAlignment="1">
      <alignment horizontal="left" vertical="center" wrapText="1"/>
    </xf>
    <xf numFmtId="167" fontId="0" fillId="0" borderId="20" xfId="0" applyNumberFormat="1" applyBorder="1" applyAlignment="1">
      <alignment vertical="center"/>
    </xf>
    <xf numFmtId="167" fontId="0" fillId="0" borderId="10" xfId="0" applyNumberFormat="1" applyBorder="1" applyAlignment="1">
      <alignment vertical="center"/>
    </xf>
    <xf numFmtId="166" fontId="8" fillId="0" borderId="20" xfId="2" applyNumberFormat="1" applyFont="1" applyFill="1" applyBorder="1" applyAlignment="1" applyProtection="1">
      <alignment vertical="center" wrapText="1"/>
      <protection locked="0"/>
    </xf>
    <xf numFmtId="166" fontId="8" fillId="0" borderId="10" xfId="2" applyNumberFormat="1" applyFont="1" applyFill="1" applyBorder="1" applyAlignment="1" applyProtection="1">
      <alignment vertical="center" wrapText="1"/>
      <protection locked="0"/>
    </xf>
    <xf numFmtId="0" fontId="1" fillId="20" borderId="9" xfId="0" applyFont="1" applyFill="1" applyBorder="1" applyAlignment="1">
      <alignment horizontal="left" vertical="center" wrapText="1"/>
    </xf>
    <xf numFmtId="167" fontId="0" fillId="0" borderId="19" xfId="0" applyNumberFormat="1" applyBorder="1" applyAlignment="1">
      <alignment horizontal="right" vertical="center" wrapText="1"/>
    </xf>
    <xf numFmtId="167" fontId="0" fillId="0" borderId="9" xfId="0" applyNumberFormat="1" applyBorder="1" applyAlignment="1">
      <alignment horizontal="right" vertical="center" wrapText="1"/>
    </xf>
    <xf numFmtId="168" fontId="8" fillId="0" borderId="71" xfId="4" applyNumberFormat="1" applyFont="1" applyFill="1" applyBorder="1" applyAlignment="1" applyProtection="1">
      <alignment horizontal="right" vertical="center" wrapText="1"/>
    </xf>
    <xf numFmtId="168" fontId="8" fillId="0" borderId="72" xfId="4" applyNumberFormat="1" applyFont="1" applyFill="1" applyBorder="1" applyAlignment="1" applyProtection="1">
      <alignment horizontal="right" vertical="center" wrapText="1"/>
    </xf>
    <xf numFmtId="167" fontId="8" fillId="0" borderId="71" xfId="4" applyNumberFormat="1" applyFont="1" applyFill="1" applyBorder="1" applyAlignment="1" applyProtection="1">
      <alignment horizontal="right" vertical="center" wrapText="1"/>
    </xf>
    <xf numFmtId="167" fontId="8" fillId="0" borderId="72" xfId="4" applyNumberFormat="1" applyFont="1" applyFill="1" applyBorder="1" applyAlignment="1" applyProtection="1">
      <alignment horizontal="right" vertical="center" wrapText="1"/>
    </xf>
    <xf numFmtId="0" fontId="2" fillId="26" borderId="47" xfId="0" applyFont="1" applyFill="1" applyBorder="1" applyAlignment="1">
      <alignment horizontal="center"/>
    </xf>
    <xf numFmtId="0" fontId="2" fillId="26" borderId="48" xfId="0" applyFont="1" applyFill="1" applyBorder="1" applyAlignment="1">
      <alignment horizontal="center"/>
    </xf>
    <xf numFmtId="0" fontId="2" fillId="26" borderId="50" xfId="0" applyFont="1" applyFill="1" applyBorder="1" applyAlignment="1">
      <alignment horizontal="center"/>
    </xf>
    <xf numFmtId="0" fontId="12" fillId="0" borderId="47"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67" xfId="0" applyFont="1" applyBorder="1" applyAlignment="1" applyProtection="1">
      <alignment horizontal="center"/>
      <protection locked="0"/>
    </xf>
    <xf numFmtId="0" fontId="12" fillId="0" borderId="45" xfId="0" applyFont="1" applyBorder="1" applyAlignment="1" applyProtection="1">
      <alignment horizontal="center"/>
      <protection locked="0"/>
    </xf>
    <xf numFmtId="0" fontId="12" fillId="0" borderId="28" xfId="0" applyFont="1" applyBorder="1" applyAlignment="1" applyProtection="1">
      <alignment horizontal="center"/>
      <protection locked="0"/>
    </xf>
    <xf numFmtId="0" fontId="12" fillId="0" borderId="30" xfId="0" applyFont="1" applyBorder="1" applyAlignment="1" applyProtection="1">
      <alignment horizontal="center"/>
      <protection locked="0"/>
    </xf>
    <xf numFmtId="0" fontId="2" fillId="18" borderId="47" xfId="0" applyFont="1" applyFill="1" applyBorder="1" applyAlignment="1">
      <alignment horizontal="center"/>
    </xf>
    <xf numFmtId="0" fontId="2" fillId="18" borderId="48" xfId="0" applyFont="1" applyFill="1" applyBorder="1" applyAlignment="1">
      <alignment horizontal="center"/>
    </xf>
    <xf numFmtId="0" fontId="2" fillId="18" borderId="50" xfId="0" applyFont="1" applyFill="1" applyBorder="1" applyAlignment="1">
      <alignment horizontal="center"/>
    </xf>
    <xf numFmtId="37" fontId="1" fillId="14" borderId="24" xfId="0" applyNumberFormat="1" applyFont="1" applyFill="1" applyBorder="1" applyAlignment="1">
      <alignment horizontal="center"/>
    </xf>
    <xf numFmtId="37" fontId="1" fillId="14" borderId="25" xfId="0" applyNumberFormat="1" applyFont="1" applyFill="1" applyBorder="1" applyAlignment="1">
      <alignment horizontal="center"/>
    </xf>
    <xf numFmtId="37" fontId="1" fillId="14" borderId="69" xfId="0" applyNumberFormat="1" applyFont="1" applyFill="1" applyBorder="1" applyAlignment="1">
      <alignment horizontal="center"/>
    </xf>
    <xf numFmtId="0" fontId="12" fillId="0" borderId="83" xfId="0" applyFont="1" applyBorder="1" applyAlignment="1" applyProtection="1">
      <alignment horizontal="center"/>
      <protection locked="0"/>
    </xf>
    <xf numFmtId="0" fontId="12" fillId="0" borderId="79" xfId="0" applyFont="1" applyBorder="1" applyAlignment="1" applyProtection="1">
      <alignment horizontal="center"/>
      <protection locked="0"/>
    </xf>
    <xf numFmtId="0" fontId="12" fillId="0" borderId="31" xfId="0" applyFont="1" applyBorder="1" applyAlignment="1" applyProtection="1">
      <alignment horizontal="center"/>
      <protection locked="0"/>
    </xf>
    <xf numFmtId="0" fontId="12" fillId="0" borderId="66" xfId="0" applyFont="1" applyBorder="1" applyAlignment="1" applyProtection="1">
      <alignment horizontal="center"/>
      <protection locked="0"/>
    </xf>
    <xf numFmtId="0" fontId="12" fillId="0" borderId="65" xfId="0" applyFont="1" applyBorder="1" applyAlignment="1" applyProtection="1">
      <alignment horizontal="center"/>
      <protection locked="0"/>
    </xf>
    <xf numFmtId="0" fontId="12" fillId="0" borderId="68" xfId="0" applyFont="1" applyBorder="1" applyAlignment="1" applyProtection="1">
      <alignment horizontal="center"/>
      <protection locked="0"/>
    </xf>
    <xf numFmtId="0" fontId="12" fillId="0" borderId="32" xfId="0" applyFont="1" applyBorder="1" applyAlignment="1" applyProtection="1">
      <alignment horizontal="center"/>
      <protection locked="0"/>
    </xf>
    <xf numFmtId="0" fontId="0" fillId="0" borderId="0" xfId="0" applyAlignment="1">
      <alignment vertical="center" wrapText="1"/>
    </xf>
    <xf numFmtId="0" fontId="21" fillId="25" borderId="47" xfId="0" applyFont="1" applyFill="1" applyBorder="1" applyAlignment="1" applyProtection="1">
      <alignment horizontal="center" wrapText="1"/>
      <protection locked="0"/>
    </xf>
    <xf numFmtId="0" fontId="21" fillId="25" borderId="50" xfId="0" applyFont="1" applyFill="1" applyBorder="1" applyAlignment="1" applyProtection="1">
      <alignment horizontal="center" wrapText="1"/>
      <protection locked="0"/>
    </xf>
    <xf numFmtId="0" fontId="21" fillId="10" borderId="52" xfId="0" applyFont="1" applyFill="1" applyBorder="1" applyAlignment="1" applyProtection="1">
      <alignment horizontal="center" vertical="center" wrapText="1"/>
      <protection locked="0"/>
    </xf>
    <xf numFmtId="0" fontId="21" fillId="10" borderId="53" xfId="0" applyFont="1" applyFill="1" applyBorder="1" applyAlignment="1" applyProtection="1">
      <alignment horizontal="center" vertical="center" wrapText="1"/>
      <protection locked="0"/>
    </xf>
    <xf numFmtId="0" fontId="0" fillId="0" borderId="15" xfId="0" applyBorder="1" applyAlignment="1">
      <alignment vertical="center"/>
    </xf>
    <xf numFmtId="0" fontId="0" fillId="0" borderId="16" xfId="0" applyBorder="1" applyAlignment="1">
      <alignment vertical="center"/>
    </xf>
    <xf numFmtId="0" fontId="7" fillId="0" borderId="15" xfId="1" applyBorder="1" applyAlignment="1">
      <alignment vertical="center"/>
    </xf>
    <xf numFmtId="0" fontId="7" fillId="0" borderId="16" xfId="1" applyBorder="1" applyAlignment="1">
      <alignment vertical="center"/>
    </xf>
    <xf numFmtId="0" fontId="0" fillId="0" borderId="15" xfId="0" applyBorder="1" applyAlignment="1">
      <alignment vertical="center" wrapText="1"/>
    </xf>
    <xf numFmtId="0" fontId="0" fillId="0" borderId="17" xfId="0" applyBorder="1" applyAlignment="1">
      <alignment vertical="center" wrapText="1"/>
    </xf>
    <xf numFmtId="0" fontId="0" fillId="0" borderId="73" xfId="0" applyFill="1" applyBorder="1" applyAlignment="1">
      <alignment vertical="top" wrapText="1"/>
    </xf>
    <xf numFmtId="0" fontId="0" fillId="0" borderId="73" xfId="0" applyFill="1" applyBorder="1" applyAlignment="1">
      <alignment horizontal="left" vertical="top" wrapText="1"/>
    </xf>
    <xf numFmtId="0" fontId="0" fillId="31" borderId="0" xfId="0" applyFill="1"/>
  </cellXfs>
  <cellStyles count="7">
    <cellStyle name="Comma" xfId="6" builtinId="3"/>
    <cellStyle name="Currency" xfId="4" builtinId="4"/>
    <cellStyle name="Currency 2" xfId="5" xr:uid="{9A94FFB9-E29C-4BC7-807D-CFF76266C2A6}"/>
    <cellStyle name="Hyperlink" xfId="1" builtinId="8"/>
    <cellStyle name="Normal" xfId="0" builtinId="0"/>
    <cellStyle name="Normal 2 112" xfId="3" xr:uid="{00000000-0005-0000-0000-000003000000}"/>
    <cellStyle name="Percent" xfId="2" builtinId="5"/>
  </cellStyles>
  <dxfs count="96">
    <dxf>
      <font>
        <b val="0"/>
        <i val="0"/>
        <strike val="0"/>
        <color theme="1"/>
      </font>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ont>
        <color theme="1"/>
      </font>
      <fill>
        <patternFill>
          <bgColor rgb="FFCCCCFF"/>
        </patternFill>
      </fill>
    </dxf>
    <dxf>
      <font>
        <color theme="1"/>
      </font>
      <fill>
        <patternFill>
          <bgColor theme="7" tint="0.7999816888943144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theme="1"/>
      </font>
      <fill>
        <patternFill>
          <bgColor theme="1"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ont>
        <color theme="1"/>
      </font>
      <fill>
        <patternFill>
          <bgColor rgb="FFCCCCFF"/>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1"/>
      </font>
      <fill>
        <patternFill>
          <bgColor theme="7" tint="0.7999816888943144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s>
  <tableStyles count="0" defaultTableStyle="TableStyleMedium2" defaultPivotStyle="PivotStyleLight16"/>
  <colors>
    <mruColors>
      <color rgb="FF00FFFF"/>
      <color rgb="FFFFFF00"/>
      <color rgb="FFCC00FF"/>
      <color rgb="FFFFCCFF"/>
      <color rgb="FF9999FF"/>
      <color rgb="FFFFFF66"/>
      <color rgb="FF9900CC"/>
      <color rgb="FFFF99FF"/>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71438</xdr:colOff>
      <xdr:row>0</xdr:row>
      <xdr:rowOff>182562</xdr:rowOff>
    </xdr:from>
    <xdr:to>
      <xdr:col>3</xdr:col>
      <xdr:colOff>353660</xdr:colOff>
      <xdr:row>4</xdr:row>
      <xdr:rowOff>111125</xdr:rowOff>
    </xdr:to>
    <xdr:pic>
      <xdr:nvPicPr>
        <xdr:cNvPr id="3" name="Picture 2" descr="Gavi, the Vaccine Alliance">
          <a:extLst>
            <a:ext uri="{FF2B5EF4-FFF2-40B4-BE49-F238E27FC236}">
              <a16:creationId xmlns:a16="http://schemas.microsoft.com/office/drawing/2014/main" id="{32B91A7E-C763-4277-A1C7-D7E953A27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8" y="182562"/>
          <a:ext cx="2468562" cy="912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183444</xdr:colOff>
      <xdr:row>24</xdr:row>
      <xdr:rowOff>77611</xdr:rowOff>
    </xdr:from>
    <xdr:to>
      <xdr:col>0</xdr:col>
      <xdr:colOff>515055</xdr:colOff>
      <xdr:row>59</xdr:row>
      <xdr:rowOff>0</xdr:rowOff>
    </xdr:to>
    <xdr:sp macro="" textlink="">
      <xdr:nvSpPr>
        <xdr:cNvPr id="4" name="Rectangle 3">
          <a:extLst>
            <a:ext uri="{FF2B5EF4-FFF2-40B4-BE49-F238E27FC236}">
              <a16:creationId xmlns:a16="http://schemas.microsoft.com/office/drawing/2014/main" id="{591C14E3-D4F5-400C-8204-627C5FB87F21}"/>
            </a:ext>
          </a:extLst>
        </xdr:cNvPr>
        <xdr:cNvSpPr>
          <a:spLocks noChangeArrowheads="1"/>
        </xdr:cNvSpPr>
      </xdr:nvSpPr>
      <xdr:spPr bwMode="auto">
        <a:xfrm>
          <a:off x="183444" y="3337278"/>
          <a:ext cx="331611" cy="8276165"/>
        </a:xfrm>
        <a:prstGeom prst="rect">
          <a:avLst/>
        </a:prstGeom>
        <a:solidFill>
          <a:schemeClr val="bg2"/>
        </a:solidFill>
        <a:ln>
          <a:noFill/>
        </a:ln>
        <a:effectLst/>
        <a:scene3d>
          <a:camera prst="orthographicFront"/>
          <a:lightRig rig="soft" dir="t"/>
        </a:scene3d>
        <a:sp3d prstMaterial="metal">
          <a:bevelB prst="angle"/>
        </a:sp3d>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eaLnBrk="1" hangingPunct="1"/>
          <a:endParaRPr lang="en-US" altLang="en-US"/>
        </a:p>
      </xdr:txBody>
    </xdr:sp>
    <xdr:clientData/>
  </xdr:twoCellAnchor>
  <xdr:twoCellAnchor>
    <xdr:from>
      <xdr:col>0</xdr:col>
      <xdr:colOff>239890</xdr:colOff>
      <xdr:row>24</xdr:row>
      <xdr:rowOff>176388</xdr:rowOff>
    </xdr:from>
    <xdr:to>
      <xdr:col>0</xdr:col>
      <xdr:colOff>465315</xdr:colOff>
      <xdr:row>25</xdr:row>
      <xdr:rowOff>216781</xdr:rowOff>
    </xdr:to>
    <xdr:sp macro="" textlink="">
      <xdr:nvSpPr>
        <xdr:cNvPr id="5" name="Oval 4">
          <a:extLst>
            <a:ext uri="{FF2B5EF4-FFF2-40B4-BE49-F238E27FC236}">
              <a16:creationId xmlns:a16="http://schemas.microsoft.com/office/drawing/2014/main" id="{D56810D2-25E0-4EAA-B63F-1F2AD59C5288}"/>
            </a:ext>
          </a:extLst>
        </xdr:cNvPr>
        <xdr:cNvSpPr>
          <a:spLocks noChangeArrowheads="1"/>
        </xdr:cNvSpPr>
      </xdr:nvSpPr>
      <xdr:spPr bwMode="gray">
        <a:xfrm>
          <a:off x="239890" y="3436055"/>
          <a:ext cx="225425" cy="223837"/>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1</a:t>
          </a:r>
        </a:p>
      </xdr:txBody>
    </xdr:sp>
    <xdr:clientData/>
  </xdr:twoCellAnchor>
  <xdr:twoCellAnchor>
    <xdr:from>
      <xdr:col>0</xdr:col>
      <xdr:colOff>222957</xdr:colOff>
      <xdr:row>27</xdr:row>
      <xdr:rowOff>25399</xdr:rowOff>
    </xdr:from>
    <xdr:to>
      <xdr:col>0</xdr:col>
      <xdr:colOff>448382</xdr:colOff>
      <xdr:row>27</xdr:row>
      <xdr:rowOff>256292</xdr:rowOff>
    </xdr:to>
    <xdr:sp macro="" textlink="">
      <xdr:nvSpPr>
        <xdr:cNvPr id="6" name="Oval 5">
          <a:extLst>
            <a:ext uri="{FF2B5EF4-FFF2-40B4-BE49-F238E27FC236}">
              <a16:creationId xmlns:a16="http://schemas.microsoft.com/office/drawing/2014/main" id="{E79F5C3D-7405-44ED-A348-5BCAF7A9B634}"/>
            </a:ext>
          </a:extLst>
        </xdr:cNvPr>
        <xdr:cNvSpPr>
          <a:spLocks noChangeArrowheads="1"/>
        </xdr:cNvSpPr>
      </xdr:nvSpPr>
      <xdr:spPr bwMode="gray">
        <a:xfrm>
          <a:off x="222957" y="3941232"/>
          <a:ext cx="225425" cy="230893"/>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2</a:t>
          </a:r>
        </a:p>
      </xdr:txBody>
    </xdr:sp>
    <xdr:clientData/>
  </xdr:twoCellAnchor>
  <xdr:twoCellAnchor>
    <xdr:from>
      <xdr:col>0</xdr:col>
      <xdr:colOff>227192</xdr:colOff>
      <xdr:row>32</xdr:row>
      <xdr:rowOff>114299</xdr:rowOff>
    </xdr:from>
    <xdr:to>
      <xdr:col>0</xdr:col>
      <xdr:colOff>452617</xdr:colOff>
      <xdr:row>33</xdr:row>
      <xdr:rowOff>48859</xdr:rowOff>
    </xdr:to>
    <xdr:sp macro="" textlink="">
      <xdr:nvSpPr>
        <xdr:cNvPr id="7" name="Oval 6">
          <a:extLst>
            <a:ext uri="{FF2B5EF4-FFF2-40B4-BE49-F238E27FC236}">
              <a16:creationId xmlns:a16="http://schemas.microsoft.com/office/drawing/2014/main" id="{B31C4C79-2FCB-43CF-BB4A-3C902510F7EF}"/>
            </a:ext>
          </a:extLst>
        </xdr:cNvPr>
        <xdr:cNvSpPr>
          <a:spLocks noChangeArrowheads="1"/>
        </xdr:cNvSpPr>
      </xdr:nvSpPr>
      <xdr:spPr bwMode="gray">
        <a:xfrm>
          <a:off x="227192" y="6160910"/>
          <a:ext cx="225425" cy="230893"/>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3</a:t>
          </a:r>
        </a:p>
      </xdr:txBody>
    </xdr:sp>
    <xdr:clientData/>
  </xdr:twoCellAnchor>
  <xdr:twoCellAnchor>
    <xdr:from>
      <xdr:col>0</xdr:col>
      <xdr:colOff>232307</xdr:colOff>
      <xdr:row>54</xdr:row>
      <xdr:rowOff>68261</xdr:rowOff>
    </xdr:from>
    <xdr:to>
      <xdr:col>0</xdr:col>
      <xdr:colOff>457732</xdr:colOff>
      <xdr:row>55</xdr:row>
      <xdr:rowOff>60148</xdr:rowOff>
    </xdr:to>
    <xdr:sp macro="" textlink="">
      <xdr:nvSpPr>
        <xdr:cNvPr id="10" name="Oval 9">
          <a:extLst>
            <a:ext uri="{FF2B5EF4-FFF2-40B4-BE49-F238E27FC236}">
              <a16:creationId xmlns:a16="http://schemas.microsoft.com/office/drawing/2014/main" id="{9BBB9A75-1BCB-477C-952F-118FE0D99AEA}"/>
            </a:ext>
          </a:extLst>
        </xdr:cNvPr>
        <xdr:cNvSpPr>
          <a:spLocks noChangeArrowheads="1"/>
        </xdr:cNvSpPr>
      </xdr:nvSpPr>
      <xdr:spPr bwMode="gray">
        <a:xfrm>
          <a:off x="232307" y="11553824"/>
          <a:ext cx="225425" cy="230012"/>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4</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apps.who.int/immunization_standards/vaccine_quality/pqs_catalogue/PdfCatalogue.aspx?cat_typ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FD109"/>
  <sheetViews>
    <sheetView showGridLines="0" topLeftCell="A32" zoomScale="80" zoomScaleNormal="80" workbookViewId="0">
      <selection activeCell="C7" sqref="C7:E7"/>
    </sheetView>
  </sheetViews>
  <sheetFormatPr defaultColWidth="0" defaultRowHeight="14.5" zeroHeight="1" x14ac:dyDescent="0.35"/>
  <cols>
    <col min="1" max="1" width="7.453125" customWidth="1"/>
    <col min="2" max="2" width="9.1796875" customWidth="1"/>
    <col min="3" max="3" width="14.453125" customWidth="1"/>
    <col min="4" max="7" width="9.1796875" customWidth="1"/>
    <col min="8" max="9" width="15" customWidth="1"/>
    <col min="10" max="10" width="61.54296875" customWidth="1"/>
    <col min="11" max="12" width="9.1796875" customWidth="1"/>
  </cols>
  <sheetData>
    <row r="1" spans="1:10 16384:16384" s="40" customFormat="1" ht="21" x14ac:dyDescent="0.45">
      <c r="A1" s="356" t="s">
        <v>0</v>
      </c>
      <c r="B1" s="357"/>
      <c r="C1" s="357"/>
      <c r="D1" s="357"/>
      <c r="E1" s="357"/>
      <c r="F1" s="357"/>
      <c r="G1" s="357"/>
      <c r="H1" s="357"/>
      <c r="I1" s="357"/>
      <c r="J1" s="358"/>
    </row>
    <row r="2" spans="1:10 16384:16384" s="40" customFormat="1" ht="18.5" x14ac:dyDescent="0.45">
      <c r="A2" s="233"/>
      <c r="B2" s="234"/>
      <c r="C2" s="234"/>
      <c r="D2" s="234"/>
      <c r="E2" s="234"/>
      <c r="F2" s="234"/>
      <c r="G2" s="234"/>
      <c r="H2" s="234"/>
      <c r="I2" s="234"/>
      <c r="J2" s="235"/>
    </row>
    <row r="3" spans="1:10 16384:16384" s="40" customFormat="1" ht="18.5" x14ac:dyDescent="0.45">
      <c r="A3" s="233"/>
      <c r="B3" s="234"/>
      <c r="C3" s="234"/>
      <c r="D3" s="234"/>
      <c r="E3" s="234"/>
      <c r="F3" s="234"/>
      <c r="G3" s="234"/>
      <c r="H3" s="234"/>
      <c r="I3" s="234"/>
      <c r="J3" s="235"/>
    </row>
    <row r="4" spans="1:10 16384:16384" s="40" customFormat="1" ht="18.5" x14ac:dyDescent="0.45">
      <c r="A4" s="233"/>
      <c r="B4" s="234"/>
      <c r="C4" s="234"/>
      <c r="D4" s="234"/>
      <c r="E4" s="234"/>
      <c r="F4" s="234"/>
      <c r="G4" s="234"/>
      <c r="H4"/>
      <c r="I4" s="234"/>
      <c r="J4" s="235"/>
    </row>
    <row r="5" spans="1:10 16384:16384" s="40" customFormat="1" ht="18.5" x14ac:dyDescent="0.45">
      <c r="A5" s="233"/>
      <c r="B5" s="234"/>
      <c r="C5" s="234"/>
      <c r="D5" s="234"/>
      <c r="E5" s="234"/>
      <c r="F5" s="234"/>
      <c r="G5" s="234"/>
      <c r="H5" s="234"/>
      <c r="I5" s="234"/>
      <c r="J5" s="236"/>
    </row>
    <row r="6" spans="1:10 16384:16384" s="40" customFormat="1" ht="19" thickBot="1" x14ac:dyDescent="0.5">
      <c r="A6" s="233"/>
      <c r="B6" s="234"/>
      <c r="C6" s="234"/>
      <c r="D6" s="234"/>
      <c r="E6" s="234"/>
      <c r="F6" s="234"/>
      <c r="G6" s="234"/>
      <c r="H6" s="234"/>
      <c r="I6" s="234"/>
      <c r="J6" s="101"/>
    </row>
    <row r="7" spans="1:10 16384:16384" s="40" customFormat="1" ht="19" thickBot="1" x14ac:dyDescent="0.5">
      <c r="A7" s="100" t="s">
        <v>1</v>
      </c>
      <c r="B7" s="41"/>
      <c r="C7" s="367"/>
      <c r="D7" s="368"/>
      <c r="E7" s="368"/>
      <c r="F7" s="98"/>
      <c r="G7" s="98"/>
      <c r="H7" s="98"/>
      <c r="I7" s="99"/>
      <c r="J7" s="101"/>
      <c r="XFD7" s="42"/>
    </row>
    <row r="8" spans="1:10 16384:16384" s="40" customFormat="1" ht="18.5" x14ac:dyDescent="0.45">
      <c r="A8" s="237"/>
      <c r="B8" s="238"/>
      <c r="C8" s="238"/>
      <c r="D8" s="238"/>
      <c r="E8" s="238"/>
      <c r="F8" s="238"/>
      <c r="G8" s="238"/>
      <c r="H8" s="238"/>
      <c r="I8" s="238"/>
      <c r="J8" s="239"/>
      <c r="XFD8" s="42"/>
    </row>
    <row r="9" spans="1:10 16384:16384" s="40" customFormat="1" ht="18.5" x14ac:dyDescent="0.45">
      <c r="A9" s="240" t="s">
        <v>2</v>
      </c>
      <c r="B9" s="238"/>
      <c r="C9" s="238"/>
      <c r="D9" s="238"/>
      <c r="E9" s="238"/>
      <c r="F9" s="238"/>
      <c r="G9" s="238"/>
      <c r="H9" s="238"/>
      <c r="I9" s="238"/>
      <c r="J9" s="239"/>
      <c r="XFD9" s="42"/>
    </row>
    <row r="10" spans="1:10 16384:16384" s="40" customFormat="1" ht="18.5" x14ac:dyDescent="0.45">
      <c r="A10" s="49" t="s">
        <v>3</v>
      </c>
      <c r="B10" s="48"/>
      <c r="C10" s="48"/>
      <c r="D10" s="48"/>
      <c r="E10" s="48"/>
      <c r="F10" s="48"/>
      <c r="G10" s="48"/>
      <c r="H10" s="48"/>
      <c r="I10" s="48"/>
      <c r="J10" s="47"/>
      <c r="XFD10" s="42"/>
    </row>
    <row r="11" spans="1:10 16384:16384" s="40" customFormat="1" ht="14.25" customHeight="1" x14ac:dyDescent="0.45">
      <c r="A11" s="102" t="s">
        <v>4</v>
      </c>
      <c r="B11" s="48"/>
      <c r="C11" s="48"/>
      <c r="D11" s="48"/>
      <c r="E11" s="48"/>
      <c r="F11" s="48"/>
      <c r="G11" s="48"/>
      <c r="H11" s="48"/>
      <c r="I11" s="48"/>
      <c r="J11" s="47"/>
      <c r="XFD11" s="42"/>
    </row>
    <row r="12" spans="1:10 16384:16384" s="40" customFormat="1" ht="18.5" x14ac:dyDescent="0.45">
      <c r="A12" s="49" t="s">
        <v>5</v>
      </c>
      <c r="B12" s="48"/>
      <c r="C12" s="48"/>
      <c r="D12" s="48"/>
      <c r="E12" s="48"/>
      <c r="F12" s="48"/>
      <c r="G12" s="48"/>
      <c r="H12"/>
      <c r="I12" s="48"/>
      <c r="J12" s="47"/>
      <c r="XFD12" s="42"/>
    </row>
    <row r="13" spans="1:10 16384:16384" s="40" customFormat="1" ht="18.5" x14ac:dyDescent="0.45">
      <c r="A13" s="241"/>
      <c r="B13" s="238"/>
      <c r="C13" s="238"/>
      <c r="D13" s="238"/>
      <c r="E13" s="238"/>
      <c r="F13" s="238"/>
      <c r="G13" s="238"/>
      <c r="H13"/>
      <c r="I13" s="238"/>
      <c r="J13" s="239"/>
      <c r="XFD13" s="42"/>
    </row>
    <row r="14" spans="1:10 16384:16384" s="40" customFormat="1" ht="18.75" customHeight="1" x14ac:dyDescent="0.45">
      <c r="A14" s="240" t="s">
        <v>6</v>
      </c>
      <c r="B14" s="240"/>
      <c r="C14" s="240"/>
      <c r="D14" s="240"/>
      <c r="E14" s="238"/>
      <c r="F14" s="238"/>
      <c r="G14" s="238"/>
      <c r="H14"/>
      <c r="I14" s="238"/>
      <c r="J14" s="239"/>
      <c r="XFD14" s="42"/>
    </row>
    <row r="15" spans="1:10 16384:16384" s="40" customFormat="1" ht="18.75" customHeight="1" x14ac:dyDescent="0.45">
      <c r="A15" s="241"/>
      <c r="B15" s="365" t="s">
        <v>7</v>
      </c>
      <c r="C15" s="365"/>
      <c r="D15" s="365"/>
      <c r="E15" s="365"/>
      <c r="F15" s="365"/>
      <c r="G15" s="365"/>
      <c r="H15" s="365"/>
      <c r="I15" s="365"/>
      <c r="J15" s="366"/>
      <c r="XFD15" s="42"/>
    </row>
    <row r="16" spans="1:10 16384:16384" s="40" customFormat="1" ht="18.75" customHeight="1" x14ac:dyDescent="0.45">
      <c r="A16" s="241"/>
      <c r="B16" s="365" t="s">
        <v>8</v>
      </c>
      <c r="C16" s="365"/>
      <c r="D16" s="365"/>
      <c r="E16" s="365"/>
      <c r="F16" s="365"/>
      <c r="G16" s="365"/>
      <c r="H16" s="365"/>
      <c r="I16" s="365"/>
      <c r="J16" s="366"/>
      <c r="XFD16" s="42"/>
    </row>
    <row r="17" spans="1:21 16384:16384" s="40" customFormat="1" ht="18.5" x14ac:dyDescent="0.45">
      <c r="A17" s="241"/>
      <c r="B17" s="365" t="s">
        <v>9</v>
      </c>
      <c r="C17" s="365"/>
      <c r="D17" s="365"/>
      <c r="E17" s="365"/>
      <c r="F17" s="365"/>
      <c r="G17" s="365"/>
      <c r="H17" s="365"/>
      <c r="I17" s="365"/>
      <c r="J17" s="366"/>
      <c r="XFD17" s="42"/>
    </row>
    <row r="18" spans="1:21 16384:16384" s="40" customFormat="1" ht="18.75" customHeight="1" x14ac:dyDescent="0.45">
      <c r="A18" s="241"/>
      <c r="B18" s="365" t="s">
        <v>10</v>
      </c>
      <c r="C18" s="365"/>
      <c r="D18" s="365"/>
      <c r="E18" s="365"/>
      <c r="F18" s="365"/>
      <c r="G18" s="365"/>
      <c r="H18" s="365"/>
      <c r="I18" s="365"/>
      <c r="J18" s="366"/>
      <c r="XFD18" s="42"/>
    </row>
    <row r="19" spans="1:21 16384:16384" s="40" customFormat="1" ht="18.75" customHeight="1" x14ac:dyDescent="0.45">
      <c r="A19" s="241"/>
      <c r="B19" s="365" t="s">
        <v>11</v>
      </c>
      <c r="C19" s="365"/>
      <c r="D19" s="365"/>
      <c r="E19" s="365"/>
      <c r="F19" s="365"/>
      <c r="G19" s="365"/>
      <c r="H19" s="365"/>
      <c r="I19" s="365"/>
      <c r="J19" s="366"/>
      <c r="XFD19" s="42"/>
    </row>
    <row r="20" spans="1:21 16384:16384" s="40" customFormat="1" ht="18.75" customHeight="1" x14ac:dyDescent="0.45">
      <c r="A20" s="241"/>
      <c r="B20" s="365" t="s">
        <v>12</v>
      </c>
      <c r="C20" s="365"/>
      <c r="D20" s="365"/>
      <c r="E20" s="365"/>
      <c r="F20" s="365"/>
      <c r="G20" s="365"/>
      <c r="H20" s="365"/>
      <c r="I20" s="365"/>
      <c r="J20" s="366"/>
      <c r="XFD20" s="42"/>
    </row>
    <row r="21" spans="1:21 16384:16384" s="40" customFormat="1" ht="28.5" customHeight="1" x14ac:dyDescent="0.45">
      <c r="A21" s="241"/>
      <c r="B21" s="365" t="s">
        <v>13</v>
      </c>
      <c r="C21" s="365"/>
      <c r="D21" s="365"/>
      <c r="E21" s="365"/>
      <c r="F21" s="365"/>
      <c r="G21" s="365"/>
      <c r="H21" s="365"/>
      <c r="I21" s="365"/>
      <c r="J21" s="366"/>
      <c r="XFD21" s="42"/>
    </row>
    <row r="22" spans="1:21 16384:16384" s="40" customFormat="1" ht="21" customHeight="1" x14ac:dyDescent="0.45">
      <c r="A22" s="241"/>
      <c r="B22" s="365" t="s">
        <v>14</v>
      </c>
      <c r="C22" s="365"/>
      <c r="D22" s="365"/>
      <c r="E22" s="365"/>
      <c r="F22" s="365"/>
      <c r="G22" s="365"/>
      <c r="H22" s="365"/>
      <c r="I22" s="365"/>
      <c r="J22" s="366"/>
      <c r="XFD22" s="42"/>
    </row>
    <row r="23" spans="1:21 16384:16384" s="40" customFormat="1" ht="18.5" x14ac:dyDescent="0.45">
      <c r="A23" s="242"/>
      <c r="B23" s="129"/>
      <c r="C23" s="129"/>
      <c r="D23" s="129"/>
      <c r="E23" s="129"/>
      <c r="F23" s="129"/>
      <c r="G23" s="129"/>
      <c r="H23" s="129"/>
      <c r="I23" s="129"/>
      <c r="J23" s="101"/>
      <c r="P23" s="43"/>
      <c r="Q23" s="43"/>
      <c r="R23" s="43"/>
      <c r="S23" s="43"/>
      <c r="T23" s="43"/>
      <c r="U23" s="43"/>
      <c r="XFD23" s="42"/>
    </row>
    <row r="24" spans="1:21 16384:16384" s="40" customFormat="1" ht="19" thickBot="1" x14ac:dyDescent="0.5">
      <c r="A24" s="359" t="s">
        <v>15</v>
      </c>
      <c r="B24" s="360"/>
      <c r="C24" s="360"/>
      <c r="D24" s="360"/>
      <c r="E24" s="360"/>
      <c r="F24" s="360"/>
      <c r="G24" s="360"/>
      <c r="H24" s="360"/>
      <c r="I24" s="360"/>
      <c r="J24" s="361"/>
      <c r="XFD24" s="42"/>
    </row>
    <row r="25" spans="1:21 16384:16384" x14ac:dyDescent="0.35">
      <c r="A25" s="345"/>
      <c r="B25" s="346"/>
      <c r="C25" s="346"/>
      <c r="D25" s="346"/>
      <c r="E25" s="346"/>
      <c r="F25" s="346"/>
      <c r="G25" s="346"/>
      <c r="H25" s="346"/>
      <c r="I25" s="346"/>
      <c r="J25" s="347"/>
      <c r="XFD25" s="1"/>
    </row>
    <row r="26" spans="1:21 16384:16384" ht="37" customHeight="1" x14ac:dyDescent="0.35">
      <c r="A26" s="243"/>
      <c r="B26" s="365" t="s">
        <v>16</v>
      </c>
      <c r="C26" s="365"/>
      <c r="D26" s="365"/>
      <c r="E26" s="365"/>
      <c r="F26" s="365"/>
      <c r="G26" s="365"/>
      <c r="H26" s="365"/>
      <c r="I26" s="365"/>
      <c r="J26" s="366"/>
      <c r="XFD26" s="1"/>
    </row>
    <row r="27" spans="1:21 16384:16384" ht="19.5" customHeight="1" x14ac:dyDescent="0.35">
      <c r="A27" s="243"/>
      <c r="B27" s="129"/>
      <c r="C27" s="129"/>
      <c r="D27" s="129"/>
      <c r="E27" s="129"/>
      <c r="F27" s="129"/>
      <c r="G27" s="129"/>
      <c r="H27" s="129"/>
      <c r="I27" s="129"/>
      <c r="J27" s="244"/>
      <c r="XFD27" s="1"/>
    </row>
    <row r="28" spans="1:21 16384:16384" ht="28.5" customHeight="1" x14ac:dyDescent="0.35">
      <c r="A28" s="243"/>
      <c r="B28" s="365" t="s">
        <v>17</v>
      </c>
      <c r="C28" s="365"/>
      <c r="D28" s="365"/>
      <c r="E28" s="365"/>
      <c r="F28" s="365"/>
      <c r="G28" s="365"/>
      <c r="H28" s="365"/>
      <c r="I28" s="365"/>
      <c r="J28" s="366"/>
      <c r="XFD28" s="1"/>
    </row>
    <row r="29" spans="1:21 16384:16384" s="14" customFormat="1" ht="57" customHeight="1" x14ac:dyDescent="0.35">
      <c r="A29" s="245"/>
      <c r="C29" s="348" t="s">
        <v>18</v>
      </c>
      <c r="D29" s="348"/>
      <c r="E29" s="348"/>
      <c r="F29" s="348"/>
      <c r="G29" s="348"/>
      <c r="H29" s="348"/>
      <c r="I29" s="348"/>
      <c r="J29" s="349"/>
      <c r="XFD29" s="39"/>
    </row>
    <row r="30" spans="1:21 16384:16384" s="14" customFormat="1" ht="31" customHeight="1" x14ac:dyDescent="0.35">
      <c r="A30" s="245"/>
      <c r="C30" s="348" t="s">
        <v>19</v>
      </c>
      <c r="D30" s="348"/>
      <c r="E30" s="348"/>
      <c r="F30" s="348"/>
      <c r="G30" s="348"/>
      <c r="H30" s="348"/>
      <c r="I30" s="348"/>
      <c r="J30" s="349"/>
      <c r="XFD30" s="39"/>
    </row>
    <row r="31" spans="1:21 16384:16384" ht="60" customHeight="1" x14ac:dyDescent="0.35">
      <c r="A31" s="243"/>
      <c r="C31" s="348" t="s">
        <v>20</v>
      </c>
      <c r="D31" s="348"/>
      <c r="E31" s="348"/>
      <c r="F31" s="348"/>
      <c r="G31" s="348"/>
      <c r="H31" s="348"/>
      <c r="I31" s="348"/>
      <c r="J31" s="349"/>
      <c r="XFD31" s="1"/>
    </row>
    <row r="32" spans="1:21 16384:16384" ht="20.5" customHeight="1" x14ac:dyDescent="0.35">
      <c r="A32" s="243"/>
      <c r="B32" s="246"/>
      <c r="C32" s="246"/>
      <c r="D32" s="246"/>
      <c r="E32" s="246"/>
      <c r="F32" s="246"/>
      <c r="G32" s="246"/>
      <c r="H32" s="246"/>
      <c r="I32" s="246"/>
      <c r="J32" s="247"/>
      <c r="XFD32" s="1"/>
    </row>
    <row r="33" spans="1:10 16384:16384" ht="23.5" customHeight="1" x14ac:dyDescent="0.35">
      <c r="A33" s="243"/>
      <c r="B33" t="s">
        <v>21</v>
      </c>
      <c r="J33" s="248"/>
      <c r="XFD33" s="1"/>
    </row>
    <row r="34" spans="1:10 16384:16384" x14ac:dyDescent="0.35">
      <c r="A34" s="243"/>
      <c r="B34" t="s">
        <v>22</v>
      </c>
      <c r="J34" s="248"/>
      <c r="XFD34" s="1"/>
    </row>
    <row r="35" spans="1:10 16384:16384" x14ac:dyDescent="0.35">
      <c r="A35" s="243"/>
      <c r="C35" s="249" t="s">
        <v>23</v>
      </c>
      <c r="J35" s="248"/>
      <c r="XFD35" s="1"/>
    </row>
    <row r="36" spans="1:10 16384:16384" x14ac:dyDescent="0.35">
      <c r="A36" s="243"/>
      <c r="C36" s="249" t="s">
        <v>24</v>
      </c>
      <c r="D36" s="249"/>
      <c r="E36" s="249"/>
      <c r="F36" s="249"/>
      <c r="G36" s="249"/>
      <c r="H36" s="249"/>
      <c r="I36" s="249"/>
      <c r="J36" s="250"/>
      <c r="XFD36" s="1"/>
    </row>
    <row r="37" spans="1:10 16384:16384" hidden="1" x14ac:dyDescent="0.35">
      <c r="A37" s="362"/>
      <c r="B37" s="363"/>
      <c r="C37" s="363"/>
      <c r="D37" s="363"/>
      <c r="E37" s="363"/>
      <c r="F37" s="363"/>
      <c r="G37" s="363"/>
      <c r="H37" s="363"/>
      <c r="I37" s="363"/>
      <c r="J37" s="364"/>
      <c r="XFD37" s="1"/>
    </row>
    <row r="38" spans="1:10 16384:16384" x14ac:dyDescent="0.35">
      <c r="A38" s="243"/>
      <c r="C38" s="249" t="s">
        <v>25</v>
      </c>
      <c r="D38" s="249"/>
      <c r="E38" s="249"/>
      <c r="F38" s="249"/>
      <c r="G38" s="249"/>
      <c r="H38" s="249"/>
      <c r="I38" s="249"/>
      <c r="J38" s="250"/>
      <c r="XFD38" s="1"/>
    </row>
    <row r="39" spans="1:10 16384:16384" x14ac:dyDescent="0.35">
      <c r="A39" s="243"/>
      <c r="C39" s="249" t="s">
        <v>26</v>
      </c>
      <c r="D39" s="249"/>
      <c r="E39" s="249"/>
      <c r="F39" s="249"/>
      <c r="G39" s="249"/>
      <c r="H39" s="249"/>
      <c r="I39" s="249"/>
      <c r="J39" s="250"/>
      <c r="XFD39" s="1"/>
    </row>
    <row r="40" spans="1:10 16384:16384" x14ac:dyDescent="0.35">
      <c r="A40" s="243"/>
      <c r="C40" s="249" t="s">
        <v>27</v>
      </c>
      <c r="D40" s="249"/>
      <c r="E40" s="249"/>
      <c r="F40" s="249"/>
      <c r="G40" s="249"/>
      <c r="H40" s="249"/>
      <c r="I40" s="249"/>
      <c r="J40" s="250"/>
      <c r="XFD40" s="1"/>
    </row>
    <row r="41" spans="1:10 16384:16384" x14ac:dyDescent="0.35">
      <c r="A41" s="243"/>
      <c r="C41" s="249" t="s">
        <v>28</v>
      </c>
      <c r="D41" s="249"/>
      <c r="E41" s="249"/>
      <c r="F41" s="249"/>
      <c r="G41" s="249"/>
      <c r="H41" s="249"/>
      <c r="I41" s="249"/>
      <c r="J41" s="250"/>
      <c r="XFD41" s="1"/>
    </row>
    <row r="42" spans="1:10 16384:16384" x14ac:dyDescent="0.35">
      <c r="A42" s="243"/>
      <c r="C42" s="249" t="s">
        <v>29</v>
      </c>
      <c r="D42" s="249"/>
      <c r="E42" s="249"/>
      <c r="F42" s="249"/>
      <c r="G42" s="249"/>
      <c r="H42" s="249"/>
      <c r="I42" s="249"/>
      <c r="J42" s="250"/>
      <c r="XFD42" s="1"/>
    </row>
    <row r="43" spans="1:10 16384:16384" x14ac:dyDescent="0.35">
      <c r="A43" s="243"/>
      <c r="C43" s="249" t="s">
        <v>30</v>
      </c>
      <c r="D43" s="249"/>
      <c r="E43" s="249"/>
      <c r="F43" s="249"/>
      <c r="G43" s="249"/>
      <c r="H43" s="249"/>
      <c r="I43" s="249"/>
      <c r="J43" s="250"/>
      <c r="XFD43" s="1"/>
    </row>
    <row r="44" spans="1:10 16384:16384" x14ac:dyDescent="0.35">
      <c r="A44" s="243"/>
      <c r="C44" s="249" t="s">
        <v>31</v>
      </c>
      <c r="D44" s="249"/>
      <c r="E44" s="249"/>
      <c r="F44" s="249"/>
      <c r="G44" s="249"/>
      <c r="H44" s="249"/>
      <c r="I44" s="249"/>
      <c r="J44" s="250"/>
      <c r="XFD44" s="1"/>
    </row>
    <row r="45" spans="1:10 16384:16384" ht="20.25" customHeight="1" x14ac:dyDescent="0.35">
      <c r="A45" s="251"/>
      <c r="B45" s="252" t="s">
        <v>32</v>
      </c>
      <c r="C45" s="249"/>
      <c r="D45" s="249"/>
      <c r="E45" s="249"/>
      <c r="F45" s="249"/>
      <c r="G45" s="249"/>
      <c r="H45" s="249"/>
      <c r="I45" s="249"/>
      <c r="J45" s="250"/>
      <c r="XFD45" s="1"/>
    </row>
    <row r="46" spans="1:10 16384:16384" hidden="1" x14ac:dyDescent="0.35">
      <c r="A46" s="243"/>
      <c r="J46" s="248"/>
      <c r="XFD46" s="1"/>
    </row>
    <row r="47" spans="1:10 16384:16384" ht="29.25" customHeight="1" x14ac:dyDescent="0.35">
      <c r="A47" s="243"/>
      <c r="C47" s="350" t="s">
        <v>33</v>
      </c>
      <c r="D47" s="350"/>
      <c r="E47" s="350"/>
      <c r="F47" s="350"/>
      <c r="G47" s="350"/>
      <c r="H47" s="350"/>
      <c r="I47" s="350"/>
      <c r="J47" s="351"/>
      <c r="XFD47" s="1"/>
    </row>
    <row r="48" spans="1:10 16384:16384" hidden="1" x14ac:dyDescent="0.35">
      <c r="A48" s="243"/>
      <c r="J48" s="248"/>
      <c r="XFD48" s="1"/>
    </row>
    <row r="49" spans="1:21 16384:16384" ht="44.5" customHeight="1" x14ac:dyDescent="0.35">
      <c r="A49" s="243"/>
      <c r="C49" s="352" t="s">
        <v>34</v>
      </c>
      <c r="D49" s="352"/>
      <c r="E49" s="352"/>
      <c r="F49" s="352"/>
      <c r="G49" s="352"/>
      <c r="H49" s="352"/>
      <c r="I49" s="352"/>
      <c r="J49" s="353"/>
      <c r="P49" s="2"/>
      <c r="Q49" s="2"/>
      <c r="R49" s="2"/>
      <c r="S49" s="2"/>
      <c r="T49" s="2"/>
      <c r="U49" s="2"/>
    </row>
    <row r="50" spans="1:21 16384:16384" ht="35.25" customHeight="1" x14ac:dyDescent="0.35">
      <c r="A50" s="243"/>
      <c r="C50" s="352" t="s">
        <v>35</v>
      </c>
      <c r="D50" s="352"/>
      <c r="E50" s="352"/>
      <c r="F50" s="352"/>
      <c r="G50" s="352"/>
      <c r="H50" s="352"/>
      <c r="I50" s="352"/>
      <c r="J50" s="353"/>
      <c r="P50" s="2"/>
      <c r="Q50" s="2"/>
      <c r="R50" s="2"/>
      <c r="S50" s="2"/>
      <c r="T50" s="2"/>
      <c r="U50" s="2"/>
    </row>
    <row r="51" spans="1:21 16384:16384" x14ac:dyDescent="0.35">
      <c r="A51" s="253"/>
      <c r="B51" s="254"/>
      <c r="C51" s="254"/>
      <c r="D51" s="254"/>
      <c r="E51" s="254"/>
      <c r="F51" s="254"/>
      <c r="G51" s="254"/>
      <c r="H51" s="254"/>
      <c r="I51" s="254"/>
      <c r="J51" s="255"/>
      <c r="P51" s="2"/>
      <c r="Q51" s="2"/>
      <c r="R51" s="2"/>
      <c r="S51" s="2"/>
      <c r="T51" s="2"/>
      <c r="U51" s="2"/>
    </row>
    <row r="52" spans="1:21 16384:16384" ht="31.5" customHeight="1" x14ac:dyDescent="0.35">
      <c r="A52" s="243"/>
      <c r="C52" s="354" t="s">
        <v>36</v>
      </c>
      <c r="D52" s="354"/>
      <c r="E52" s="354"/>
      <c r="F52" s="354"/>
      <c r="G52" s="354"/>
      <c r="H52" s="354"/>
      <c r="I52" s="354"/>
      <c r="J52" s="355"/>
      <c r="XFD52" s="1"/>
    </row>
    <row r="53" spans="1:21 16384:16384" ht="29.25" customHeight="1" x14ac:dyDescent="0.35">
      <c r="A53" s="243"/>
      <c r="C53" s="354" t="s">
        <v>37</v>
      </c>
      <c r="D53" s="354"/>
      <c r="E53" s="354"/>
      <c r="F53" s="354"/>
      <c r="G53" s="354"/>
      <c r="H53" s="354"/>
      <c r="I53" s="354"/>
      <c r="J53" s="355"/>
      <c r="P53" s="2"/>
      <c r="Q53" s="2"/>
      <c r="R53" s="2"/>
      <c r="S53" s="2"/>
      <c r="T53" s="2"/>
      <c r="U53" s="2"/>
    </row>
    <row r="54" spans="1:21 16384:16384" ht="21.75" customHeight="1" x14ac:dyDescent="0.35">
      <c r="A54" s="243"/>
      <c r="J54" s="248"/>
    </row>
    <row r="55" spans="1:21 16384:16384" ht="19" customHeight="1" x14ac:dyDescent="0.35">
      <c r="A55" s="243"/>
      <c r="B55" s="348" t="s">
        <v>38</v>
      </c>
      <c r="C55" s="348"/>
      <c r="D55" s="348"/>
      <c r="E55" s="348"/>
      <c r="F55" s="348"/>
      <c r="G55" s="348"/>
      <c r="H55" s="348"/>
      <c r="I55" s="348"/>
      <c r="J55" s="349"/>
    </row>
    <row r="56" spans="1:21 16384:16384" x14ac:dyDescent="0.35">
      <c r="A56" s="243"/>
      <c r="B56" t="s">
        <v>39</v>
      </c>
      <c r="J56" s="248"/>
    </row>
    <row r="57" spans="1:21 16384:16384" ht="22.5" customHeight="1" x14ac:dyDescent="0.35">
      <c r="A57" s="243"/>
      <c r="C57" s="350" t="s">
        <v>40</v>
      </c>
      <c r="D57" s="350"/>
      <c r="E57" s="350"/>
      <c r="F57" s="350"/>
      <c r="G57" s="350"/>
      <c r="H57" s="350"/>
      <c r="I57" s="350"/>
      <c r="J57" s="351"/>
    </row>
    <row r="58" spans="1:21 16384:16384" ht="32.25" customHeight="1" x14ac:dyDescent="0.35">
      <c r="A58" s="243"/>
      <c r="C58" s="350" t="s">
        <v>41</v>
      </c>
      <c r="D58" s="350"/>
      <c r="E58" s="350"/>
      <c r="F58" s="350"/>
      <c r="G58" s="350"/>
      <c r="H58" s="350"/>
      <c r="I58" s="350"/>
      <c r="J58" s="351"/>
    </row>
    <row r="59" spans="1:21 16384:16384" ht="22.5" customHeight="1" x14ac:dyDescent="0.35">
      <c r="A59" s="243"/>
      <c r="B59" s="256"/>
      <c r="C59" s="256"/>
      <c r="D59" s="256"/>
      <c r="E59" s="256"/>
      <c r="F59" s="256"/>
      <c r="G59" s="256"/>
      <c r="H59" s="256"/>
      <c r="I59" s="256"/>
      <c r="J59" s="257"/>
    </row>
    <row r="60" spans="1:21 16384:16384" hidden="1" x14ac:dyDescent="0.35">
      <c r="A60" s="342" t="s">
        <v>42</v>
      </c>
      <c r="B60" s="343"/>
      <c r="C60" s="343"/>
      <c r="D60" s="343"/>
      <c r="E60" s="343"/>
      <c r="F60" s="343"/>
      <c r="G60" s="343"/>
      <c r="H60" s="343"/>
      <c r="I60" s="343"/>
      <c r="J60" s="344"/>
    </row>
    <row r="61" spans="1:21 16384:16384" x14ac:dyDescent="0.35">
      <c r="A61" s="243"/>
      <c r="B61" s="258"/>
      <c r="J61" s="248"/>
    </row>
    <row r="62" spans="1:21 16384:16384" ht="15" thickBot="1" x14ac:dyDescent="0.4">
      <c r="A62" s="259"/>
      <c r="B62" s="260"/>
      <c r="C62" s="260"/>
      <c r="D62" s="260"/>
      <c r="E62" s="260"/>
      <c r="F62" s="260"/>
      <c r="G62" s="260"/>
      <c r="H62" s="260"/>
      <c r="I62" s="260"/>
      <c r="J62" s="261"/>
    </row>
    <row r="63" spans="1:21 16384:16384" x14ac:dyDescent="0.35"/>
    <row r="64" spans="1:21 16384:1638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sheetData>
  <sheetProtection algorithmName="SHA-512" hashValue="SISgPKmvKY8WRx6ArRzfm4v5nlTgBG0R0IMyj2MRyb0uU1BmFHPnvHmIn7rzP5gxfEju+H0BNz01ddIvWZHArA==" saltValue="Eib4rWW+2tPgGemEHDYYcQ==" spinCount="100000" sheet="1" selectLockedCells="1"/>
  <mergeCells count="27">
    <mergeCell ref="A1:J1"/>
    <mergeCell ref="A24:J24"/>
    <mergeCell ref="A37:J37"/>
    <mergeCell ref="B26:J26"/>
    <mergeCell ref="B28:J28"/>
    <mergeCell ref="C7:E7"/>
    <mergeCell ref="B18:J18"/>
    <mergeCell ref="B20:J20"/>
    <mergeCell ref="B17:J17"/>
    <mergeCell ref="B22:J22"/>
    <mergeCell ref="B15:J15"/>
    <mergeCell ref="B16:J16"/>
    <mergeCell ref="B19:J19"/>
    <mergeCell ref="B21:J21"/>
    <mergeCell ref="A60:J60"/>
    <mergeCell ref="A25:J25"/>
    <mergeCell ref="B55:J55"/>
    <mergeCell ref="C57:J57"/>
    <mergeCell ref="C58:J58"/>
    <mergeCell ref="C47:J47"/>
    <mergeCell ref="C49:J49"/>
    <mergeCell ref="C50:J50"/>
    <mergeCell ref="C52:J52"/>
    <mergeCell ref="C53:J53"/>
    <mergeCell ref="C29:J29"/>
    <mergeCell ref="C30:J30"/>
    <mergeCell ref="C31:J31"/>
  </mergeCells>
  <hyperlinks>
    <hyperlink ref="A10" location="'CCE Options Summary'!A1" display="'CCE Options Summary'" xr:uid="{00000000-0004-0000-0000-000000000000}"/>
    <hyperlink ref="A12" location="'Specified CCE Model Price List'!A1" display="Specified CCE Model Price List'" xr:uid="{00000000-0004-0000-0000-000004000000}"/>
    <hyperlink ref="A11" location="'Options_CCE Model selection'!A1" display="Options CCE Model Selection'" xr:uid="{0FFA83B2-2250-4D29-89C0-21F07600A6C2}"/>
  </hyperlinks>
  <pageMargins left="0.7" right="0.7" top="0.75" bottom="0.75" header="0.3" footer="0.3"/>
  <pageSetup scale="7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F837EE-0B25-471E-B3D8-18BE841D5DAA}">
          <x14:formula1>
            <xm:f>Dropdowns3_countries!$B$3:$B$56</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1:Q36"/>
  <sheetViews>
    <sheetView showGridLines="0" tabSelected="1" zoomScale="80" zoomScaleNormal="80" workbookViewId="0">
      <selection activeCell="E10" sqref="E10"/>
    </sheetView>
  </sheetViews>
  <sheetFormatPr defaultColWidth="8.81640625" defaultRowHeight="14.5" x14ac:dyDescent="0.35"/>
  <cols>
    <col min="1" max="1" width="1.453125" customWidth="1"/>
    <col min="2" max="2" width="34.81640625" customWidth="1"/>
    <col min="3" max="3" width="18.54296875" customWidth="1"/>
    <col min="4" max="4" width="19.453125" customWidth="1"/>
    <col min="5" max="5" width="19.81640625" customWidth="1"/>
    <col min="8" max="8" width="21.81640625" customWidth="1"/>
    <col min="9" max="9" width="17.453125" customWidth="1"/>
  </cols>
  <sheetData>
    <row r="1" spans="2:17" ht="21" x14ac:dyDescent="0.5">
      <c r="B1" s="106" t="s">
        <v>43</v>
      </c>
      <c r="C1" s="106"/>
      <c r="D1" s="106"/>
      <c r="E1" s="106"/>
      <c r="F1" s="106"/>
      <c r="G1" s="106"/>
      <c r="H1" s="106"/>
      <c r="I1" s="106"/>
      <c r="J1" s="106"/>
      <c r="K1" s="106"/>
      <c r="L1" s="106"/>
      <c r="M1" s="106"/>
      <c r="N1" s="106"/>
      <c r="O1" s="106"/>
      <c r="P1" s="106"/>
      <c r="Q1" s="106"/>
    </row>
    <row r="2" spans="2:17" x14ac:dyDescent="0.35">
      <c r="B2" s="369" t="s">
        <v>44</v>
      </c>
      <c r="C2" s="369"/>
      <c r="D2" s="369"/>
      <c r="E2" s="369"/>
      <c r="F2" s="369"/>
      <c r="G2" s="369"/>
      <c r="H2" s="369"/>
      <c r="I2" s="369"/>
      <c r="J2" s="369"/>
      <c r="K2" s="369"/>
      <c r="L2" s="369"/>
    </row>
    <row r="3" spans="2:17" x14ac:dyDescent="0.35">
      <c r="B3" s="369"/>
      <c r="C3" s="369"/>
      <c r="D3" s="369"/>
      <c r="E3" s="369"/>
      <c r="F3" s="369"/>
      <c r="G3" s="369"/>
      <c r="H3" s="369"/>
      <c r="I3" s="369"/>
      <c r="J3" s="369"/>
      <c r="K3" s="369"/>
      <c r="L3" s="369"/>
    </row>
    <row r="4" spans="2:17" x14ac:dyDescent="0.35">
      <c r="B4" s="369"/>
      <c r="C4" s="369"/>
      <c r="D4" s="369"/>
      <c r="E4" s="369"/>
      <c r="F4" s="369"/>
      <c r="G4" s="369"/>
      <c r="H4" s="369"/>
      <c r="I4" s="369"/>
      <c r="J4" s="369"/>
      <c r="K4" s="369"/>
      <c r="L4" s="369"/>
    </row>
    <row r="5" spans="2:17" x14ac:dyDescent="0.35">
      <c r="B5" s="103"/>
      <c r="C5" s="103"/>
      <c r="D5" s="103"/>
      <c r="E5" s="103"/>
      <c r="F5" s="103"/>
      <c r="G5" s="103"/>
      <c r="H5" s="103"/>
      <c r="I5" s="103"/>
      <c r="J5" s="103"/>
      <c r="K5" s="103"/>
      <c r="L5" s="103"/>
    </row>
    <row r="6" spans="2:17" ht="21" x14ac:dyDescent="0.35">
      <c r="B6" s="105" t="s">
        <v>45</v>
      </c>
      <c r="C6" s="104"/>
      <c r="D6" s="104"/>
      <c r="E6" s="104"/>
      <c r="F6" s="103"/>
      <c r="G6" s="103"/>
      <c r="H6" s="103"/>
      <c r="I6" s="103"/>
      <c r="J6" s="103"/>
      <c r="K6" s="103"/>
      <c r="L6" s="103"/>
    </row>
    <row r="7" spans="2:17" ht="15" thickBot="1" x14ac:dyDescent="0.4"/>
    <row r="8" spans="2:17" ht="36" customHeight="1" x14ac:dyDescent="0.35">
      <c r="B8" s="117"/>
      <c r="C8" s="118" t="s">
        <v>46</v>
      </c>
      <c r="D8" s="119" t="s">
        <v>47</v>
      </c>
      <c r="E8" s="120" t="s">
        <v>48</v>
      </c>
    </row>
    <row r="9" spans="2:17" ht="17.25" customHeight="1" x14ac:dyDescent="0.35">
      <c r="B9" s="375" t="s">
        <v>49</v>
      </c>
      <c r="C9" s="376"/>
      <c r="D9" s="376"/>
      <c r="E9" s="377"/>
    </row>
    <row r="10" spans="2:17" ht="29" x14ac:dyDescent="0.35">
      <c r="B10" s="121" t="s">
        <v>50</v>
      </c>
      <c r="C10" s="46">
        <f>SUMIFS('Options_CCE Model Selection'!$P$6:$P$38,'Options_CCE Model Selection'!$V$6:$V$38,"_1.")+SUMIFS('Options_CCE Model Selection'!$P$6:$P$38,'Options_CCE Model Selection'!$V$6:$V$38,"_2.")+SUMIFS('Options_CCE Model Selection'!$P$6:$P$38,'Options_CCE Model Selection'!$V$6:$V$38,"_3.")+SUMIFS('Options_CCE Model Selection'!$P$6:$P$38,'Options_CCE Model Selection'!$V$6:$V$38,"_4.")+SUMIFS('Options_CCE Model Selection'!$P$6:$P$38,'Options_CCE Model Selection'!$V$6:$V$38,"_5.")+SUMIFS('Options_CCE Model Selection'!$P$6:$P$38,'Options_CCE Model Selection'!$V$6:$V$38,"_6.")</f>
        <v>0</v>
      </c>
      <c r="D10" s="46">
        <f>SUMIFS('Options_CCE Model Selection'!$AC$6:$AC$38,'Options_CCE Model Selection'!$V$6:$V$38,"_1.")+SUMIFS('Options_CCE Model Selection'!$AC$6:$AC$38,'Options_CCE Model Selection'!$V$6:$V$38,"_2.")+SUMIFS('Options_CCE Model Selection'!$AC$6:$AC$38,'Options_CCE Model Selection'!$V$6:$V$38,"_3.")+SUMIFS('Options_CCE Model Selection'!$AC$6:$AC$38,'Options_CCE Model Selection'!$V$6:$V$38,"_4.")+SUMIFS('Options_CCE Model Selection'!$AC$6:$AC$38,'Options_CCE Model Selection'!$V$6:$V$38,"_5.")+SUMIFS('Options_CCE Model Selection'!$AC$6:$AC$38,'Options_CCE Model Selection'!$V$6:$V$38,"_6.")</f>
        <v>0</v>
      </c>
      <c r="E10" s="122">
        <f>SUMIFS('Options_CCE Model Selection'!$AO$6:$AO$38,'Options_CCE Model Selection'!$V$6:$V$38,"_1.")+SUMIFS('Options_CCE Model Selection'!$AO$6:$AO$38,'Options_CCE Model Selection'!$V$6:$V$38,"_2.")+SUMIFS('Options_CCE Model Selection'!$AO$6:$AO$38,'Options_CCE Model Selection'!$V$6:$V$38,"_3.")+SUMIFS('Options_CCE Model Selection'!$AO$6:$AO$38,'Options_CCE Model Selection'!$V$6:$V$38,"_4.")+SUMIFS('Options_CCE Model Selection'!$AO$6:$AO$38,'Options_CCE Model Selection'!$V$6:$V$38,"_5.")+SUMIFS('Options_CCE Model Selection'!$AO$6:$AO$38,'Options_CCE Model Selection'!$V$6:$V$38,"_6.")</f>
        <v>0</v>
      </c>
    </row>
    <row r="11" spans="2:17" x14ac:dyDescent="0.35">
      <c r="B11" s="372" t="s">
        <v>51</v>
      </c>
      <c r="C11" s="373"/>
      <c r="D11" s="373"/>
      <c r="E11" s="374"/>
    </row>
    <row r="12" spans="2:17" x14ac:dyDescent="0.35">
      <c r="B12" s="123" t="s">
        <v>52</v>
      </c>
      <c r="C12" s="97">
        <f>'Options_CCE Model Selection'!P57</f>
        <v>0</v>
      </c>
      <c r="D12" s="97">
        <f>'Options_CCE Model Selection'!R57</f>
        <v>0</v>
      </c>
      <c r="E12" s="124">
        <f>'Options_CCE Model Selection'!S57</f>
        <v>0</v>
      </c>
    </row>
    <row r="13" spans="2:17" ht="29" x14ac:dyDescent="0.35">
      <c r="B13" s="121" t="s">
        <v>53</v>
      </c>
      <c r="C13" s="46">
        <f>'Options_CCE Model Selection'!P61</f>
        <v>0</v>
      </c>
      <c r="D13" s="46">
        <f>'Options_CCE Model Selection'!R61</f>
        <v>0</v>
      </c>
      <c r="E13" s="122">
        <f>'Options_CCE Model Selection'!S61</f>
        <v>0</v>
      </c>
    </row>
    <row r="14" spans="2:17" ht="15" thickBot="1" x14ac:dyDescent="0.4">
      <c r="B14" s="125" t="s">
        <v>54</v>
      </c>
      <c r="C14" s="126">
        <f>'Options_CCE Model Selection'!P64</f>
        <v>0</v>
      </c>
      <c r="D14" s="126">
        <f>'Options_CCE Model Selection'!R64</f>
        <v>0</v>
      </c>
      <c r="E14" s="127">
        <f>'Options_CCE Model Selection'!S64</f>
        <v>0</v>
      </c>
    </row>
    <row r="15" spans="2:17" ht="31.5" customHeight="1" thickBot="1" x14ac:dyDescent="0.4">
      <c r="B15" s="114" t="s">
        <v>55</v>
      </c>
      <c r="C15" s="115">
        <f>'Options_CCE Model Selection'!P58+'Options_CCE Model Selection'!P63</f>
        <v>0</v>
      </c>
      <c r="D15" s="115">
        <f>'Options_CCE Model Selection'!R58+'Options_CCE Model Selection'!R63</f>
        <v>0</v>
      </c>
      <c r="E15" s="116">
        <f>'Options_CCE Model Selection'!S58+'Options_CCE Model Selection'!S63</f>
        <v>0</v>
      </c>
      <c r="G15" s="107"/>
    </row>
    <row r="16" spans="2:17" ht="10" customHeight="1" x14ac:dyDescent="0.35">
      <c r="G16" s="107"/>
    </row>
    <row r="17" spans="2:10" ht="14.25" customHeight="1" x14ac:dyDescent="0.35">
      <c r="B17" s="62" t="s">
        <v>56</v>
      </c>
      <c r="G17" s="107"/>
    </row>
    <row r="18" spans="2:10" ht="14.25" customHeight="1" x14ac:dyDescent="0.35">
      <c r="B18" s="62" t="s">
        <v>57</v>
      </c>
      <c r="G18" s="107"/>
    </row>
    <row r="19" spans="2:10" x14ac:dyDescent="0.35">
      <c r="B19" s="62" t="s">
        <v>58</v>
      </c>
    </row>
    <row r="20" spans="2:10" x14ac:dyDescent="0.35">
      <c r="B20" s="62" t="s">
        <v>59</v>
      </c>
    </row>
    <row r="22" spans="2:10" hidden="1" x14ac:dyDescent="0.35">
      <c r="B22" s="370" t="s">
        <v>60</v>
      </c>
      <c r="C22" s="370"/>
      <c r="D22" s="370"/>
      <c r="E22" s="370"/>
      <c r="F22" s="370"/>
      <c r="G22" s="370"/>
      <c r="H22" s="370"/>
      <c r="I22" s="370"/>
      <c r="J22" s="370"/>
    </row>
    <row r="23" spans="2:10" hidden="1" x14ac:dyDescent="0.35">
      <c r="B23" s="370"/>
      <c r="C23" s="370"/>
      <c r="D23" s="370"/>
      <c r="E23" s="370"/>
      <c r="F23" s="370"/>
      <c r="G23" s="370"/>
      <c r="H23" s="370"/>
      <c r="I23" s="370"/>
      <c r="J23" s="370"/>
    </row>
    <row r="24" spans="2:10" hidden="1" x14ac:dyDescent="0.35">
      <c r="B24" s="371"/>
      <c r="C24" s="371"/>
      <c r="D24" s="371"/>
      <c r="E24" s="371"/>
      <c r="F24" s="371"/>
      <c r="G24" s="371"/>
      <c r="H24" s="371"/>
      <c r="I24" s="371"/>
      <c r="J24" s="371"/>
    </row>
    <row r="25" spans="2:10" hidden="1" x14ac:dyDescent="0.35">
      <c r="B25" s="371"/>
      <c r="C25" s="371"/>
      <c r="D25" s="371"/>
      <c r="E25" s="371"/>
      <c r="F25" s="371"/>
      <c r="G25" s="371"/>
      <c r="H25" s="371"/>
      <c r="I25" s="371"/>
      <c r="J25" s="371"/>
    </row>
    <row r="26" spans="2:10" hidden="1" x14ac:dyDescent="0.35">
      <c r="B26" s="371"/>
      <c r="C26" s="371"/>
      <c r="D26" s="371"/>
      <c r="E26" s="371"/>
      <c r="F26" s="371"/>
      <c r="G26" s="371"/>
      <c r="H26" s="371"/>
      <c r="I26" s="371"/>
      <c r="J26" s="371"/>
    </row>
    <row r="27" spans="2:10" hidden="1" x14ac:dyDescent="0.35">
      <c r="B27" s="371"/>
      <c r="C27" s="371"/>
      <c r="D27" s="371"/>
      <c r="E27" s="371"/>
      <c r="F27" s="371"/>
      <c r="G27" s="371"/>
      <c r="H27" s="371"/>
      <c r="I27" s="371"/>
      <c r="J27" s="371"/>
    </row>
    <row r="28" spans="2:10" hidden="1" x14ac:dyDescent="0.35">
      <c r="B28" s="371"/>
      <c r="C28" s="371"/>
      <c r="D28" s="371"/>
      <c r="E28" s="371"/>
      <c r="F28" s="371"/>
      <c r="G28" s="371"/>
      <c r="H28" s="371"/>
      <c r="I28" s="371"/>
      <c r="J28" s="371"/>
    </row>
    <row r="29" spans="2:10" hidden="1" x14ac:dyDescent="0.35">
      <c r="B29" s="371"/>
      <c r="C29" s="371"/>
      <c r="D29" s="371"/>
      <c r="E29" s="371"/>
      <c r="F29" s="371"/>
      <c r="G29" s="371"/>
      <c r="H29" s="371"/>
      <c r="I29" s="371"/>
      <c r="J29" s="371"/>
    </row>
    <row r="30" spans="2:10" hidden="1" x14ac:dyDescent="0.35">
      <c r="B30" s="371"/>
      <c r="C30" s="371"/>
      <c r="D30" s="371"/>
      <c r="E30" s="371"/>
      <c r="F30" s="371"/>
      <c r="G30" s="371"/>
      <c r="H30" s="371"/>
      <c r="I30" s="371"/>
      <c r="J30" s="371"/>
    </row>
    <row r="31" spans="2:10" hidden="1" x14ac:dyDescent="0.35">
      <c r="B31" s="371"/>
      <c r="C31" s="371"/>
      <c r="D31" s="371"/>
      <c r="E31" s="371"/>
      <c r="F31" s="371"/>
      <c r="G31" s="371"/>
      <c r="H31" s="371"/>
      <c r="I31" s="371"/>
      <c r="J31" s="371"/>
    </row>
    <row r="32" spans="2:10" hidden="1" x14ac:dyDescent="0.35">
      <c r="B32" s="371"/>
      <c r="C32" s="371"/>
      <c r="D32" s="371"/>
      <c r="E32" s="371"/>
      <c r="F32" s="371"/>
      <c r="G32" s="371"/>
      <c r="H32" s="371"/>
      <c r="I32" s="371"/>
      <c r="J32" s="371"/>
    </row>
    <row r="33" spans="2:10" hidden="1" x14ac:dyDescent="0.35">
      <c r="B33" s="371"/>
      <c r="C33" s="371"/>
      <c r="D33" s="371"/>
      <c r="E33" s="371"/>
      <c r="F33" s="371"/>
      <c r="G33" s="371"/>
      <c r="H33" s="371"/>
      <c r="I33" s="371"/>
      <c r="J33" s="371"/>
    </row>
    <row r="34" spans="2:10" hidden="1" x14ac:dyDescent="0.35">
      <c r="B34" s="371"/>
      <c r="C34" s="371"/>
      <c r="D34" s="371"/>
      <c r="E34" s="371"/>
      <c r="F34" s="371"/>
      <c r="G34" s="371"/>
      <c r="H34" s="371"/>
      <c r="I34" s="371"/>
      <c r="J34" s="371"/>
    </row>
    <row r="35" spans="2:10" hidden="1" x14ac:dyDescent="0.35">
      <c r="B35" s="371"/>
      <c r="C35" s="371"/>
      <c r="D35" s="371"/>
      <c r="E35" s="371"/>
      <c r="F35" s="371"/>
      <c r="G35" s="371"/>
      <c r="H35" s="371"/>
      <c r="I35" s="371"/>
      <c r="J35" s="371"/>
    </row>
    <row r="36" spans="2:10" hidden="1" x14ac:dyDescent="0.35">
      <c r="B36" s="371"/>
      <c r="C36" s="371"/>
      <c r="D36" s="371"/>
      <c r="E36" s="371"/>
      <c r="F36" s="371"/>
      <c r="G36" s="371"/>
      <c r="H36" s="371"/>
      <c r="I36" s="371"/>
      <c r="J36" s="371"/>
    </row>
  </sheetData>
  <sheetProtection algorithmName="SHA-512" hashValue="iA9SlqvB3xxcifwrS8Wv3McXPed43RZ2zrBFpzZQPSb2LtBGNNqfB2Si7hO2aPF+dmWd1Q0PqI2WbzOWXiCb0Q==" saltValue="bGSsWpWOyxcbukflbiswSA==" spinCount="100000" sheet="1" selectLockedCells="1" selectUnlockedCells="1"/>
  <mergeCells count="5">
    <mergeCell ref="B2:L4"/>
    <mergeCell ref="B22:J23"/>
    <mergeCell ref="B24:J36"/>
    <mergeCell ref="B11:E11"/>
    <mergeCell ref="B9:E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499984740745262"/>
    <pageSetUpPr fitToPage="1"/>
  </sheetPr>
  <dimension ref="A1:AP64"/>
  <sheetViews>
    <sheetView showGridLines="0" zoomScale="90" zoomScaleNormal="90" zoomScaleSheetLayoutView="100" workbookViewId="0">
      <pane xSplit="2" ySplit="5" topLeftCell="C6" activePane="bottomRight" state="frozen"/>
      <selection pane="topRight" activeCell="C1" sqref="C1"/>
      <selection pane="bottomLeft" activeCell="A6" sqref="A6"/>
      <selection pane="bottomRight" activeCell="C22" sqref="C22"/>
    </sheetView>
  </sheetViews>
  <sheetFormatPr defaultColWidth="9.1796875" defaultRowHeight="27" customHeight="1" x14ac:dyDescent="0.35"/>
  <cols>
    <col min="1" max="1" width="30.453125" customWidth="1"/>
    <col min="2" max="2" width="18.453125" customWidth="1"/>
    <col min="3" max="3" width="28" customWidth="1"/>
    <col min="4" max="4" width="15.453125" customWidth="1"/>
    <col min="5" max="5" width="15.453125" style="17" customWidth="1"/>
    <col min="6" max="6" width="11.453125" style="17" bestFit="1" customWidth="1"/>
    <col min="7" max="7" width="13.453125" style="17" bestFit="1" customWidth="1"/>
    <col min="8" max="8" width="21.453125" style="17" bestFit="1" customWidth="1"/>
    <col min="9" max="9" width="14.453125" style="17" bestFit="1" customWidth="1"/>
    <col min="10" max="16" width="14.453125" style="17" customWidth="1"/>
    <col min="17" max="17" width="12.453125" style="17" customWidth="1"/>
    <col min="18" max="18" width="17.453125" customWidth="1"/>
    <col min="19" max="19" width="18.1796875" customWidth="1"/>
    <col min="20" max="20" width="15.54296875" customWidth="1"/>
    <col min="21" max="21" width="18.54296875" customWidth="1"/>
    <col min="22" max="22" width="9.1796875" hidden="1" customWidth="1"/>
    <col min="23" max="30" width="13.453125" customWidth="1"/>
    <col min="31" max="42" width="15.54296875" customWidth="1"/>
  </cols>
  <sheetData>
    <row r="1" spans="1:42" ht="27" customHeight="1" thickBot="1" x14ac:dyDescent="0.4">
      <c r="A1" s="269"/>
      <c r="B1" s="269"/>
      <c r="C1" s="269"/>
      <c r="D1" s="269"/>
      <c r="E1" s="270"/>
      <c r="F1" s="270"/>
      <c r="G1" s="270"/>
      <c r="H1" s="270"/>
      <c r="I1" s="270"/>
      <c r="J1" s="453" t="s">
        <v>61</v>
      </c>
      <c r="K1" s="454"/>
      <c r="L1" s="454"/>
      <c r="M1" s="454"/>
      <c r="N1" s="454"/>
      <c r="O1" s="454"/>
      <c r="P1" s="454"/>
      <c r="Q1" s="455"/>
      <c r="R1" s="450" t="s">
        <v>62</v>
      </c>
      <c r="S1" s="451"/>
      <c r="T1" s="451"/>
      <c r="U1" s="451"/>
      <c r="V1" s="451"/>
      <c r="W1" s="451"/>
      <c r="X1" s="451"/>
      <c r="Y1" s="451"/>
      <c r="Z1" s="451"/>
      <c r="AA1" s="451"/>
      <c r="AB1" s="451"/>
      <c r="AC1" s="451"/>
      <c r="AD1" s="452"/>
      <c r="AE1" s="440" t="s">
        <v>63</v>
      </c>
      <c r="AF1" s="441"/>
      <c r="AG1" s="441"/>
      <c r="AH1" s="441"/>
      <c r="AI1" s="441"/>
      <c r="AJ1" s="441"/>
      <c r="AK1" s="441"/>
      <c r="AL1" s="441"/>
      <c r="AM1" s="441"/>
      <c r="AN1" s="441"/>
      <c r="AO1" s="441"/>
      <c r="AP1" s="442"/>
    </row>
    <row r="2" spans="1:42" ht="16.5" customHeight="1" thickBot="1" x14ac:dyDescent="0.4">
      <c r="A2" s="271"/>
      <c r="B2" s="271"/>
      <c r="C2" s="271"/>
      <c r="D2" s="271"/>
      <c r="E2" s="271"/>
      <c r="F2" s="271"/>
      <c r="G2" s="271"/>
      <c r="H2" s="271"/>
      <c r="I2" s="271"/>
      <c r="J2" s="458" t="s">
        <v>64</v>
      </c>
      <c r="K2" s="459"/>
      <c r="L2" s="460" t="s">
        <v>65</v>
      </c>
      <c r="M2" s="445"/>
      <c r="N2" s="446" t="s">
        <v>66</v>
      </c>
      <c r="O2" s="461"/>
      <c r="P2" s="458" t="s">
        <v>67</v>
      </c>
      <c r="Q2" s="462"/>
      <c r="R2" s="203"/>
      <c r="S2" s="204"/>
      <c r="T2" s="204"/>
      <c r="U2" s="205"/>
      <c r="V2" s="206"/>
      <c r="W2" s="443" t="s">
        <v>64</v>
      </c>
      <c r="X2" s="444"/>
      <c r="Y2" s="443" t="s">
        <v>65</v>
      </c>
      <c r="Z2" s="444"/>
      <c r="AA2" s="456" t="s">
        <v>66</v>
      </c>
      <c r="AB2" s="457"/>
      <c r="AC2" s="448" t="s">
        <v>67</v>
      </c>
      <c r="AD2" s="449"/>
      <c r="AE2" s="203"/>
      <c r="AF2" s="204"/>
      <c r="AG2" s="204"/>
      <c r="AH2" s="205"/>
      <c r="AI2" s="443" t="s">
        <v>64</v>
      </c>
      <c r="AJ2" s="444"/>
      <c r="AK2" s="445" t="s">
        <v>65</v>
      </c>
      <c r="AL2" s="445"/>
      <c r="AM2" s="446" t="s">
        <v>66</v>
      </c>
      <c r="AN2" s="447"/>
      <c r="AO2" s="448" t="s">
        <v>67</v>
      </c>
      <c r="AP2" s="449"/>
    </row>
    <row r="3" spans="1:42" ht="16.5" customHeight="1" thickBot="1" x14ac:dyDescent="0.4">
      <c r="A3" s="271"/>
      <c r="B3" s="271"/>
      <c r="C3" s="271"/>
      <c r="D3" s="271"/>
      <c r="E3" s="271"/>
      <c r="F3" s="271"/>
      <c r="G3" s="271"/>
      <c r="H3" s="271"/>
      <c r="I3" s="271"/>
      <c r="J3" s="207" t="s">
        <v>68</v>
      </c>
      <c r="K3" s="208">
        <v>2023</v>
      </c>
      <c r="L3" s="207" t="s">
        <v>68</v>
      </c>
      <c r="M3" s="208">
        <v>2024</v>
      </c>
      <c r="N3" s="207" t="s">
        <v>68</v>
      </c>
      <c r="O3" s="209">
        <v>2025</v>
      </c>
      <c r="P3" s="210"/>
      <c r="Q3" s="211"/>
      <c r="R3" s="212"/>
      <c r="S3" s="213"/>
      <c r="T3" s="213"/>
      <c r="U3" s="214"/>
      <c r="V3" s="206"/>
      <c r="W3" s="215" t="s">
        <v>68</v>
      </c>
      <c r="X3" s="208">
        <v>2023</v>
      </c>
      <c r="Y3" s="216" t="s">
        <v>68</v>
      </c>
      <c r="Z3" s="217">
        <v>2024</v>
      </c>
      <c r="AA3" s="218" t="s">
        <v>68</v>
      </c>
      <c r="AB3" s="219">
        <v>2025</v>
      </c>
      <c r="AC3" s="220"/>
      <c r="AD3" s="211"/>
      <c r="AE3" s="212"/>
      <c r="AF3" s="213"/>
      <c r="AG3" s="213"/>
      <c r="AH3" s="214"/>
      <c r="AI3" s="221" t="s">
        <v>68</v>
      </c>
      <c r="AJ3" s="208">
        <v>2023</v>
      </c>
      <c r="AK3" s="221" t="s">
        <v>68</v>
      </c>
      <c r="AL3" s="208">
        <v>2024</v>
      </c>
      <c r="AM3" s="222" t="s">
        <v>68</v>
      </c>
      <c r="AN3" s="223">
        <v>2025</v>
      </c>
      <c r="AO3" s="220"/>
      <c r="AP3" s="211"/>
    </row>
    <row r="4" spans="1:42" s="3" customFormat="1" ht="72.75" customHeight="1" x14ac:dyDescent="0.35">
      <c r="A4" s="272" t="s">
        <v>69</v>
      </c>
      <c r="B4" s="272" t="s">
        <v>70</v>
      </c>
      <c r="C4" s="272" t="s">
        <v>71</v>
      </c>
      <c r="D4" s="272" t="s">
        <v>72</v>
      </c>
      <c r="E4" s="273" t="s">
        <v>73</v>
      </c>
      <c r="F4" s="273" t="s">
        <v>74</v>
      </c>
      <c r="G4" s="273" t="s">
        <v>75</v>
      </c>
      <c r="H4" s="273" t="s">
        <v>76</v>
      </c>
      <c r="I4" s="274" t="s">
        <v>77</v>
      </c>
      <c r="J4" s="280" t="s">
        <v>78</v>
      </c>
      <c r="K4" s="281" t="s">
        <v>79</v>
      </c>
      <c r="L4" s="282" t="s">
        <v>78</v>
      </c>
      <c r="M4" s="274" t="s">
        <v>80</v>
      </c>
      <c r="N4" s="280" t="s">
        <v>78</v>
      </c>
      <c r="O4" s="281" t="s">
        <v>81</v>
      </c>
      <c r="P4" s="283" t="s">
        <v>82</v>
      </c>
      <c r="Q4" s="284" t="s">
        <v>83</v>
      </c>
      <c r="R4" s="285" t="s">
        <v>71</v>
      </c>
      <c r="S4" s="285" t="s">
        <v>72</v>
      </c>
      <c r="T4" s="286" t="s">
        <v>75</v>
      </c>
      <c r="U4" s="287" t="s">
        <v>77</v>
      </c>
      <c r="V4" s="288"/>
      <c r="W4" s="289" t="s">
        <v>78</v>
      </c>
      <c r="X4" s="290" t="s">
        <v>79</v>
      </c>
      <c r="Y4" s="291" t="s">
        <v>78</v>
      </c>
      <c r="Z4" s="292" t="s">
        <v>80</v>
      </c>
      <c r="AA4" s="293" t="s">
        <v>78</v>
      </c>
      <c r="AB4" s="292" t="s">
        <v>81</v>
      </c>
      <c r="AC4" s="320" t="s">
        <v>82</v>
      </c>
      <c r="AD4" s="321" t="s">
        <v>83</v>
      </c>
      <c r="AE4" s="326" t="s">
        <v>71</v>
      </c>
      <c r="AF4" s="295" t="s">
        <v>72</v>
      </c>
      <c r="AG4" s="296" t="s">
        <v>75</v>
      </c>
      <c r="AH4" s="297" t="s">
        <v>77</v>
      </c>
      <c r="AI4" s="298" t="s">
        <v>78</v>
      </c>
      <c r="AJ4" s="299" t="s">
        <v>79</v>
      </c>
      <c r="AK4" s="300" t="s">
        <v>78</v>
      </c>
      <c r="AL4" s="297" t="s">
        <v>80</v>
      </c>
      <c r="AM4" s="298" t="s">
        <v>78</v>
      </c>
      <c r="AN4" s="299" t="s">
        <v>81</v>
      </c>
      <c r="AO4" s="301" t="s">
        <v>82</v>
      </c>
      <c r="AP4" s="302" t="s">
        <v>83</v>
      </c>
    </row>
    <row r="5" spans="1:42" s="3" customFormat="1" ht="26.25" customHeight="1" thickBot="1" x14ac:dyDescent="0.4">
      <c r="A5" s="275"/>
      <c r="B5" s="276" t="s">
        <v>84</v>
      </c>
      <c r="C5" s="276" t="s">
        <v>84</v>
      </c>
      <c r="D5" s="275"/>
      <c r="E5" s="277"/>
      <c r="F5" s="277"/>
      <c r="G5" s="277"/>
      <c r="H5" s="278" t="s">
        <v>85</v>
      </c>
      <c r="I5" s="279"/>
      <c r="J5" s="303" t="s">
        <v>86</v>
      </c>
      <c r="K5" s="281"/>
      <c r="L5" s="304" t="s">
        <v>86</v>
      </c>
      <c r="M5" s="274"/>
      <c r="N5" s="305" t="s">
        <v>86</v>
      </c>
      <c r="O5" s="306"/>
      <c r="P5" s="307"/>
      <c r="Q5" s="308"/>
      <c r="R5" s="309" t="s">
        <v>84</v>
      </c>
      <c r="S5" s="285"/>
      <c r="T5" s="286"/>
      <c r="U5" s="287"/>
      <c r="V5" s="288"/>
      <c r="W5" s="310" t="s">
        <v>86</v>
      </c>
      <c r="X5" s="290"/>
      <c r="Y5" s="311" t="s">
        <v>86</v>
      </c>
      <c r="Z5" s="287"/>
      <c r="AA5" s="310" t="s">
        <v>86</v>
      </c>
      <c r="AB5" s="287"/>
      <c r="AC5" s="312" t="s">
        <v>86</v>
      </c>
      <c r="AD5" s="294"/>
      <c r="AE5" s="327" t="s">
        <v>84</v>
      </c>
      <c r="AF5" s="295"/>
      <c r="AG5" s="296"/>
      <c r="AH5" s="297"/>
      <c r="AI5" s="313" t="s">
        <v>86</v>
      </c>
      <c r="AJ5" s="299"/>
      <c r="AK5" s="314" t="s">
        <v>86</v>
      </c>
      <c r="AL5" s="297"/>
      <c r="AM5" s="313" t="s">
        <v>86</v>
      </c>
      <c r="AN5" s="299"/>
      <c r="AO5" s="315"/>
      <c r="AP5" s="302"/>
    </row>
    <row r="6" spans="1:42" s="7" customFormat="1" ht="27" customHeight="1" x14ac:dyDescent="0.35">
      <c r="A6" s="25" t="s">
        <v>87</v>
      </c>
      <c r="B6" s="80"/>
      <c r="C6" s="26"/>
      <c r="D6" s="141" t="str">
        <f>IFERROR(INDEX('Specified CCE Model Price List'!$A$3:$O$300,MATCH('Options_CCE Model Selection'!$C6,'Specified CCE Model Price List'!$E$3:$E$300,0),MATCH('Options_CCE Model Selection'!D$4,'Specified CCE Model Price List'!$A$3:$O$3,0)),"")</f>
        <v/>
      </c>
      <c r="E6" s="142" t="str">
        <f>IFERROR(INDEX('Specified CCE Model Price List'!$A$3:$O$300,MATCH('Options_CCE Model Selection'!$C6,'Specified CCE Model Price List'!$E$3:$E$300,0),MATCH('Options_CCE Model Selection'!E$4,'Specified CCE Model Price List'!$A$3:$O$3,0)),"")</f>
        <v/>
      </c>
      <c r="F6" s="142" t="str">
        <f>IFERROR(INDEX('Specified CCE Model Price List'!$A$3:$O$300,MATCH('Options_CCE Model Selection'!$C6,'Specified CCE Model Price List'!$E$3:$E$300,0),MATCH('Options_CCE Model Selection'!F$4,'Specified CCE Model Price List'!$A$3:$O$3,0)),"")</f>
        <v/>
      </c>
      <c r="G6" s="143" t="str">
        <f>IFERROR(INDEX('Specified CCE Model Price List'!$A$3:$O$300,MATCH('Options_CCE Model Selection'!$C6,'Specified CCE Model Price List'!$E$3:$E$300,0),MATCH('Options_CCE Model Selection'!G$4,'Specified CCE Model Price List'!$A$3:$O$3,0)),"")</f>
        <v/>
      </c>
      <c r="H6" s="38"/>
      <c r="I6" s="50" t="str">
        <f>IF(ISERROR(IF(ISERROR(MATCH($A6,Reference_Dropdown1!$B$27:$B$39,0)),G6+$H6,G6)),"",IF(ISERROR(MATCH($A6,Reference_Dropdown1!$B$27:$B$39,0)),G6+$H6,"N/A"))</f>
        <v/>
      </c>
      <c r="J6" s="224"/>
      <c r="K6" s="81" t="str">
        <f>IFERROR(IF(I6="N/A",G6*J6,I6*J6),"")</f>
        <v/>
      </c>
      <c r="L6" s="224"/>
      <c r="M6" s="81" t="str">
        <f>IFERROR(IF(I6="N/A",G6*L6,I6*L6),"")</f>
        <v/>
      </c>
      <c r="N6" s="225"/>
      <c r="O6" s="199" t="str">
        <f>IFERROR(IF(I6="N/A",G6*N6,I6*N6),"")</f>
        <v/>
      </c>
      <c r="P6" s="200">
        <f t="shared" ref="P6:P38" si="0">SUMIFS(N:N,C:C,C6)+SUMIFS(L:L,C:C,C6)+SUMIFS(J:J,C:C,C6)</f>
        <v>0</v>
      </c>
      <c r="Q6" s="316" t="str">
        <f t="shared" ref="Q6:Q11" si="1">IFERROR(IF(I6="N/A",G6*P6,I6*P6),"")</f>
        <v/>
      </c>
      <c r="R6" s="26"/>
      <c r="S6" s="141" t="str">
        <f>IFERROR(INDEX('Specified CCE Model Price List'!$A$3:$O$300,MATCH('Options_CCE Model Selection'!$R6,'Specified CCE Model Price List'!$E$3:$E$300,0),MATCH('Options_CCE Model Selection'!S$4,'Specified CCE Model Price List'!$A$3:$O$3,0)),"")</f>
        <v/>
      </c>
      <c r="T6" s="142" t="str">
        <f>IFERROR(INDEX('Specified CCE Model Price List'!$A$3:$O$300,MATCH('Options_CCE Model Selection'!$R6,'Specified CCE Model Price List'!$E$3:$E$300,0),MATCH('Options_CCE Model Selection'!T$4,'Specified CCE Model Price List'!$A$3:$O$3,0)),"")</f>
        <v/>
      </c>
      <c r="U6" s="143" t="str">
        <f>IF(ISERROR(IF(ISERROR(MATCH($A6,Reference_Dropdown1!$B$27:$B$39,0)),T6+$H6,T6)),"",IF(ISERROR(MATCH($A6,Reference_Dropdown1!$B$27:$B$39,0)),T6+$H6,"N/A"))</f>
        <v/>
      </c>
      <c r="V6" s="85" t="str">
        <f t="shared" ref="V6:V38" si="2">LEFT(A6,3)</f>
        <v>_1.</v>
      </c>
      <c r="W6" s="226"/>
      <c r="X6" s="134" t="str">
        <f>IFERROR(IF(U6="N/A",T6*W6,U6*W6),"")</f>
        <v/>
      </c>
      <c r="Y6" s="227"/>
      <c r="Z6" s="137" t="str">
        <f>IFERROR(IF(U6="N/A",T6*Y6,U6*Y6),"")</f>
        <v/>
      </c>
      <c r="AA6" s="227"/>
      <c r="AB6" s="137" t="str">
        <f>IFERROR(IF(U6="N/A",T6*AA6,U6*AA6),"")</f>
        <v/>
      </c>
      <c r="AC6" s="94">
        <f t="shared" ref="AC6:AC38" si="3">SUMIFS(W:W,C:C,C6)+SUMIFS(Y:Y,C:C,C6)+SUMIFS(AA:AA,C:C,C6)</f>
        <v>0</v>
      </c>
      <c r="AD6" s="135" t="str">
        <f>IFERROR(IF(I6="N/A",T6*AC6,U6*AC6),"")</f>
        <v/>
      </c>
      <c r="AE6" s="229"/>
      <c r="AF6" s="83" t="str">
        <f>IFERROR(INDEX('Specified CCE Model Price List'!$A$3:$O$300,MATCH('Options_CCE Model Selection'!$AE6,'Specified CCE Model Price List'!$E$3:$E$300,0),MATCH('Options_CCE Model Selection'!AF$4,'Specified CCE Model Price List'!$A$3:$O$3,0)),"")</f>
        <v/>
      </c>
      <c r="AG6" s="143" t="str">
        <f>IFERROR(INDEX('Specified CCE Model Price List'!$A$3:$O$300,MATCH('Options_CCE Model Selection'!$AE6,'Specified CCE Model Price List'!$E$3:$E$300,0),MATCH('Options_CCE Model Selection'!AG$4,'Specified CCE Model Price List'!$A$3:$O$3,0)),"")</f>
        <v/>
      </c>
      <c r="AH6" s="143" t="str">
        <f>IF(ISERROR(IF(ISERROR(MATCH($A6,Reference_Dropdown1!$B$27:$B$39,0)),AG6+$H6,AG6)),"",IF(ISERROR(MATCH($A6,Reference_Dropdown1!$B$27:$B$39,0)),AG6+$H6,"N/A"))</f>
        <v/>
      </c>
      <c r="AI6" s="26"/>
      <c r="AJ6" s="136" t="str">
        <f t="shared" ref="AJ6:AJ38" si="4">IFERROR(IF(U6="N/A",AG6*AI6,AH6*AI6),"")</f>
        <v/>
      </c>
      <c r="AK6" s="26"/>
      <c r="AL6" s="136" t="str">
        <f t="shared" ref="AL6:AL38" si="5">IFERROR(IF(U6="N/A",AG6*AK6,AH6*AK6),"")</f>
        <v/>
      </c>
      <c r="AM6" s="26"/>
      <c r="AN6" s="136" t="str">
        <f t="shared" ref="AN6:AN38" si="6">IFERROR(IF(U6="N/A",AG6*AM6,AH6*AM6),"")</f>
        <v/>
      </c>
      <c r="AO6" s="83">
        <f t="shared" ref="AO6:AO38" si="7">SUMIFS(AM:AM,C:C,C6)+SUMIFS(AK:AK,C:C,C6)+SUMIFS(AI:AI,C:C,C6)</f>
        <v>0</v>
      </c>
      <c r="AP6" s="135" t="str">
        <f>IFERROR(IF(I6="N/A",AG6*AO6,AH6*AO6),"")</f>
        <v/>
      </c>
    </row>
    <row r="7" spans="1:42" s="7" customFormat="1" ht="27" customHeight="1" x14ac:dyDescent="0.35">
      <c r="A7" s="25" t="s">
        <v>87</v>
      </c>
      <c r="B7" s="80"/>
      <c r="C7" s="26"/>
      <c r="D7" s="141" t="str">
        <f>IFERROR(INDEX('Specified CCE Model Price List'!$A$3:$O$300,MATCH('Options_CCE Model Selection'!$C7,'Specified CCE Model Price List'!$E$3:$E$300,0),MATCH('Options_CCE Model Selection'!D$4,'Specified CCE Model Price List'!$A$3:$O$3,0)),"")</f>
        <v/>
      </c>
      <c r="E7" s="142" t="str">
        <f>IFERROR(INDEX('Specified CCE Model Price List'!$A$3:$O$300,MATCH('Options_CCE Model Selection'!$C7,'Specified CCE Model Price List'!$E$3:$E$300,0),MATCH('Options_CCE Model Selection'!E$4,'Specified CCE Model Price List'!$A$3:$O$3,0)),"")</f>
        <v/>
      </c>
      <c r="F7" s="142" t="str">
        <f>IFERROR(INDEX('Specified CCE Model Price List'!$A$3:$O$300,MATCH('Options_CCE Model Selection'!$C7,'Specified CCE Model Price List'!$E$3:$E$300,0),MATCH('Options_CCE Model Selection'!F$4,'Specified CCE Model Price List'!$A$3:$O$3,0)),"")</f>
        <v/>
      </c>
      <c r="G7" s="143" t="str">
        <f>IFERROR(INDEX('Specified CCE Model Price List'!$A$3:$O$300,MATCH('Options_CCE Model Selection'!$C7,'Specified CCE Model Price List'!$E$3:$E$300,0),MATCH('Options_CCE Model Selection'!G$4,'Specified CCE Model Price List'!$A$3:$O$3,0)),"")</f>
        <v/>
      </c>
      <c r="H7" s="38"/>
      <c r="I7" s="50" t="str">
        <f>IF(ISERROR(IF(ISERROR(MATCH($A7,Reference_Dropdown1!$B$27:$B$39,0)),G7+$H7,G7)),"",IF(ISERROR(MATCH($A7,Reference_Dropdown1!$B$27:$B$39,0)),G7+$H7,"N/A"))</f>
        <v/>
      </c>
      <c r="J7" s="228"/>
      <c r="K7" s="82" t="str">
        <f t="shared" ref="K7:K38" si="8">IFERROR(IF(I7="N/A",G7*J7,I7*J7),"")</f>
        <v/>
      </c>
      <c r="L7" s="228"/>
      <c r="M7" s="82" t="str">
        <f t="shared" ref="M7:M38" si="9">IFERROR(IF(I7="N/A",G7*L7,I7*L7),"")</f>
        <v/>
      </c>
      <c r="N7" s="225"/>
      <c r="O7" s="199" t="str">
        <f t="shared" ref="O7:O38" si="10">IFERROR(IF(I7="N/A",G7*N7,I7*N7),"")</f>
        <v/>
      </c>
      <c r="P7" s="200">
        <f t="shared" si="0"/>
        <v>0</v>
      </c>
      <c r="Q7" s="316" t="str">
        <f t="shared" si="1"/>
        <v/>
      </c>
      <c r="R7" s="26"/>
      <c r="S7" s="141" t="str">
        <f>IFERROR(INDEX('Specified CCE Model Price List'!$A$3:$O$300,MATCH('Options_CCE Model Selection'!$R7,'Specified CCE Model Price List'!$E$3:$E$300,0),MATCH('Options_CCE Model Selection'!S$4,'Specified CCE Model Price List'!$A$3:$O$3,0)),"")</f>
        <v/>
      </c>
      <c r="T7" s="142" t="str">
        <f>IFERROR(INDEX('Specified CCE Model Price List'!$A$3:$O$300,MATCH('Options_CCE Model Selection'!$R7,'Specified CCE Model Price List'!$E$3:$E$300,0),MATCH('Options_CCE Model Selection'!T$4,'Specified CCE Model Price List'!$A$3:$O$3,0)),"")</f>
        <v/>
      </c>
      <c r="U7" s="143" t="str">
        <f>IF(ISERROR(IF(ISERROR(MATCH($A7,Reference_Dropdown1!$B$27:$B$39,0)),T7+$H7,T7)),"",IF(ISERROR(MATCH($A7,Reference_Dropdown1!$B$27:$B$39,0)),T7+$H7,"N/A"))</f>
        <v/>
      </c>
      <c r="V7" s="85" t="str">
        <f t="shared" si="2"/>
        <v>_1.</v>
      </c>
      <c r="W7" s="229"/>
      <c r="X7" s="135" t="str">
        <f>IFERROR(IF(U7="N/A",T7*W7,U7*W7),"")</f>
        <v/>
      </c>
      <c r="Y7" s="229"/>
      <c r="Z7" s="138" t="str">
        <f t="shared" ref="Z7:Z38" si="11">IFERROR(IF(U7="N/A",T7*Y7,U7*Y7),"")</f>
        <v/>
      </c>
      <c r="AA7" s="229"/>
      <c r="AB7" s="138" t="str">
        <f t="shared" ref="AB7:AB38" si="12">IFERROR(IF(U7="N/A",T7*AA7,U7*AA7),"")</f>
        <v/>
      </c>
      <c r="AC7" s="95">
        <f t="shared" si="3"/>
        <v>0</v>
      </c>
      <c r="AD7" s="135" t="str">
        <f>IFERROR(IF(I7="N/A",T7*AC7,U7*AC7),"")</f>
        <v/>
      </c>
      <c r="AE7" s="229"/>
      <c r="AF7" s="83" t="str">
        <f>IFERROR(INDEX('Specified CCE Model Price List'!$A$3:$O$300,MATCH('Options_CCE Model Selection'!$AE7,'Specified CCE Model Price List'!$E$3:$E$300,0),MATCH('Options_CCE Model Selection'!AF$4,'Specified CCE Model Price List'!$A$3:$O$3,0)),"")</f>
        <v/>
      </c>
      <c r="AG7" s="143" t="str">
        <f>IFERROR(INDEX('Specified CCE Model Price List'!$A$3:$O$300,MATCH('Options_CCE Model Selection'!$AE7,'Specified CCE Model Price List'!$E$3:$E$300,0),MATCH('Options_CCE Model Selection'!AG$4,'Specified CCE Model Price List'!$A$3:$O$3,0)),"")</f>
        <v/>
      </c>
      <c r="AH7" s="143" t="str">
        <f>IF(ISERROR(IF(ISERROR(MATCH($A7,Reference_Dropdown1!$B$27:$B$39,0)),AG7+$H7,AG7)),"",IF(ISERROR(MATCH($A7,Reference_Dropdown1!$B$27:$B$39,0)),AG7+$H7,"N/A"))</f>
        <v/>
      </c>
      <c r="AI7" s="26"/>
      <c r="AJ7" s="136" t="str">
        <f t="shared" si="4"/>
        <v/>
      </c>
      <c r="AK7" s="26"/>
      <c r="AL7" s="136" t="str">
        <f t="shared" si="5"/>
        <v/>
      </c>
      <c r="AM7" s="26"/>
      <c r="AN7" s="136" t="str">
        <f t="shared" si="6"/>
        <v/>
      </c>
      <c r="AO7" s="83">
        <f t="shared" si="7"/>
        <v>0</v>
      </c>
      <c r="AP7" s="135" t="str">
        <f>IFERROR(IF(I7="N/A",AG7*AO7,AH7*AO7),"")</f>
        <v/>
      </c>
    </row>
    <row r="8" spans="1:42" s="7" customFormat="1" ht="27" customHeight="1" x14ac:dyDescent="0.35">
      <c r="A8" s="25" t="s">
        <v>87</v>
      </c>
      <c r="B8" s="80"/>
      <c r="C8" s="26"/>
      <c r="D8" s="141" t="str">
        <f>IFERROR(INDEX('Specified CCE Model Price List'!$A$3:$O$300,MATCH('Options_CCE Model Selection'!$C8,'Specified CCE Model Price List'!$E$3:$E$300,0),MATCH('Options_CCE Model Selection'!D$4,'Specified CCE Model Price List'!$A$3:$O$3,0)),"")</f>
        <v/>
      </c>
      <c r="E8" s="142" t="str">
        <f>IFERROR(INDEX('Specified CCE Model Price List'!$A$3:$O$300,MATCH('Options_CCE Model Selection'!$C8,'Specified CCE Model Price List'!$E$3:$E$300,0),MATCH('Options_CCE Model Selection'!E$4,'Specified CCE Model Price List'!$A$3:$O$3,0)),"")</f>
        <v/>
      </c>
      <c r="F8" s="142" t="str">
        <f>IFERROR(INDEX('Specified CCE Model Price List'!$A$3:$O$300,MATCH('Options_CCE Model Selection'!$C8,'Specified CCE Model Price List'!$E$3:$E$300,0),MATCH('Options_CCE Model Selection'!F$4,'Specified CCE Model Price List'!$A$3:$O$3,0)),"")</f>
        <v/>
      </c>
      <c r="G8" s="143" t="str">
        <f>IFERROR(INDEX('Specified CCE Model Price List'!$A$3:$O$300,MATCH('Options_CCE Model Selection'!$C8,'Specified CCE Model Price List'!$E$3:$E$300,0),MATCH('Options_CCE Model Selection'!G$4,'Specified CCE Model Price List'!$A$3:$O$3,0)),"")</f>
        <v/>
      </c>
      <c r="H8" s="38"/>
      <c r="I8" s="50" t="str">
        <f>IF(ISERROR(IF(ISERROR(MATCH($A8,Reference_Dropdown1!$B$27:$B$39,0)),G8+$H8,G8)),"",IF(ISERROR(MATCH($A8,Reference_Dropdown1!$B$27:$B$39,0)),G8+$H8,"N/A"))</f>
        <v/>
      </c>
      <c r="J8" s="228"/>
      <c r="K8" s="82" t="str">
        <f t="shared" si="8"/>
        <v/>
      </c>
      <c r="L8" s="228"/>
      <c r="M8" s="82" t="str">
        <f t="shared" si="9"/>
        <v/>
      </c>
      <c r="N8" s="225"/>
      <c r="O8" s="199" t="str">
        <f t="shared" si="10"/>
        <v/>
      </c>
      <c r="P8" s="200">
        <f t="shared" si="0"/>
        <v>0</v>
      </c>
      <c r="Q8" s="316" t="str">
        <f t="shared" si="1"/>
        <v/>
      </c>
      <c r="R8" s="26"/>
      <c r="S8" s="141" t="str">
        <f>IFERROR(INDEX('Specified CCE Model Price List'!$A$3:$O$300,MATCH('Options_CCE Model Selection'!$R8,'Specified CCE Model Price List'!$E$3:$E$300,0),MATCH('Options_CCE Model Selection'!S$4,'Specified CCE Model Price List'!$A$3:$O$3,0)),"")</f>
        <v/>
      </c>
      <c r="T8" s="142" t="str">
        <f>IFERROR(INDEX('Specified CCE Model Price List'!$A$3:$O$300,MATCH('Options_CCE Model Selection'!$R8,'Specified CCE Model Price List'!$E$3:$E$300,0),MATCH('Options_CCE Model Selection'!T$4,'Specified CCE Model Price List'!$A$3:$O$3,0)),"")</f>
        <v/>
      </c>
      <c r="U8" s="143" t="str">
        <f>IF(ISERROR(IF(ISERROR(MATCH($A8,Reference_Dropdown1!$B$27:$B$39,0)),T8+$H8,T8)),"",IF(ISERROR(MATCH($A8,Reference_Dropdown1!$B$27:$B$39,0)),T8+$H8,"N/A"))</f>
        <v/>
      </c>
      <c r="V8" s="85" t="str">
        <f t="shared" si="2"/>
        <v>_1.</v>
      </c>
      <c r="W8" s="229"/>
      <c r="X8" s="135" t="str">
        <f t="shared" ref="X8:X38" si="13">IFERROR(IF(U8="N/A",T8*W8,U8*W8),"")</f>
        <v/>
      </c>
      <c r="Y8" s="229"/>
      <c r="Z8" s="138" t="str">
        <f t="shared" si="11"/>
        <v/>
      </c>
      <c r="AA8" s="229"/>
      <c r="AB8" s="138" t="str">
        <f t="shared" si="12"/>
        <v/>
      </c>
      <c r="AC8" s="95">
        <f t="shared" si="3"/>
        <v>0</v>
      </c>
      <c r="AD8" s="135" t="str">
        <f t="shared" ref="AD8:AD38" si="14">IFERROR(IF(I8="N/A",T8*AC8,U8*AC8),"")</f>
        <v/>
      </c>
      <c r="AE8" s="229"/>
      <c r="AF8" s="83" t="str">
        <f>IFERROR(INDEX('Specified CCE Model Price List'!$A$3:$O$300,MATCH('Options_CCE Model Selection'!$AE8,'Specified CCE Model Price List'!$E$3:$E$300,0),MATCH('Options_CCE Model Selection'!AF$4,'Specified CCE Model Price List'!$A$3:$O$3,0)),"")</f>
        <v/>
      </c>
      <c r="AG8" s="143" t="str">
        <f>IFERROR(INDEX('Specified CCE Model Price List'!$A$3:$O$300,MATCH('Options_CCE Model Selection'!$AE8,'Specified CCE Model Price List'!$E$3:$E$300,0),MATCH('Options_CCE Model Selection'!AG$4,'Specified CCE Model Price List'!$A$3:$O$3,0)),"")</f>
        <v/>
      </c>
      <c r="AH8" s="143" t="str">
        <f>IF(ISERROR(IF(ISERROR(MATCH($A8,Reference_Dropdown1!$B$27:$B$39,0)),AG8+$H8,AG8)),"",IF(ISERROR(MATCH($A8,Reference_Dropdown1!$B$27:$B$39,0)),AG8+$H8,"N/A"))</f>
        <v/>
      </c>
      <c r="AI8" s="26"/>
      <c r="AJ8" s="136" t="str">
        <f t="shared" si="4"/>
        <v/>
      </c>
      <c r="AK8" s="26"/>
      <c r="AL8" s="136" t="str">
        <f t="shared" si="5"/>
        <v/>
      </c>
      <c r="AM8" s="26"/>
      <c r="AN8" s="136" t="str">
        <f t="shared" si="6"/>
        <v/>
      </c>
      <c r="AO8" s="83">
        <f t="shared" si="7"/>
        <v>0</v>
      </c>
      <c r="AP8" s="135" t="str">
        <f t="shared" ref="AP8:AP38" si="15">IFERROR(IF(I8="N/A",AG8*AO8,AH8*AO8),"")</f>
        <v/>
      </c>
    </row>
    <row r="9" spans="1:42" s="7" customFormat="1" ht="27" customHeight="1" x14ac:dyDescent="0.35">
      <c r="A9" s="25" t="s">
        <v>88</v>
      </c>
      <c r="B9" s="80"/>
      <c r="C9" s="26"/>
      <c r="D9" s="141" t="str">
        <f>IFERROR(INDEX('Specified CCE Model Price List'!$A$3:$O$300,MATCH('Options_CCE Model Selection'!$C9,'Specified CCE Model Price List'!$E$3:$E$300,0),MATCH('Options_CCE Model Selection'!D$4,'Specified CCE Model Price List'!$A$3:$O$3,0)),"")</f>
        <v/>
      </c>
      <c r="E9" s="142" t="str">
        <f>IFERROR(INDEX('Specified CCE Model Price List'!$A$3:$O$300,MATCH('Options_CCE Model Selection'!$C9,'Specified CCE Model Price List'!$E$3:$E$300,0),MATCH('Options_CCE Model Selection'!E$4,'Specified CCE Model Price List'!$A$3:$O$3,0)),"")</f>
        <v/>
      </c>
      <c r="F9" s="142" t="str">
        <f>IFERROR(INDEX('Specified CCE Model Price List'!$A$3:$O$300,MATCH('Options_CCE Model Selection'!$C9,'Specified CCE Model Price List'!$E$3:$E$300,0),MATCH('Options_CCE Model Selection'!F$4,'Specified CCE Model Price List'!$A$3:$O$3,0)),"")</f>
        <v/>
      </c>
      <c r="G9" s="143" t="str">
        <f>IFERROR(INDEX('Specified CCE Model Price List'!$A$3:$O$300,MATCH('Options_CCE Model Selection'!$C9,'Specified CCE Model Price List'!$E$3:$E$300,0),MATCH('Options_CCE Model Selection'!G$4,'Specified CCE Model Price List'!$A$3:$O$3,0)),"")</f>
        <v/>
      </c>
      <c r="H9" s="38"/>
      <c r="I9" s="50" t="str">
        <f>IF(ISERROR(IF(ISERROR(MATCH($A9,Reference_Dropdown1!$B$27:$B$39,0)),G9+$H9,G9)),"",IF(ISERROR(MATCH($A9,Reference_Dropdown1!$B$27:$B$39,0)),G9+$H9,"N/A"))</f>
        <v/>
      </c>
      <c r="J9" s="228"/>
      <c r="K9" s="82" t="str">
        <f t="shared" si="8"/>
        <v/>
      </c>
      <c r="L9" s="228"/>
      <c r="M9" s="82" t="str">
        <f t="shared" si="9"/>
        <v/>
      </c>
      <c r="N9" s="225"/>
      <c r="O9" s="199" t="str">
        <f t="shared" si="10"/>
        <v/>
      </c>
      <c r="P9" s="200">
        <f t="shared" si="0"/>
        <v>0</v>
      </c>
      <c r="Q9" s="316" t="str">
        <f t="shared" si="1"/>
        <v/>
      </c>
      <c r="R9" s="26"/>
      <c r="S9" s="141" t="str">
        <f>IFERROR(INDEX('Specified CCE Model Price List'!$A$3:$O$300,MATCH('Options_CCE Model Selection'!$R9,'Specified CCE Model Price List'!$E$3:$E$300,0),MATCH('Options_CCE Model Selection'!S$4,'Specified CCE Model Price List'!$A$3:$O$3,0)),"")</f>
        <v/>
      </c>
      <c r="T9" s="142" t="str">
        <f>IFERROR(INDEX('Specified CCE Model Price List'!$A$3:$O$300,MATCH('Options_CCE Model Selection'!$R9,'Specified CCE Model Price List'!$E$3:$E$300,0),MATCH('Options_CCE Model Selection'!T$4,'Specified CCE Model Price List'!$A$3:$O$3,0)),"")</f>
        <v/>
      </c>
      <c r="U9" s="143" t="str">
        <f>IF(ISERROR(IF(ISERROR(MATCH($A9,Reference_Dropdown1!$B$27:$B$39,0)),T9+$H9,T9)),"",IF(ISERROR(MATCH($A9,Reference_Dropdown1!$B$27:$B$39,0)),T9+$H9,"N/A"))</f>
        <v/>
      </c>
      <c r="V9" s="85" t="str">
        <f t="shared" si="2"/>
        <v>_2.</v>
      </c>
      <c r="W9" s="229"/>
      <c r="X9" s="135" t="str">
        <f t="shared" si="13"/>
        <v/>
      </c>
      <c r="Y9" s="229"/>
      <c r="Z9" s="138" t="str">
        <f t="shared" si="11"/>
        <v/>
      </c>
      <c r="AA9" s="229"/>
      <c r="AB9" s="138" t="str">
        <f t="shared" si="12"/>
        <v/>
      </c>
      <c r="AC9" s="95">
        <f t="shared" si="3"/>
        <v>0</v>
      </c>
      <c r="AD9" s="135" t="str">
        <f t="shared" si="14"/>
        <v/>
      </c>
      <c r="AE9" s="229"/>
      <c r="AF9" s="83" t="str">
        <f>IFERROR(INDEX('Specified CCE Model Price List'!$A$3:$O$300,MATCH('Options_CCE Model Selection'!$AE9,'Specified CCE Model Price List'!$E$3:$E$300,0),MATCH('Options_CCE Model Selection'!AF$4,'Specified CCE Model Price List'!$A$3:$O$3,0)),"")</f>
        <v/>
      </c>
      <c r="AG9" s="143" t="str">
        <f>IFERROR(INDEX('Specified CCE Model Price List'!$A$3:$O$300,MATCH('Options_CCE Model Selection'!$AE9,'Specified CCE Model Price List'!$E$3:$E$300,0),MATCH('Options_CCE Model Selection'!AG$4,'Specified CCE Model Price List'!$A$3:$O$3,0)),"")</f>
        <v/>
      </c>
      <c r="AH9" s="143" t="str">
        <f>IF(ISERROR(IF(ISERROR(MATCH($A9,Reference_Dropdown1!$B$27:$B$39,0)),AG9+$H9,AG9)),"",IF(ISERROR(MATCH($A9,Reference_Dropdown1!$B$27:$B$39,0)),AG9+$H9,"N/A"))</f>
        <v/>
      </c>
      <c r="AI9" s="26"/>
      <c r="AJ9" s="136" t="str">
        <f t="shared" si="4"/>
        <v/>
      </c>
      <c r="AK9" s="26"/>
      <c r="AL9" s="136" t="str">
        <f t="shared" si="5"/>
        <v/>
      </c>
      <c r="AM9" s="26"/>
      <c r="AN9" s="136" t="str">
        <f t="shared" si="6"/>
        <v/>
      </c>
      <c r="AO9" s="83">
        <f t="shared" si="7"/>
        <v>0</v>
      </c>
      <c r="AP9" s="135" t="str">
        <f t="shared" si="15"/>
        <v/>
      </c>
    </row>
    <row r="10" spans="1:42" s="7" customFormat="1" ht="27" customHeight="1" x14ac:dyDescent="0.35">
      <c r="A10" s="25" t="s">
        <v>88</v>
      </c>
      <c r="B10" s="80"/>
      <c r="C10" s="26"/>
      <c r="D10" s="141" t="str">
        <f>IFERROR(INDEX('Specified CCE Model Price List'!$A$3:$O$300,MATCH('Options_CCE Model Selection'!$C10,'Specified CCE Model Price List'!$E$3:$E$300,0),MATCH('Options_CCE Model Selection'!D$4,'Specified CCE Model Price List'!$A$3:$O$3,0)),"")</f>
        <v/>
      </c>
      <c r="E10" s="142" t="str">
        <f>IFERROR(INDEX('Specified CCE Model Price List'!$A$3:$O$300,MATCH('Options_CCE Model Selection'!$C10,'Specified CCE Model Price List'!$E$3:$E$300,0),MATCH('Options_CCE Model Selection'!E$4,'Specified CCE Model Price List'!$A$3:$O$3,0)),"")</f>
        <v/>
      </c>
      <c r="F10" s="142" t="str">
        <f>IFERROR(INDEX('Specified CCE Model Price List'!$A$3:$O$300,MATCH('Options_CCE Model Selection'!$C10,'Specified CCE Model Price List'!$E$3:$E$300,0),MATCH('Options_CCE Model Selection'!F$4,'Specified CCE Model Price List'!$A$3:$O$3,0)),"")</f>
        <v/>
      </c>
      <c r="G10" s="143" t="str">
        <f>IFERROR(INDEX('Specified CCE Model Price List'!$A$3:$O$300,MATCH('Options_CCE Model Selection'!$C10,'Specified CCE Model Price List'!$E$3:$E$300,0),MATCH('Options_CCE Model Selection'!G$4,'Specified CCE Model Price List'!$A$3:$O$3,0)),"")</f>
        <v/>
      </c>
      <c r="H10" s="38"/>
      <c r="I10" s="50" t="str">
        <f>IF(ISERROR(IF(ISERROR(MATCH($A10,Reference_Dropdown1!$B$27:$B$39,0)),G10+$H10,G10)),"",IF(ISERROR(MATCH($A10,Reference_Dropdown1!$B$27:$B$39,0)),G10+$H10,"N/A"))</f>
        <v/>
      </c>
      <c r="J10" s="228"/>
      <c r="K10" s="82" t="str">
        <f t="shared" si="8"/>
        <v/>
      </c>
      <c r="L10" s="228"/>
      <c r="M10" s="82" t="str">
        <f t="shared" si="9"/>
        <v/>
      </c>
      <c r="N10" s="225"/>
      <c r="O10" s="199" t="str">
        <f t="shared" si="10"/>
        <v/>
      </c>
      <c r="P10" s="200">
        <f t="shared" si="0"/>
        <v>0</v>
      </c>
      <c r="Q10" s="316" t="str">
        <f t="shared" si="1"/>
        <v/>
      </c>
      <c r="R10" s="26"/>
      <c r="S10" s="141" t="str">
        <f>IFERROR(INDEX('Specified CCE Model Price List'!$A$3:$O$300,MATCH('Options_CCE Model Selection'!$R10,'Specified CCE Model Price List'!$E$3:$E$300,0),MATCH('Options_CCE Model Selection'!S$4,'Specified CCE Model Price List'!$A$3:$O$3,0)),"")</f>
        <v/>
      </c>
      <c r="T10" s="142" t="str">
        <f>IFERROR(INDEX('Specified CCE Model Price List'!$A$3:$O$300,MATCH('Options_CCE Model Selection'!$R10,'Specified CCE Model Price List'!$E$3:$E$300,0),MATCH('Options_CCE Model Selection'!T$4,'Specified CCE Model Price List'!$A$3:$O$3,0)),"")</f>
        <v/>
      </c>
      <c r="U10" s="143" t="str">
        <f>IF(ISERROR(IF(ISERROR(MATCH($A10,Reference_Dropdown1!$B$27:$B$39,0)),T10+$H10,T10)),"",IF(ISERROR(MATCH($A10,Reference_Dropdown1!$B$27:$B$39,0)),T10+$H10,"N/A"))</f>
        <v/>
      </c>
      <c r="V10" s="85" t="str">
        <f t="shared" si="2"/>
        <v>_2.</v>
      </c>
      <c r="W10" s="229"/>
      <c r="X10" s="135" t="str">
        <f t="shared" si="13"/>
        <v/>
      </c>
      <c r="Y10" s="229"/>
      <c r="Z10" s="138" t="str">
        <f t="shared" si="11"/>
        <v/>
      </c>
      <c r="AA10" s="229"/>
      <c r="AB10" s="138" t="str">
        <f t="shared" si="12"/>
        <v/>
      </c>
      <c r="AC10" s="95">
        <f t="shared" si="3"/>
        <v>0</v>
      </c>
      <c r="AD10" s="135" t="str">
        <f t="shared" si="14"/>
        <v/>
      </c>
      <c r="AE10" s="229"/>
      <c r="AF10" s="83" t="str">
        <f>IFERROR(INDEX('Specified CCE Model Price List'!$A$3:$O$300,MATCH('Options_CCE Model Selection'!$AE10,'Specified CCE Model Price List'!$E$3:$E$300,0),MATCH('Options_CCE Model Selection'!AF$4,'Specified CCE Model Price List'!$A$3:$O$3,0)),"")</f>
        <v/>
      </c>
      <c r="AG10" s="143" t="str">
        <f>IFERROR(INDEX('Specified CCE Model Price List'!$A$3:$O$300,MATCH('Options_CCE Model Selection'!$AE10,'Specified CCE Model Price List'!$E$3:$E$300,0),MATCH('Options_CCE Model Selection'!AG$4,'Specified CCE Model Price List'!$A$3:$O$3,0)),"")</f>
        <v/>
      </c>
      <c r="AH10" s="143" t="str">
        <f>IF(ISERROR(IF(ISERROR(MATCH($A10,Reference_Dropdown1!$B$27:$B$39,0)),AG10+$H10,AG10)),"",IF(ISERROR(MATCH($A10,Reference_Dropdown1!$B$27:$B$39,0)),AG10+$H10,"N/A"))</f>
        <v/>
      </c>
      <c r="AI10" s="26"/>
      <c r="AJ10" s="136" t="str">
        <f t="shared" si="4"/>
        <v/>
      </c>
      <c r="AK10" s="26"/>
      <c r="AL10" s="136" t="str">
        <f t="shared" si="5"/>
        <v/>
      </c>
      <c r="AM10" s="26"/>
      <c r="AN10" s="136" t="str">
        <f t="shared" si="6"/>
        <v/>
      </c>
      <c r="AO10" s="83">
        <f t="shared" si="7"/>
        <v>0</v>
      </c>
      <c r="AP10" s="135" t="str">
        <f t="shared" si="15"/>
        <v/>
      </c>
    </row>
    <row r="11" spans="1:42" s="7" customFormat="1" ht="27" customHeight="1" x14ac:dyDescent="0.35">
      <c r="A11" s="25" t="s">
        <v>89</v>
      </c>
      <c r="B11" s="80"/>
      <c r="C11" s="26"/>
      <c r="D11" s="141" t="str">
        <f>IFERROR(INDEX('Specified CCE Model Price List'!$A$3:$O$300,MATCH('Options_CCE Model Selection'!$C11,'Specified CCE Model Price List'!$E$3:$E$300,0),MATCH('Options_CCE Model Selection'!D$4,'Specified CCE Model Price List'!$A$3:$O$3,0)),"")</f>
        <v/>
      </c>
      <c r="E11" s="142" t="str">
        <f>IFERROR(INDEX('Specified CCE Model Price List'!$A$3:$O$300,MATCH('Options_CCE Model Selection'!$C11,'Specified CCE Model Price List'!$E$3:$E$300,0),MATCH('Options_CCE Model Selection'!E$4,'Specified CCE Model Price List'!$A$3:$O$3,0)),"")</f>
        <v/>
      </c>
      <c r="F11" s="142" t="str">
        <f>IFERROR(INDEX('Specified CCE Model Price List'!$A$3:$O$300,MATCH('Options_CCE Model Selection'!$C11,'Specified CCE Model Price List'!$E$3:$E$300,0),MATCH('Options_CCE Model Selection'!F$4,'Specified CCE Model Price List'!$A$3:$O$3,0)),"")</f>
        <v/>
      </c>
      <c r="G11" s="143" t="str">
        <f>IFERROR(INDEX('Specified CCE Model Price List'!$A$3:$O$300,MATCH('Options_CCE Model Selection'!$C11,'Specified CCE Model Price List'!$E$3:$E$300,0),MATCH('Options_CCE Model Selection'!G$4,'Specified CCE Model Price List'!$A$3:$O$3,0)),"")</f>
        <v/>
      </c>
      <c r="H11" s="38"/>
      <c r="I11" s="50" t="str">
        <f>IF(ISERROR(IF(ISERROR(MATCH($A11,Reference_Dropdown1!$B$27:$B$39,0)),G11+$H11,G11)),"",IF(ISERROR(MATCH($A11,Reference_Dropdown1!$B$27:$B$39,0)),G11+$H11,"N/A"))</f>
        <v/>
      </c>
      <c r="J11" s="228"/>
      <c r="K11" s="82" t="str">
        <f t="shared" si="8"/>
        <v/>
      </c>
      <c r="L11" s="228"/>
      <c r="M11" s="82" t="str">
        <f t="shared" si="9"/>
        <v/>
      </c>
      <c r="N11" s="225"/>
      <c r="O11" s="199" t="str">
        <f t="shared" si="10"/>
        <v/>
      </c>
      <c r="P11" s="200">
        <f t="shared" si="0"/>
        <v>0</v>
      </c>
      <c r="Q11" s="316" t="str">
        <f t="shared" si="1"/>
        <v/>
      </c>
      <c r="R11" s="26"/>
      <c r="S11" s="141" t="str">
        <f>IFERROR(INDEX('Specified CCE Model Price List'!$A$3:$O$300,MATCH('Options_CCE Model Selection'!$R11,'Specified CCE Model Price List'!$E$3:$E$300,0),MATCH('Options_CCE Model Selection'!S$4,'Specified CCE Model Price List'!$A$3:$O$3,0)),"")</f>
        <v/>
      </c>
      <c r="T11" s="142" t="str">
        <f>IFERROR(INDEX('Specified CCE Model Price List'!$A$3:$O$300,MATCH('Options_CCE Model Selection'!$R11,'Specified CCE Model Price List'!$E$3:$E$300,0),MATCH('Options_CCE Model Selection'!T$4,'Specified CCE Model Price List'!$A$3:$O$3,0)),"")</f>
        <v/>
      </c>
      <c r="U11" s="143" t="str">
        <f>IF(ISERROR(IF(ISERROR(MATCH($A11,Reference_Dropdown1!$B$27:$B$39,0)),T11+$H11,T11)),"",IF(ISERROR(MATCH($A11,Reference_Dropdown1!$B$27:$B$39,0)),T11+$H11,"N/A"))</f>
        <v/>
      </c>
      <c r="V11" s="85" t="str">
        <f t="shared" si="2"/>
        <v>_3.</v>
      </c>
      <c r="W11" s="229"/>
      <c r="X11" s="135" t="str">
        <f t="shared" si="13"/>
        <v/>
      </c>
      <c r="Y11" s="229"/>
      <c r="Z11" s="138" t="str">
        <f t="shared" si="11"/>
        <v/>
      </c>
      <c r="AA11" s="229"/>
      <c r="AB11" s="138" t="str">
        <f t="shared" si="12"/>
        <v/>
      </c>
      <c r="AC11" s="95">
        <f t="shared" si="3"/>
        <v>0</v>
      </c>
      <c r="AD11" s="135" t="str">
        <f t="shared" si="14"/>
        <v/>
      </c>
      <c r="AE11" s="229"/>
      <c r="AF11" s="83" t="str">
        <f>IFERROR(INDEX('Specified CCE Model Price List'!$A$3:$O$300,MATCH('Options_CCE Model Selection'!$AE11,'Specified CCE Model Price List'!$E$3:$E$300,0),MATCH('Options_CCE Model Selection'!AF$4,'Specified CCE Model Price List'!$A$3:$O$3,0)),"")</f>
        <v/>
      </c>
      <c r="AG11" s="143" t="str">
        <f>IFERROR(INDEX('Specified CCE Model Price List'!$A$3:$O$300,MATCH('Options_CCE Model Selection'!$AE11,'Specified CCE Model Price List'!$E$3:$E$300,0),MATCH('Options_CCE Model Selection'!AG$4,'Specified CCE Model Price List'!$A$3:$O$3,0)),"")</f>
        <v/>
      </c>
      <c r="AH11" s="143" t="str">
        <f>IF(ISERROR(IF(ISERROR(MATCH($A11,Reference_Dropdown1!$B$27:$B$39,0)),AG11+$H11,AG11)),"",IF(ISERROR(MATCH($A11,Reference_Dropdown1!$B$27:$B$39,0)),AG11+$H11,"N/A"))</f>
        <v/>
      </c>
      <c r="AI11" s="26"/>
      <c r="AJ11" s="136" t="str">
        <f t="shared" si="4"/>
        <v/>
      </c>
      <c r="AK11" s="26"/>
      <c r="AL11" s="136" t="str">
        <f t="shared" si="5"/>
        <v/>
      </c>
      <c r="AM11" s="26"/>
      <c r="AN11" s="136" t="str">
        <f t="shared" si="6"/>
        <v/>
      </c>
      <c r="AO11" s="83">
        <f t="shared" si="7"/>
        <v>0</v>
      </c>
      <c r="AP11" s="135" t="str">
        <f t="shared" si="15"/>
        <v/>
      </c>
    </row>
    <row r="12" spans="1:42" s="7" customFormat="1" ht="27" customHeight="1" x14ac:dyDescent="0.35">
      <c r="A12" s="27" t="s">
        <v>89</v>
      </c>
      <c r="B12" s="80"/>
      <c r="C12" s="26"/>
      <c r="D12" s="141" t="str">
        <f>IFERROR(INDEX('Specified CCE Model Price List'!$A$3:$O$300,MATCH('Options_CCE Model Selection'!$C12,'Specified CCE Model Price List'!$E$3:$E$300,0),MATCH('Options_CCE Model Selection'!D$4,'Specified CCE Model Price List'!$A$3:$O$3,0)),"")</f>
        <v/>
      </c>
      <c r="E12" s="142" t="str">
        <f>IFERROR(INDEX('Specified CCE Model Price List'!$A$3:$O$300,MATCH('Options_CCE Model Selection'!$C12,'Specified CCE Model Price List'!$E$3:$E$300,0),MATCH('Options_CCE Model Selection'!E$4,'Specified CCE Model Price List'!$A$3:$O$3,0)),"")</f>
        <v/>
      </c>
      <c r="F12" s="142" t="str">
        <f>IFERROR(INDEX('Specified CCE Model Price List'!$A$3:$O$300,MATCH('Options_CCE Model Selection'!$C12,'Specified CCE Model Price List'!$E$3:$E$300,0),MATCH('Options_CCE Model Selection'!F$4,'Specified CCE Model Price List'!$A$3:$O$3,0)),"")</f>
        <v/>
      </c>
      <c r="G12" s="143" t="str">
        <f>IFERROR(INDEX('Specified CCE Model Price List'!$A$3:$O$300,MATCH('Options_CCE Model Selection'!$C12,'Specified CCE Model Price List'!$E$3:$E$300,0),MATCH('Options_CCE Model Selection'!G$4,'Specified CCE Model Price List'!$A$3:$O$3,0)),"")</f>
        <v/>
      </c>
      <c r="H12" s="38"/>
      <c r="I12" s="50" t="str">
        <f>IF(ISERROR(IF(ISERROR(MATCH($A12,Reference_Dropdown1!$B$27:$B$39,0)),G12+$H12,G12)),"",IF(ISERROR(MATCH($A12,Reference_Dropdown1!$B$27:$B$39,0)),G12+$H12,"N/A"))</f>
        <v/>
      </c>
      <c r="J12" s="228"/>
      <c r="K12" s="82" t="str">
        <f t="shared" si="8"/>
        <v/>
      </c>
      <c r="L12" s="228"/>
      <c r="M12" s="82" t="str">
        <f t="shared" si="9"/>
        <v/>
      </c>
      <c r="N12" s="225"/>
      <c r="O12" s="199" t="str">
        <f t="shared" si="10"/>
        <v/>
      </c>
      <c r="P12" s="200">
        <f t="shared" si="0"/>
        <v>0</v>
      </c>
      <c r="Q12" s="316" t="str">
        <f t="shared" ref="Q12:Q38" si="16">IFERROR(IF(I12="N/A",G12*P12,I12*P12),"")</f>
        <v/>
      </c>
      <c r="R12" s="26"/>
      <c r="S12" s="141" t="str">
        <f>IFERROR(INDEX('Specified CCE Model Price List'!$A$3:$O$300,MATCH('Options_CCE Model Selection'!$R12,'Specified CCE Model Price List'!$E$3:$E$300,0),MATCH('Options_CCE Model Selection'!S$4,'Specified CCE Model Price List'!$A$3:$O$3,0)),"")</f>
        <v/>
      </c>
      <c r="T12" s="142" t="str">
        <f>IFERROR(INDEX('Specified CCE Model Price List'!$A$3:$O$300,MATCH('Options_CCE Model Selection'!$R12,'Specified CCE Model Price List'!$E$3:$E$300,0),MATCH('Options_CCE Model Selection'!T$4,'Specified CCE Model Price List'!$A$3:$O$3,0)),"")</f>
        <v/>
      </c>
      <c r="U12" s="143" t="str">
        <f>IF(ISERROR(IF(ISERROR(MATCH($A12,Reference_Dropdown1!$B$27:$B$39,0)),T12+$H12,T12)),"",IF(ISERROR(MATCH($A12,Reference_Dropdown1!$B$27:$B$39,0)),T12+$H12,"N/A"))</f>
        <v/>
      </c>
      <c r="V12" s="85" t="str">
        <f t="shared" si="2"/>
        <v>_3.</v>
      </c>
      <c r="W12" s="229"/>
      <c r="X12" s="135" t="str">
        <f t="shared" si="13"/>
        <v/>
      </c>
      <c r="Y12" s="229"/>
      <c r="Z12" s="138" t="str">
        <f t="shared" si="11"/>
        <v/>
      </c>
      <c r="AA12" s="229"/>
      <c r="AB12" s="138" t="str">
        <f t="shared" si="12"/>
        <v/>
      </c>
      <c r="AC12" s="95">
        <f t="shared" si="3"/>
        <v>0</v>
      </c>
      <c r="AD12" s="135" t="str">
        <f t="shared" si="14"/>
        <v/>
      </c>
      <c r="AE12" s="229"/>
      <c r="AF12" s="83" t="str">
        <f>IFERROR(INDEX('Specified CCE Model Price List'!$A$3:$O$300,MATCH('Options_CCE Model Selection'!$AE12,'Specified CCE Model Price List'!$E$3:$E$300,0),MATCH('Options_CCE Model Selection'!AF$4,'Specified CCE Model Price List'!$A$3:$O$3,0)),"")</f>
        <v/>
      </c>
      <c r="AG12" s="143" t="str">
        <f>IFERROR(INDEX('Specified CCE Model Price List'!$A$3:$O$300,MATCH('Options_CCE Model Selection'!$AE12,'Specified CCE Model Price List'!$E$3:$E$300,0),MATCH('Options_CCE Model Selection'!AG$4,'Specified CCE Model Price List'!$A$3:$O$3,0)),"")</f>
        <v/>
      </c>
      <c r="AH12" s="143" t="str">
        <f>IF(ISERROR(IF(ISERROR(MATCH($A12,Reference_Dropdown1!$B$27:$B$39,0)),AG12+$H12,AG12)),"",IF(ISERROR(MATCH($A12,Reference_Dropdown1!$B$27:$B$39,0)),AG12+$H12,"N/A"))</f>
        <v/>
      </c>
      <c r="AI12" s="26"/>
      <c r="AJ12" s="136" t="str">
        <f t="shared" si="4"/>
        <v/>
      </c>
      <c r="AK12" s="26"/>
      <c r="AL12" s="136" t="str">
        <f t="shared" si="5"/>
        <v/>
      </c>
      <c r="AM12" s="26"/>
      <c r="AN12" s="136" t="str">
        <f t="shared" si="6"/>
        <v/>
      </c>
      <c r="AO12" s="83">
        <f t="shared" si="7"/>
        <v>0</v>
      </c>
      <c r="AP12" s="135" t="str">
        <f t="shared" si="15"/>
        <v/>
      </c>
    </row>
    <row r="13" spans="1:42" s="7" customFormat="1" ht="27" customHeight="1" x14ac:dyDescent="0.35">
      <c r="A13" s="28" t="s">
        <v>90</v>
      </c>
      <c r="B13" s="80"/>
      <c r="C13" s="26"/>
      <c r="D13" s="141" t="str">
        <f>IFERROR(INDEX('Specified CCE Model Price List'!$A$3:$O$300,MATCH('Options_CCE Model Selection'!$C13,'Specified CCE Model Price List'!$E$3:$E$300,0),MATCH('Options_CCE Model Selection'!D$4,'Specified CCE Model Price List'!$A$3:$O$3,0)),"")</f>
        <v/>
      </c>
      <c r="E13" s="142" t="str">
        <f>IFERROR(INDEX('Specified CCE Model Price List'!$A$3:$O$300,MATCH('Options_CCE Model Selection'!$C13,'Specified CCE Model Price List'!$E$3:$E$300,0),MATCH('Options_CCE Model Selection'!E$4,'Specified CCE Model Price List'!$A$3:$O$3,0)),"")</f>
        <v/>
      </c>
      <c r="F13" s="142" t="str">
        <f>IFERROR(INDEX('Specified CCE Model Price List'!$A$3:$O$300,MATCH('Options_CCE Model Selection'!$C13,'Specified CCE Model Price List'!$E$3:$E$300,0),MATCH('Options_CCE Model Selection'!F$4,'Specified CCE Model Price List'!$A$3:$O$3,0)),"")</f>
        <v/>
      </c>
      <c r="G13" s="143" t="str">
        <f>IFERROR(INDEX('Specified CCE Model Price List'!$A$3:$O$300,MATCH('Options_CCE Model Selection'!$C13,'Specified CCE Model Price List'!$E$3:$E$300,0),MATCH('Options_CCE Model Selection'!G$4,'Specified CCE Model Price List'!$A$3:$O$3,0)),"")</f>
        <v/>
      </c>
      <c r="H13" s="38"/>
      <c r="I13" s="50" t="str">
        <f>IF(ISERROR(IF(ISERROR(MATCH($A13,Reference_Dropdown1!$B$27:$B$39,0)),G13+$H13,G13)),"",IF(ISERROR(MATCH($A13,Reference_Dropdown1!$B$27:$B$39,0)),G13+$H13,"N/A"))</f>
        <v/>
      </c>
      <c r="J13" s="228"/>
      <c r="K13" s="82" t="str">
        <f t="shared" si="8"/>
        <v/>
      </c>
      <c r="L13" s="228"/>
      <c r="M13" s="82" t="str">
        <f t="shared" si="9"/>
        <v/>
      </c>
      <c r="N13" s="225"/>
      <c r="O13" s="199" t="str">
        <f t="shared" si="10"/>
        <v/>
      </c>
      <c r="P13" s="200">
        <f t="shared" si="0"/>
        <v>0</v>
      </c>
      <c r="Q13" s="316" t="str">
        <f t="shared" si="16"/>
        <v/>
      </c>
      <c r="R13" s="26"/>
      <c r="S13" s="141" t="str">
        <f>IFERROR(INDEX('Specified CCE Model Price List'!$A$3:$O$300,MATCH('Options_CCE Model Selection'!$R13,'Specified CCE Model Price List'!$E$3:$E$300,0),MATCH('Options_CCE Model Selection'!S$4,'Specified CCE Model Price List'!$A$3:$O$3,0)),"")</f>
        <v/>
      </c>
      <c r="T13" s="142" t="str">
        <f>IFERROR(INDEX('Specified CCE Model Price List'!$A$3:$O$300,MATCH('Options_CCE Model Selection'!$R13,'Specified CCE Model Price List'!$E$3:$E$300,0),MATCH('Options_CCE Model Selection'!T$4,'Specified CCE Model Price List'!$A$3:$O$3,0)),"")</f>
        <v/>
      </c>
      <c r="U13" s="143" t="str">
        <f>IF(ISERROR(IF(ISERROR(MATCH($A13,Reference_Dropdown1!$B$27:$B$39,0)),T13+$H13,T13)),"",IF(ISERROR(MATCH($A13,Reference_Dropdown1!$B$27:$B$39,0)),T13+$H13,"N/A"))</f>
        <v/>
      </c>
      <c r="V13" s="85" t="str">
        <f t="shared" si="2"/>
        <v>_4.</v>
      </c>
      <c r="W13" s="229"/>
      <c r="X13" s="135" t="str">
        <f t="shared" si="13"/>
        <v/>
      </c>
      <c r="Y13" s="229"/>
      <c r="Z13" s="138" t="str">
        <f t="shared" si="11"/>
        <v/>
      </c>
      <c r="AA13" s="229"/>
      <c r="AB13" s="138" t="str">
        <f t="shared" si="12"/>
        <v/>
      </c>
      <c r="AC13" s="95">
        <f t="shared" si="3"/>
        <v>0</v>
      </c>
      <c r="AD13" s="135" t="str">
        <f t="shared" si="14"/>
        <v/>
      </c>
      <c r="AE13" s="229"/>
      <c r="AF13" s="83" t="str">
        <f>IFERROR(INDEX('Specified CCE Model Price List'!$A$3:$O$300,MATCH('Options_CCE Model Selection'!$AE13,'Specified CCE Model Price List'!$E$3:$E$300,0),MATCH('Options_CCE Model Selection'!AF$4,'Specified CCE Model Price List'!$A$3:$O$3,0)),"")</f>
        <v/>
      </c>
      <c r="AG13" s="143" t="str">
        <f>IFERROR(INDEX('Specified CCE Model Price List'!$A$3:$O$300,MATCH('Options_CCE Model Selection'!$AE13,'Specified CCE Model Price List'!$E$3:$E$300,0),MATCH('Options_CCE Model Selection'!AG$4,'Specified CCE Model Price List'!$A$3:$O$3,0)),"")</f>
        <v/>
      </c>
      <c r="AH13" s="143" t="str">
        <f>IF(ISERROR(IF(ISERROR(MATCH($A13,Reference_Dropdown1!$B$27:$B$39,0)),AG13+$H13,AG13)),"",IF(ISERROR(MATCH($A13,Reference_Dropdown1!$B$27:$B$39,0)),AG13+$H13,"N/A"))</f>
        <v/>
      </c>
      <c r="AI13" s="26"/>
      <c r="AJ13" s="136" t="str">
        <f t="shared" si="4"/>
        <v/>
      </c>
      <c r="AK13" s="26"/>
      <c r="AL13" s="136" t="str">
        <f t="shared" si="5"/>
        <v/>
      </c>
      <c r="AM13" s="26"/>
      <c r="AN13" s="136" t="str">
        <f t="shared" si="6"/>
        <v/>
      </c>
      <c r="AO13" s="83">
        <f t="shared" si="7"/>
        <v>0</v>
      </c>
      <c r="AP13" s="135" t="str">
        <f t="shared" si="15"/>
        <v/>
      </c>
    </row>
    <row r="14" spans="1:42" s="7" customFormat="1" ht="27" customHeight="1" x14ac:dyDescent="0.35">
      <c r="A14" s="28" t="s">
        <v>90</v>
      </c>
      <c r="B14" s="80"/>
      <c r="C14" s="26"/>
      <c r="D14" s="141" t="str">
        <f>IFERROR(INDEX('Specified CCE Model Price List'!$A$3:$O$300,MATCH('Options_CCE Model Selection'!$C14,'Specified CCE Model Price List'!$E$3:$E$300,0),MATCH('Options_CCE Model Selection'!D$4,'Specified CCE Model Price List'!$A$3:$O$3,0)),"")</f>
        <v/>
      </c>
      <c r="E14" s="142" t="str">
        <f>IFERROR(INDEX('Specified CCE Model Price List'!$A$3:$O$300,MATCH('Options_CCE Model Selection'!$C14,'Specified CCE Model Price List'!$E$3:$E$300,0),MATCH('Options_CCE Model Selection'!E$4,'Specified CCE Model Price List'!$A$3:$O$3,0)),"")</f>
        <v/>
      </c>
      <c r="F14" s="142" t="str">
        <f>IFERROR(INDEX('Specified CCE Model Price List'!$A$3:$O$300,MATCH('Options_CCE Model Selection'!$C14,'Specified CCE Model Price List'!$E$3:$E$300,0),MATCH('Options_CCE Model Selection'!F$4,'Specified CCE Model Price List'!$A$3:$O$3,0)),"")</f>
        <v/>
      </c>
      <c r="G14" s="143" t="str">
        <f>IFERROR(INDEX('Specified CCE Model Price List'!$A$3:$O$300,MATCH('Options_CCE Model Selection'!$C14,'Specified CCE Model Price List'!$E$3:$E$300,0),MATCH('Options_CCE Model Selection'!G$4,'Specified CCE Model Price List'!$A$3:$O$3,0)),"")</f>
        <v/>
      </c>
      <c r="H14" s="38"/>
      <c r="I14" s="50" t="str">
        <f>IF(ISERROR(IF(ISERROR(MATCH($A14,Reference_Dropdown1!$B$27:$B$39,0)),G14+$H14,G14)),"",IF(ISERROR(MATCH($A14,Reference_Dropdown1!$B$27:$B$39,0)),G14+$H14,"N/A"))</f>
        <v/>
      </c>
      <c r="J14" s="228"/>
      <c r="K14" s="82" t="str">
        <f t="shared" si="8"/>
        <v/>
      </c>
      <c r="L14" s="228"/>
      <c r="M14" s="82" t="str">
        <f t="shared" si="9"/>
        <v/>
      </c>
      <c r="N14" s="225"/>
      <c r="O14" s="199" t="str">
        <f t="shared" si="10"/>
        <v/>
      </c>
      <c r="P14" s="200">
        <f t="shared" si="0"/>
        <v>0</v>
      </c>
      <c r="Q14" s="316" t="str">
        <f t="shared" si="16"/>
        <v/>
      </c>
      <c r="R14" s="26"/>
      <c r="S14" s="141" t="str">
        <f>IFERROR(INDEX('Specified CCE Model Price List'!$A$3:$O$300,MATCH('Options_CCE Model Selection'!$R14,'Specified CCE Model Price List'!$E$3:$E$300,0),MATCH('Options_CCE Model Selection'!S$4,'Specified CCE Model Price List'!$A$3:$O$3,0)),"")</f>
        <v/>
      </c>
      <c r="T14" s="142" t="str">
        <f>IFERROR(INDEX('Specified CCE Model Price List'!$A$3:$O$300,MATCH('Options_CCE Model Selection'!$R14,'Specified CCE Model Price List'!$E$3:$E$300,0),MATCH('Options_CCE Model Selection'!T$4,'Specified CCE Model Price List'!$A$3:$O$3,0)),"")</f>
        <v/>
      </c>
      <c r="U14" s="143" t="str">
        <f>IF(ISERROR(IF(ISERROR(MATCH($A14,Reference_Dropdown1!$B$27:$B$39,0)),T14+$H14,T14)),"",IF(ISERROR(MATCH($A14,Reference_Dropdown1!$B$27:$B$39,0)),T14+$H14,"N/A"))</f>
        <v/>
      </c>
      <c r="V14" s="85" t="str">
        <f t="shared" si="2"/>
        <v>_4.</v>
      </c>
      <c r="W14" s="229"/>
      <c r="X14" s="135" t="str">
        <f t="shared" si="13"/>
        <v/>
      </c>
      <c r="Y14" s="229"/>
      <c r="Z14" s="138" t="str">
        <f t="shared" si="11"/>
        <v/>
      </c>
      <c r="AA14" s="229"/>
      <c r="AB14" s="138" t="str">
        <f t="shared" si="12"/>
        <v/>
      </c>
      <c r="AC14" s="95">
        <f t="shared" si="3"/>
        <v>0</v>
      </c>
      <c r="AD14" s="135" t="str">
        <f t="shared" si="14"/>
        <v/>
      </c>
      <c r="AE14" s="229"/>
      <c r="AF14" s="83" t="str">
        <f>IFERROR(INDEX('Specified CCE Model Price List'!$A$3:$O$300,MATCH('Options_CCE Model Selection'!$AE14,'Specified CCE Model Price List'!$E$3:$E$300,0),MATCH('Options_CCE Model Selection'!AF$4,'Specified CCE Model Price List'!$A$3:$O$3,0)),"")</f>
        <v/>
      </c>
      <c r="AG14" s="143" t="str">
        <f>IFERROR(INDEX('Specified CCE Model Price List'!$A$3:$O$300,MATCH('Options_CCE Model Selection'!$AE14,'Specified CCE Model Price List'!$E$3:$E$300,0),MATCH('Options_CCE Model Selection'!AG$4,'Specified CCE Model Price List'!$A$3:$O$3,0)),"")</f>
        <v/>
      </c>
      <c r="AH14" s="143" t="str">
        <f>IF(ISERROR(IF(ISERROR(MATCH($A14,Reference_Dropdown1!$B$27:$B$39,0)),AG14+$H14,AG14)),"",IF(ISERROR(MATCH($A14,Reference_Dropdown1!$B$27:$B$39,0)),AG14+$H14,"N/A"))</f>
        <v/>
      </c>
      <c r="AI14" s="26"/>
      <c r="AJ14" s="136" t="str">
        <f t="shared" si="4"/>
        <v/>
      </c>
      <c r="AK14" s="26"/>
      <c r="AL14" s="136" t="str">
        <f t="shared" si="5"/>
        <v/>
      </c>
      <c r="AM14" s="26"/>
      <c r="AN14" s="136" t="str">
        <f t="shared" si="6"/>
        <v/>
      </c>
      <c r="AO14" s="83">
        <f t="shared" si="7"/>
        <v>0</v>
      </c>
      <c r="AP14" s="135" t="str">
        <f t="shared" si="15"/>
        <v/>
      </c>
    </row>
    <row r="15" spans="1:42" s="7" customFormat="1" ht="27" customHeight="1" x14ac:dyDescent="0.35">
      <c r="A15" s="28" t="s">
        <v>90</v>
      </c>
      <c r="B15" s="80"/>
      <c r="C15" s="26"/>
      <c r="D15" s="141" t="str">
        <f>IFERROR(INDEX('Specified CCE Model Price List'!$A$3:$O$300,MATCH('Options_CCE Model Selection'!$C15,'Specified CCE Model Price List'!$E$3:$E$300,0),MATCH('Options_CCE Model Selection'!D$4,'Specified CCE Model Price List'!$A$3:$O$3,0)),"")</f>
        <v/>
      </c>
      <c r="E15" s="142" t="str">
        <f>IFERROR(INDEX('Specified CCE Model Price List'!$A$3:$O$300,MATCH('Options_CCE Model Selection'!$C15,'Specified CCE Model Price List'!$E$3:$E$300,0),MATCH('Options_CCE Model Selection'!E$4,'Specified CCE Model Price List'!$A$3:$O$3,0)),"")</f>
        <v/>
      </c>
      <c r="F15" s="142" t="str">
        <f>IFERROR(INDEX('Specified CCE Model Price List'!$A$3:$O$300,MATCH('Options_CCE Model Selection'!$C15,'Specified CCE Model Price List'!$E$3:$E$300,0),MATCH('Options_CCE Model Selection'!F$4,'Specified CCE Model Price List'!$A$3:$O$3,0)),"")</f>
        <v/>
      </c>
      <c r="G15" s="143" t="str">
        <f>IFERROR(INDEX('Specified CCE Model Price List'!$A$3:$O$300,MATCH('Options_CCE Model Selection'!$C15,'Specified CCE Model Price List'!$E$3:$E$300,0),MATCH('Options_CCE Model Selection'!G$4,'Specified CCE Model Price List'!$A$3:$O$3,0)),"")</f>
        <v/>
      </c>
      <c r="H15" s="38"/>
      <c r="I15" s="50" t="str">
        <f>IF(ISERROR(IF(ISERROR(MATCH($A15,Reference_Dropdown1!$B$27:$B$39,0)),G15+$H15,G15)),"",IF(ISERROR(MATCH($A15,Reference_Dropdown1!$B$27:$B$39,0)),G15+$H15,"N/A"))</f>
        <v/>
      </c>
      <c r="J15" s="228"/>
      <c r="K15" s="82" t="str">
        <f t="shared" si="8"/>
        <v/>
      </c>
      <c r="L15" s="228"/>
      <c r="M15" s="82" t="str">
        <f t="shared" si="9"/>
        <v/>
      </c>
      <c r="N15" s="225"/>
      <c r="O15" s="199" t="str">
        <f t="shared" si="10"/>
        <v/>
      </c>
      <c r="P15" s="200">
        <f t="shared" si="0"/>
        <v>0</v>
      </c>
      <c r="Q15" s="316" t="str">
        <f t="shared" si="16"/>
        <v/>
      </c>
      <c r="R15" s="26"/>
      <c r="S15" s="141" t="str">
        <f>IFERROR(INDEX('Specified CCE Model Price List'!$A$3:$O$300,MATCH('Options_CCE Model Selection'!$R15,'Specified CCE Model Price List'!$E$3:$E$300,0),MATCH('Options_CCE Model Selection'!S$4,'Specified CCE Model Price List'!$A$3:$O$3,0)),"")</f>
        <v/>
      </c>
      <c r="T15" s="142" t="str">
        <f>IFERROR(INDEX('Specified CCE Model Price List'!$A$3:$O$300,MATCH('Options_CCE Model Selection'!$R15,'Specified CCE Model Price List'!$E$3:$E$300,0),MATCH('Options_CCE Model Selection'!T$4,'Specified CCE Model Price List'!$A$3:$O$3,0)),"")</f>
        <v/>
      </c>
      <c r="U15" s="143" t="str">
        <f>IF(ISERROR(IF(ISERROR(MATCH($A15,Reference_Dropdown1!$B$27:$B$39,0)),T15+$H15,T15)),"",IF(ISERROR(MATCH($A15,Reference_Dropdown1!$B$27:$B$39,0)),T15+$H15,"N/A"))</f>
        <v/>
      </c>
      <c r="V15" s="85" t="str">
        <f t="shared" si="2"/>
        <v>_4.</v>
      </c>
      <c r="W15" s="229"/>
      <c r="X15" s="135" t="str">
        <f t="shared" si="13"/>
        <v/>
      </c>
      <c r="Y15" s="229"/>
      <c r="Z15" s="138" t="str">
        <f t="shared" si="11"/>
        <v/>
      </c>
      <c r="AA15" s="229"/>
      <c r="AB15" s="138" t="str">
        <f t="shared" si="12"/>
        <v/>
      </c>
      <c r="AC15" s="95">
        <f t="shared" si="3"/>
        <v>0</v>
      </c>
      <c r="AD15" s="135" t="str">
        <f t="shared" si="14"/>
        <v/>
      </c>
      <c r="AE15" s="229"/>
      <c r="AF15" s="83" t="str">
        <f>IFERROR(INDEX('Specified CCE Model Price List'!$A$3:$O$300,MATCH('Options_CCE Model Selection'!$AE15,'Specified CCE Model Price List'!$E$3:$E$300,0),MATCH('Options_CCE Model Selection'!AF$4,'Specified CCE Model Price List'!$A$3:$O$3,0)),"")</f>
        <v/>
      </c>
      <c r="AG15" s="143" t="str">
        <f>IFERROR(INDEX('Specified CCE Model Price List'!$A$3:$O$300,MATCH('Options_CCE Model Selection'!$AE15,'Specified CCE Model Price List'!$E$3:$E$300,0),MATCH('Options_CCE Model Selection'!AG$4,'Specified CCE Model Price List'!$A$3:$O$3,0)),"")</f>
        <v/>
      </c>
      <c r="AH15" s="143" t="str">
        <f>IF(ISERROR(IF(ISERROR(MATCH($A15,Reference_Dropdown1!$B$27:$B$39,0)),AG15+$H15,AG15)),"",IF(ISERROR(MATCH($A15,Reference_Dropdown1!$B$27:$B$39,0)),AG15+$H15,"N/A"))</f>
        <v/>
      </c>
      <c r="AI15" s="26"/>
      <c r="AJ15" s="136" t="str">
        <f t="shared" si="4"/>
        <v/>
      </c>
      <c r="AK15" s="26"/>
      <c r="AL15" s="136" t="str">
        <f t="shared" si="5"/>
        <v/>
      </c>
      <c r="AM15" s="26"/>
      <c r="AN15" s="136" t="str">
        <f t="shared" si="6"/>
        <v/>
      </c>
      <c r="AO15" s="83">
        <f t="shared" si="7"/>
        <v>0</v>
      </c>
      <c r="AP15" s="135" t="str">
        <f t="shared" si="15"/>
        <v/>
      </c>
    </row>
    <row r="16" spans="1:42" s="7" customFormat="1" ht="27" customHeight="1" x14ac:dyDescent="0.35">
      <c r="A16" s="29" t="s">
        <v>91</v>
      </c>
      <c r="B16" s="80"/>
      <c r="C16" s="26"/>
      <c r="D16" s="141" t="str">
        <f>IFERROR(INDEX('Specified CCE Model Price List'!$A$3:$O$300,MATCH('Options_CCE Model Selection'!$C16,'Specified CCE Model Price List'!$E$3:$E$300,0),MATCH('Options_CCE Model Selection'!D$4,'Specified CCE Model Price List'!$A$3:$O$3,0)),"")</f>
        <v/>
      </c>
      <c r="E16" s="142" t="str">
        <f>IFERROR(INDEX('Specified CCE Model Price List'!$A$3:$O$300,MATCH('Options_CCE Model Selection'!$C16,'Specified CCE Model Price List'!$E$3:$E$300,0),MATCH('Options_CCE Model Selection'!E$4,'Specified CCE Model Price List'!$A$3:$O$3,0)),"")</f>
        <v/>
      </c>
      <c r="F16" s="142" t="str">
        <f>IFERROR(INDEX('Specified CCE Model Price List'!$A$3:$O$300,MATCH('Options_CCE Model Selection'!$C16,'Specified CCE Model Price List'!$E$3:$E$300,0),MATCH('Options_CCE Model Selection'!F$4,'Specified CCE Model Price List'!$A$3:$O$3,0)),"")</f>
        <v/>
      </c>
      <c r="G16" s="143" t="str">
        <f>IFERROR(INDEX('Specified CCE Model Price List'!$A$3:$O$300,MATCH('Options_CCE Model Selection'!$C16,'Specified CCE Model Price List'!$E$3:$E$300,0),MATCH('Options_CCE Model Selection'!G$4,'Specified CCE Model Price List'!$A$3:$O$3,0)),"")</f>
        <v/>
      </c>
      <c r="H16" s="38"/>
      <c r="I16" s="50" t="str">
        <f>IF(ISERROR(IF(ISERROR(MATCH($A16,Reference_Dropdown1!$B$27:$B$39,0)),G16+$H16,G16)),"",IF(ISERROR(MATCH($A16,Reference_Dropdown1!$B$27:$B$39,0)),G16+$H16,"N/A"))</f>
        <v/>
      </c>
      <c r="J16" s="228"/>
      <c r="K16" s="82" t="str">
        <f t="shared" si="8"/>
        <v/>
      </c>
      <c r="L16" s="228"/>
      <c r="M16" s="82" t="str">
        <f t="shared" si="9"/>
        <v/>
      </c>
      <c r="N16" s="225"/>
      <c r="O16" s="199" t="str">
        <f t="shared" si="10"/>
        <v/>
      </c>
      <c r="P16" s="200">
        <f t="shared" si="0"/>
        <v>0</v>
      </c>
      <c r="Q16" s="316" t="str">
        <f t="shared" si="16"/>
        <v/>
      </c>
      <c r="R16" s="26"/>
      <c r="S16" s="141" t="str">
        <f>IFERROR(INDEX('Specified CCE Model Price List'!$A$3:$O$300,MATCH('Options_CCE Model Selection'!$R16,'Specified CCE Model Price List'!$E$3:$E$300,0),MATCH('Options_CCE Model Selection'!S$4,'Specified CCE Model Price List'!$A$3:$O$3,0)),"")</f>
        <v/>
      </c>
      <c r="T16" s="142" t="str">
        <f>IFERROR(INDEX('Specified CCE Model Price List'!$A$3:$O$300,MATCH('Options_CCE Model Selection'!$R16,'Specified CCE Model Price List'!$E$3:$E$300,0),MATCH('Options_CCE Model Selection'!T$4,'Specified CCE Model Price List'!$A$3:$O$3,0)),"")</f>
        <v/>
      </c>
      <c r="U16" s="143" t="str">
        <f>IF(ISERROR(IF(ISERROR(MATCH($A16,Reference_Dropdown1!$B$27:$B$39,0)),T16+$H16,T16)),"",IF(ISERROR(MATCH($A16,Reference_Dropdown1!$B$27:$B$39,0)),T16+$H16,"N/A"))</f>
        <v/>
      </c>
      <c r="V16" s="85" t="str">
        <f t="shared" si="2"/>
        <v>_5.</v>
      </c>
      <c r="W16" s="229"/>
      <c r="X16" s="135" t="str">
        <f t="shared" si="13"/>
        <v/>
      </c>
      <c r="Y16" s="229"/>
      <c r="Z16" s="138" t="str">
        <f t="shared" si="11"/>
        <v/>
      </c>
      <c r="AA16" s="229"/>
      <c r="AB16" s="138" t="str">
        <f t="shared" si="12"/>
        <v/>
      </c>
      <c r="AC16" s="95">
        <f t="shared" si="3"/>
        <v>0</v>
      </c>
      <c r="AD16" s="135" t="str">
        <f t="shared" si="14"/>
        <v/>
      </c>
      <c r="AE16" s="229"/>
      <c r="AF16" s="83" t="str">
        <f>IFERROR(INDEX('Specified CCE Model Price List'!$A$3:$O$300,MATCH('Options_CCE Model Selection'!$AE16,'Specified CCE Model Price List'!$E$3:$E$300,0),MATCH('Options_CCE Model Selection'!AF$4,'Specified CCE Model Price List'!$A$3:$O$3,0)),"")</f>
        <v/>
      </c>
      <c r="AG16" s="143" t="str">
        <f>IFERROR(INDEX('Specified CCE Model Price List'!$A$3:$O$300,MATCH('Options_CCE Model Selection'!$AE16,'Specified CCE Model Price List'!$E$3:$E$300,0),MATCH('Options_CCE Model Selection'!AG$4,'Specified CCE Model Price List'!$A$3:$O$3,0)),"")</f>
        <v/>
      </c>
      <c r="AH16" s="143" t="str">
        <f>IF(ISERROR(IF(ISERROR(MATCH($A16,Reference_Dropdown1!$B$27:$B$39,0)),AG16+$H16,AG16)),"",IF(ISERROR(MATCH($A16,Reference_Dropdown1!$B$27:$B$39,0)),AG16+$H16,"N/A"))</f>
        <v/>
      </c>
      <c r="AI16" s="26"/>
      <c r="AJ16" s="136" t="str">
        <f t="shared" si="4"/>
        <v/>
      </c>
      <c r="AK16" s="26"/>
      <c r="AL16" s="136" t="str">
        <f t="shared" si="5"/>
        <v/>
      </c>
      <c r="AM16" s="26"/>
      <c r="AN16" s="136" t="str">
        <f t="shared" si="6"/>
        <v/>
      </c>
      <c r="AO16" s="83">
        <f t="shared" si="7"/>
        <v>0</v>
      </c>
      <c r="AP16" s="135" t="str">
        <f t="shared" si="15"/>
        <v/>
      </c>
    </row>
    <row r="17" spans="1:42" s="7" customFormat="1" ht="27" customHeight="1" x14ac:dyDescent="0.35">
      <c r="A17" s="30" t="s">
        <v>91</v>
      </c>
      <c r="B17" s="80"/>
      <c r="C17" s="26"/>
      <c r="D17" s="141" t="str">
        <f>IFERROR(INDEX('Specified CCE Model Price List'!$A$3:$O$300,MATCH('Options_CCE Model Selection'!$C17,'Specified CCE Model Price List'!$E$3:$E$300,0),MATCH('Options_CCE Model Selection'!D$4,'Specified CCE Model Price List'!$A$3:$O$3,0)),"")</f>
        <v/>
      </c>
      <c r="E17" s="142" t="str">
        <f>IFERROR(INDEX('Specified CCE Model Price List'!$A$3:$O$300,MATCH('Options_CCE Model Selection'!$C17,'Specified CCE Model Price List'!$E$3:$E$300,0),MATCH('Options_CCE Model Selection'!E$4,'Specified CCE Model Price List'!$A$3:$O$3,0)),"")</f>
        <v/>
      </c>
      <c r="F17" s="142" t="str">
        <f>IFERROR(INDEX('Specified CCE Model Price List'!$A$3:$O$300,MATCH('Options_CCE Model Selection'!$C17,'Specified CCE Model Price List'!$E$3:$E$300,0),MATCH('Options_CCE Model Selection'!F$4,'Specified CCE Model Price List'!$A$3:$O$3,0)),"")</f>
        <v/>
      </c>
      <c r="G17" s="143" t="str">
        <f>IFERROR(INDEX('Specified CCE Model Price List'!$A$3:$O$300,MATCH('Options_CCE Model Selection'!$C17,'Specified CCE Model Price List'!$E$3:$E$300,0),MATCH('Options_CCE Model Selection'!G$4,'Specified CCE Model Price List'!$A$3:$O$3,0)),"")</f>
        <v/>
      </c>
      <c r="H17" s="38"/>
      <c r="I17" s="50" t="str">
        <f>IF(ISERROR(IF(ISERROR(MATCH($A17,Reference_Dropdown1!$B$27:$B$39,0)),G17+$H17,G17)),"",IF(ISERROR(MATCH($A17,Reference_Dropdown1!$B$27:$B$39,0)),G17+$H17,"N/A"))</f>
        <v/>
      </c>
      <c r="J17" s="228"/>
      <c r="K17" s="82" t="str">
        <f t="shared" si="8"/>
        <v/>
      </c>
      <c r="L17" s="228"/>
      <c r="M17" s="82" t="str">
        <f t="shared" si="9"/>
        <v/>
      </c>
      <c r="N17" s="225"/>
      <c r="O17" s="199" t="str">
        <f t="shared" si="10"/>
        <v/>
      </c>
      <c r="P17" s="200">
        <f t="shared" si="0"/>
        <v>0</v>
      </c>
      <c r="Q17" s="316" t="str">
        <f t="shared" si="16"/>
        <v/>
      </c>
      <c r="R17" s="26"/>
      <c r="S17" s="141" t="str">
        <f>IFERROR(INDEX('Specified CCE Model Price List'!$A$3:$O$300,MATCH('Options_CCE Model Selection'!$R17,'Specified CCE Model Price List'!$E$3:$E$300,0),MATCH('Options_CCE Model Selection'!S$4,'Specified CCE Model Price List'!$A$3:$O$3,0)),"")</f>
        <v/>
      </c>
      <c r="T17" s="142" t="str">
        <f>IFERROR(INDEX('Specified CCE Model Price List'!$A$3:$O$300,MATCH('Options_CCE Model Selection'!$R17,'Specified CCE Model Price List'!$E$3:$E$300,0),MATCH('Options_CCE Model Selection'!T$4,'Specified CCE Model Price List'!$A$3:$O$3,0)),"")</f>
        <v/>
      </c>
      <c r="U17" s="143" t="str">
        <f>IF(ISERROR(IF(ISERROR(MATCH($A17,Reference_Dropdown1!$B$27:$B$39,0)),T17+$H17,T17)),"",IF(ISERROR(MATCH($A17,Reference_Dropdown1!$B$27:$B$39,0)),T17+$H17,"N/A"))</f>
        <v/>
      </c>
      <c r="V17" s="85" t="str">
        <f t="shared" si="2"/>
        <v>_5.</v>
      </c>
      <c r="W17" s="229"/>
      <c r="X17" s="135" t="str">
        <f t="shared" si="13"/>
        <v/>
      </c>
      <c r="Y17" s="229"/>
      <c r="Z17" s="138" t="str">
        <f t="shared" si="11"/>
        <v/>
      </c>
      <c r="AA17" s="229"/>
      <c r="AB17" s="138" t="str">
        <f t="shared" si="12"/>
        <v/>
      </c>
      <c r="AC17" s="95">
        <f t="shared" si="3"/>
        <v>0</v>
      </c>
      <c r="AD17" s="135" t="str">
        <f t="shared" si="14"/>
        <v/>
      </c>
      <c r="AE17" s="229"/>
      <c r="AF17" s="83" t="str">
        <f>IFERROR(INDEX('Specified CCE Model Price List'!$A$3:$O$300,MATCH('Options_CCE Model Selection'!$AE17,'Specified CCE Model Price List'!$E$3:$E$300,0),MATCH('Options_CCE Model Selection'!AF$4,'Specified CCE Model Price List'!$A$3:$O$3,0)),"")</f>
        <v/>
      </c>
      <c r="AG17" s="143" t="str">
        <f>IFERROR(INDEX('Specified CCE Model Price List'!$A$3:$O$300,MATCH('Options_CCE Model Selection'!$AE17,'Specified CCE Model Price List'!$E$3:$E$300,0),MATCH('Options_CCE Model Selection'!AG$4,'Specified CCE Model Price List'!$A$3:$O$3,0)),"")</f>
        <v/>
      </c>
      <c r="AH17" s="143" t="str">
        <f>IF(ISERROR(IF(ISERROR(MATCH($A17,Reference_Dropdown1!$B$27:$B$39,0)),AG17+$H17,AG17)),"",IF(ISERROR(MATCH($A17,Reference_Dropdown1!$B$27:$B$39,0)),AG17+$H17,"N/A"))</f>
        <v/>
      </c>
      <c r="AI17" s="26"/>
      <c r="AJ17" s="136" t="str">
        <f t="shared" si="4"/>
        <v/>
      </c>
      <c r="AK17" s="26"/>
      <c r="AL17" s="136" t="str">
        <f t="shared" si="5"/>
        <v/>
      </c>
      <c r="AM17" s="26"/>
      <c r="AN17" s="136" t="str">
        <f t="shared" si="6"/>
        <v/>
      </c>
      <c r="AO17" s="83">
        <f t="shared" si="7"/>
        <v>0</v>
      </c>
      <c r="AP17" s="135" t="str">
        <f t="shared" si="15"/>
        <v/>
      </c>
    </row>
    <row r="18" spans="1:42" s="7" customFormat="1" ht="27" customHeight="1" x14ac:dyDescent="0.35">
      <c r="A18" s="30" t="s">
        <v>91</v>
      </c>
      <c r="B18" s="80"/>
      <c r="C18" s="26"/>
      <c r="D18" s="141" t="str">
        <f>IFERROR(INDEX('Specified CCE Model Price List'!$A$3:$O$300,MATCH('Options_CCE Model Selection'!$C18,'Specified CCE Model Price List'!$E$3:$E$300,0),MATCH('Options_CCE Model Selection'!D$4,'Specified CCE Model Price List'!$A$3:$O$3,0)),"")</f>
        <v/>
      </c>
      <c r="E18" s="142" t="str">
        <f>IFERROR(INDEX('Specified CCE Model Price List'!$A$3:$O$300,MATCH('Options_CCE Model Selection'!$C18,'Specified CCE Model Price List'!$E$3:$E$300,0),MATCH('Options_CCE Model Selection'!E$4,'Specified CCE Model Price List'!$A$3:$O$3,0)),"")</f>
        <v/>
      </c>
      <c r="F18" s="142" t="str">
        <f>IFERROR(INDEX('Specified CCE Model Price List'!$A$3:$O$300,MATCH('Options_CCE Model Selection'!$C18,'Specified CCE Model Price List'!$E$3:$E$300,0),MATCH('Options_CCE Model Selection'!F$4,'Specified CCE Model Price List'!$A$3:$O$3,0)),"")</f>
        <v/>
      </c>
      <c r="G18" s="143" t="str">
        <f>IFERROR(INDEX('Specified CCE Model Price List'!$A$3:$O$300,MATCH('Options_CCE Model Selection'!$C18,'Specified CCE Model Price List'!$E$3:$E$300,0),MATCH('Options_CCE Model Selection'!G$4,'Specified CCE Model Price List'!$A$3:$O$3,0)),"")</f>
        <v/>
      </c>
      <c r="H18" s="38"/>
      <c r="I18" s="50" t="str">
        <f>IF(ISERROR(IF(ISERROR(MATCH($A18,Reference_Dropdown1!$B$27:$B$39,0)),G18+$H18,G18)),"",IF(ISERROR(MATCH($A18,Reference_Dropdown1!$B$27:$B$39,0)),G18+$H18,"N/A"))</f>
        <v/>
      </c>
      <c r="J18" s="228"/>
      <c r="K18" s="82" t="str">
        <f t="shared" si="8"/>
        <v/>
      </c>
      <c r="L18" s="228"/>
      <c r="M18" s="82" t="str">
        <f t="shared" si="9"/>
        <v/>
      </c>
      <c r="N18" s="225"/>
      <c r="O18" s="199" t="str">
        <f t="shared" si="10"/>
        <v/>
      </c>
      <c r="P18" s="200">
        <f t="shared" si="0"/>
        <v>0</v>
      </c>
      <c r="Q18" s="316" t="str">
        <f t="shared" si="16"/>
        <v/>
      </c>
      <c r="R18" s="26"/>
      <c r="S18" s="141" t="str">
        <f>IFERROR(INDEX('Specified CCE Model Price List'!$A$3:$O$300,MATCH('Options_CCE Model Selection'!$R18,'Specified CCE Model Price List'!$E$3:$E$300,0),MATCH('Options_CCE Model Selection'!S$4,'Specified CCE Model Price List'!$A$3:$O$3,0)),"")</f>
        <v/>
      </c>
      <c r="T18" s="142" t="str">
        <f>IFERROR(INDEX('Specified CCE Model Price List'!$A$3:$O$300,MATCH('Options_CCE Model Selection'!$R18,'Specified CCE Model Price List'!$E$3:$E$300,0),MATCH('Options_CCE Model Selection'!T$4,'Specified CCE Model Price List'!$A$3:$O$3,0)),"")</f>
        <v/>
      </c>
      <c r="U18" s="143" t="str">
        <f>IF(ISERROR(IF(ISERROR(MATCH($A18,Reference_Dropdown1!$B$27:$B$39,0)),T18+$H18,T18)),"",IF(ISERROR(MATCH($A18,Reference_Dropdown1!$B$27:$B$39,0)),T18+$H18,"N/A"))</f>
        <v/>
      </c>
      <c r="V18" s="85" t="str">
        <f t="shared" si="2"/>
        <v>_5.</v>
      </c>
      <c r="W18" s="229"/>
      <c r="X18" s="135" t="str">
        <f t="shared" si="13"/>
        <v/>
      </c>
      <c r="Y18" s="229"/>
      <c r="Z18" s="138" t="str">
        <f t="shared" si="11"/>
        <v/>
      </c>
      <c r="AA18" s="229"/>
      <c r="AB18" s="138" t="str">
        <f t="shared" si="12"/>
        <v/>
      </c>
      <c r="AC18" s="95">
        <f t="shared" si="3"/>
        <v>0</v>
      </c>
      <c r="AD18" s="135" t="str">
        <f t="shared" si="14"/>
        <v/>
      </c>
      <c r="AE18" s="229"/>
      <c r="AF18" s="83" t="str">
        <f>IFERROR(INDEX('Specified CCE Model Price List'!$A$3:$O$300,MATCH('Options_CCE Model Selection'!$AE18,'Specified CCE Model Price List'!$E$3:$E$300,0),MATCH('Options_CCE Model Selection'!AF$4,'Specified CCE Model Price List'!$A$3:$O$3,0)),"")</f>
        <v/>
      </c>
      <c r="AG18" s="143" t="str">
        <f>IFERROR(INDEX('Specified CCE Model Price List'!$A$3:$O$300,MATCH('Options_CCE Model Selection'!$AE18,'Specified CCE Model Price List'!$E$3:$E$300,0),MATCH('Options_CCE Model Selection'!AG$4,'Specified CCE Model Price List'!$A$3:$O$3,0)),"")</f>
        <v/>
      </c>
      <c r="AH18" s="143" t="str">
        <f>IF(ISERROR(IF(ISERROR(MATCH($A18,Reference_Dropdown1!$B$27:$B$39,0)),AG18+$H18,AG18)),"",IF(ISERROR(MATCH($A18,Reference_Dropdown1!$B$27:$B$39,0)),AG18+$H18,"N/A"))</f>
        <v/>
      </c>
      <c r="AI18" s="26"/>
      <c r="AJ18" s="136" t="str">
        <f t="shared" si="4"/>
        <v/>
      </c>
      <c r="AK18" s="26"/>
      <c r="AL18" s="136" t="str">
        <f t="shared" si="5"/>
        <v/>
      </c>
      <c r="AM18" s="26"/>
      <c r="AN18" s="136" t="str">
        <f t="shared" si="6"/>
        <v/>
      </c>
      <c r="AO18" s="83">
        <f t="shared" si="7"/>
        <v>0</v>
      </c>
      <c r="AP18" s="135" t="str">
        <f t="shared" si="15"/>
        <v/>
      </c>
    </row>
    <row r="19" spans="1:42" s="7" customFormat="1" ht="27" customHeight="1" x14ac:dyDescent="0.35">
      <c r="A19" s="30" t="s">
        <v>92</v>
      </c>
      <c r="B19" s="80"/>
      <c r="C19" s="26"/>
      <c r="D19" s="141" t="str">
        <f>IFERROR(INDEX('Specified CCE Model Price List'!$A$3:$O$300,MATCH('Options_CCE Model Selection'!$C19,'Specified CCE Model Price List'!$E$3:$E$300,0),MATCH('Options_CCE Model Selection'!D$4,'Specified CCE Model Price List'!$A$3:$O$3,0)),"")</f>
        <v/>
      </c>
      <c r="E19" s="142" t="str">
        <f>IFERROR(INDEX('Specified CCE Model Price List'!$A$3:$O$300,MATCH('Options_CCE Model Selection'!$C19,'Specified CCE Model Price List'!$E$3:$E$300,0),MATCH('Options_CCE Model Selection'!E$4,'Specified CCE Model Price List'!$A$3:$O$3,0)),"")</f>
        <v/>
      </c>
      <c r="F19" s="142" t="str">
        <f>IFERROR(INDEX('Specified CCE Model Price List'!$A$3:$O$300,MATCH('Options_CCE Model Selection'!$C19,'Specified CCE Model Price List'!$E$3:$E$300,0),MATCH('Options_CCE Model Selection'!F$4,'Specified CCE Model Price List'!$A$3:$O$3,0)),"")</f>
        <v/>
      </c>
      <c r="G19" s="143" t="str">
        <f>IFERROR(INDEX('Specified CCE Model Price List'!$A$3:$O$300,MATCH('Options_CCE Model Selection'!$C19,'Specified CCE Model Price List'!$E$3:$E$300,0),MATCH('Options_CCE Model Selection'!G$4,'Specified CCE Model Price List'!$A$3:$O$3,0)),"")</f>
        <v/>
      </c>
      <c r="H19" s="38"/>
      <c r="I19" s="50" t="str">
        <f>IF(ISERROR(IF(ISERROR(MATCH($A19,Reference_Dropdown1!$B$27:$B$39,0)),G19+$H19,G19)),"",IF(ISERROR(MATCH($A19,Reference_Dropdown1!$B$27:$B$39,0)),G19+$H19,"N/A"))</f>
        <v/>
      </c>
      <c r="J19" s="228"/>
      <c r="K19" s="82" t="str">
        <f t="shared" si="8"/>
        <v/>
      </c>
      <c r="L19" s="228"/>
      <c r="M19" s="82" t="str">
        <f t="shared" si="9"/>
        <v/>
      </c>
      <c r="N19" s="225"/>
      <c r="O19" s="199" t="str">
        <f t="shared" si="10"/>
        <v/>
      </c>
      <c r="P19" s="200">
        <f t="shared" si="0"/>
        <v>0</v>
      </c>
      <c r="Q19" s="316" t="str">
        <f t="shared" si="16"/>
        <v/>
      </c>
      <c r="R19" s="26"/>
      <c r="S19" s="141" t="str">
        <f>IFERROR(INDEX('Specified CCE Model Price List'!$A$3:$O$300,MATCH('Options_CCE Model Selection'!$R19,'Specified CCE Model Price List'!$E$3:$E$300,0),MATCH('Options_CCE Model Selection'!S$4,'Specified CCE Model Price List'!$A$3:$O$3,0)),"")</f>
        <v/>
      </c>
      <c r="T19" s="142" t="str">
        <f>IFERROR(INDEX('Specified CCE Model Price List'!$A$3:$O$300,MATCH('Options_CCE Model Selection'!$R19,'Specified CCE Model Price List'!$E$3:$E$300,0),MATCH('Options_CCE Model Selection'!T$4,'Specified CCE Model Price List'!$A$3:$O$3,0)),"")</f>
        <v/>
      </c>
      <c r="U19" s="143" t="str">
        <f>IF(ISERROR(IF(ISERROR(MATCH($A19,Reference_Dropdown1!$B$27:$B$39,0)),T19+$H19,T19)),"",IF(ISERROR(MATCH($A19,Reference_Dropdown1!$B$27:$B$39,0)),T19+$H19,"N/A"))</f>
        <v/>
      </c>
      <c r="V19" s="85" t="str">
        <f t="shared" si="2"/>
        <v>_6.</v>
      </c>
      <c r="W19" s="229"/>
      <c r="X19" s="135" t="str">
        <f t="shared" si="13"/>
        <v/>
      </c>
      <c r="Y19" s="229"/>
      <c r="Z19" s="138" t="str">
        <f t="shared" si="11"/>
        <v/>
      </c>
      <c r="AA19" s="229"/>
      <c r="AB19" s="138" t="str">
        <f t="shared" si="12"/>
        <v/>
      </c>
      <c r="AC19" s="95">
        <f t="shared" si="3"/>
        <v>0</v>
      </c>
      <c r="AD19" s="135" t="str">
        <f t="shared" si="14"/>
        <v/>
      </c>
      <c r="AE19" s="229"/>
      <c r="AF19" s="83" t="str">
        <f>IFERROR(INDEX('Specified CCE Model Price List'!$A$3:$O$300,MATCH('Options_CCE Model Selection'!$AE19,'Specified CCE Model Price List'!$E$3:$E$300,0),MATCH('Options_CCE Model Selection'!AF$4,'Specified CCE Model Price List'!$A$3:$O$3,0)),"")</f>
        <v/>
      </c>
      <c r="AG19" s="143" t="str">
        <f>IFERROR(INDEX('Specified CCE Model Price List'!$A$3:$O$300,MATCH('Options_CCE Model Selection'!$AE19,'Specified CCE Model Price List'!$E$3:$E$300,0),MATCH('Options_CCE Model Selection'!AG$4,'Specified CCE Model Price List'!$A$3:$O$3,0)),"")</f>
        <v/>
      </c>
      <c r="AH19" s="143" t="str">
        <f>IF(ISERROR(IF(ISERROR(MATCH($A19,Reference_Dropdown1!$B$27:$B$39,0)),AG19+$H19,AG19)),"",IF(ISERROR(MATCH($A19,Reference_Dropdown1!$B$27:$B$39,0)),AG19+$H19,"N/A"))</f>
        <v/>
      </c>
      <c r="AI19" s="26"/>
      <c r="AJ19" s="136" t="str">
        <f t="shared" si="4"/>
        <v/>
      </c>
      <c r="AK19" s="26"/>
      <c r="AL19" s="136" t="str">
        <f t="shared" si="5"/>
        <v/>
      </c>
      <c r="AM19" s="26"/>
      <c r="AN19" s="136" t="str">
        <f t="shared" si="6"/>
        <v/>
      </c>
      <c r="AO19" s="83">
        <f t="shared" si="7"/>
        <v>0</v>
      </c>
      <c r="AP19" s="135" t="str">
        <f t="shared" si="15"/>
        <v/>
      </c>
    </row>
    <row r="20" spans="1:42" s="7" customFormat="1" ht="27" customHeight="1" x14ac:dyDescent="0.35">
      <c r="A20" s="30" t="s">
        <v>92</v>
      </c>
      <c r="B20" s="80"/>
      <c r="C20" s="26"/>
      <c r="D20" s="141" t="str">
        <f>IFERROR(INDEX('Specified CCE Model Price List'!$A$3:$O$300,MATCH('Options_CCE Model Selection'!$C20,'Specified CCE Model Price List'!$E$3:$E$300,0),MATCH('Options_CCE Model Selection'!D$4,'Specified CCE Model Price List'!$A$3:$O$3,0)),"")</f>
        <v/>
      </c>
      <c r="E20" s="142" t="str">
        <f>IFERROR(INDEX('Specified CCE Model Price List'!$A$3:$O$300,MATCH('Options_CCE Model Selection'!$C20,'Specified CCE Model Price List'!$E$3:$E$300,0),MATCH('Options_CCE Model Selection'!E$4,'Specified CCE Model Price List'!$A$3:$O$3,0)),"")</f>
        <v/>
      </c>
      <c r="F20" s="142" t="str">
        <f>IFERROR(INDEX('Specified CCE Model Price List'!$A$3:$O$300,MATCH('Options_CCE Model Selection'!$C20,'Specified CCE Model Price List'!$E$3:$E$300,0),MATCH('Options_CCE Model Selection'!F$4,'Specified CCE Model Price List'!$A$3:$O$3,0)),"")</f>
        <v/>
      </c>
      <c r="G20" s="143" t="str">
        <f>IFERROR(INDEX('Specified CCE Model Price List'!$A$3:$O$300,MATCH('Options_CCE Model Selection'!$C20,'Specified CCE Model Price List'!$E$3:$E$300,0),MATCH('Options_CCE Model Selection'!G$4,'Specified CCE Model Price List'!$A$3:$O$3,0)),"")</f>
        <v/>
      </c>
      <c r="H20" s="38"/>
      <c r="I20" s="50" t="str">
        <f>IF(ISERROR(IF(ISERROR(MATCH($A20,Reference_Dropdown1!$B$27:$B$39,0)),G20+$H20,G20)),"",IF(ISERROR(MATCH($A20,Reference_Dropdown1!$B$27:$B$39,0)),G20+$H20,"N/A"))</f>
        <v/>
      </c>
      <c r="J20" s="228"/>
      <c r="K20" s="82" t="str">
        <f t="shared" si="8"/>
        <v/>
      </c>
      <c r="L20" s="228"/>
      <c r="M20" s="82" t="str">
        <f t="shared" si="9"/>
        <v/>
      </c>
      <c r="N20" s="225"/>
      <c r="O20" s="199" t="str">
        <f t="shared" si="10"/>
        <v/>
      </c>
      <c r="P20" s="200">
        <f t="shared" si="0"/>
        <v>0</v>
      </c>
      <c r="Q20" s="316" t="str">
        <f t="shared" si="16"/>
        <v/>
      </c>
      <c r="R20" s="26"/>
      <c r="S20" s="141" t="str">
        <f>IFERROR(INDEX('Specified CCE Model Price List'!$A$3:$O$300,MATCH('Options_CCE Model Selection'!$R20,'Specified CCE Model Price List'!$E$3:$E$300,0),MATCH('Options_CCE Model Selection'!S$4,'Specified CCE Model Price List'!$A$3:$O$3,0)),"")</f>
        <v/>
      </c>
      <c r="T20" s="142" t="str">
        <f>IFERROR(INDEX('Specified CCE Model Price List'!$A$3:$O$300,MATCH('Options_CCE Model Selection'!$R20,'Specified CCE Model Price List'!$E$3:$E$300,0),MATCH('Options_CCE Model Selection'!T$4,'Specified CCE Model Price List'!$A$3:$O$3,0)),"")</f>
        <v/>
      </c>
      <c r="U20" s="143" t="str">
        <f>IF(ISERROR(IF(ISERROR(MATCH($A20,Reference_Dropdown1!$B$27:$B$39,0)),T20+$H20,T20)),"",IF(ISERROR(MATCH($A20,Reference_Dropdown1!$B$27:$B$39,0)),T20+$H20,"N/A"))</f>
        <v/>
      </c>
      <c r="V20" s="85" t="str">
        <f t="shared" si="2"/>
        <v>_6.</v>
      </c>
      <c r="W20" s="229"/>
      <c r="X20" s="135" t="str">
        <f t="shared" si="13"/>
        <v/>
      </c>
      <c r="Y20" s="229"/>
      <c r="Z20" s="138" t="str">
        <f t="shared" si="11"/>
        <v/>
      </c>
      <c r="AA20" s="229"/>
      <c r="AB20" s="138" t="str">
        <f t="shared" si="12"/>
        <v/>
      </c>
      <c r="AC20" s="95">
        <f t="shared" si="3"/>
        <v>0</v>
      </c>
      <c r="AD20" s="135" t="str">
        <f t="shared" si="14"/>
        <v/>
      </c>
      <c r="AE20" s="229"/>
      <c r="AF20" s="83" t="str">
        <f>IFERROR(INDEX('Specified CCE Model Price List'!$A$3:$O$300,MATCH('Options_CCE Model Selection'!$AE20,'Specified CCE Model Price List'!$E$3:$E$300,0),MATCH('Options_CCE Model Selection'!AF$4,'Specified CCE Model Price List'!$A$3:$O$3,0)),"")</f>
        <v/>
      </c>
      <c r="AG20" s="143" t="str">
        <f>IFERROR(INDEX('Specified CCE Model Price List'!$A$3:$O$300,MATCH('Options_CCE Model Selection'!$AE20,'Specified CCE Model Price List'!$E$3:$E$300,0),MATCH('Options_CCE Model Selection'!AG$4,'Specified CCE Model Price List'!$A$3:$O$3,0)),"")</f>
        <v/>
      </c>
      <c r="AH20" s="143" t="str">
        <f>IF(ISERROR(IF(ISERROR(MATCH($A20,Reference_Dropdown1!$B$27:$B$39,0)),AG20+$H20,AG20)),"",IF(ISERROR(MATCH($A20,Reference_Dropdown1!$B$27:$B$39,0)),AG20+$H20,"N/A"))</f>
        <v/>
      </c>
      <c r="AI20" s="26"/>
      <c r="AJ20" s="136" t="str">
        <f t="shared" si="4"/>
        <v/>
      </c>
      <c r="AK20" s="26"/>
      <c r="AL20" s="136" t="str">
        <f t="shared" si="5"/>
        <v/>
      </c>
      <c r="AM20" s="26"/>
      <c r="AN20" s="136" t="str">
        <f t="shared" si="6"/>
        <v/>
      </c>
      <c r="AO20" s="83">
        <f t="shared" si="7"/>
        <v>0</v>
      </c>
      <c r="AP20" s="135" t="str">
        <f t="shared" si="15"/>
        <v/>
      </c>
    </row>
    <row r="21" spans="1:42" s="7" customFormat="1" ht="27" customHeight="1" x14ac:dyDescent="0.35">
      <c r="A21" s="31" t="s">
        <v>93</v>
      </c>
      <c r="B21" s="80"/>
      <c r="C21" s="26"/>
      <c r="D21" s="141" t="str">
        <f>IFERROR(INDEX('Specified CCE Model Price List'!$A$3:$O$300,MATCH('Options_CCE Model Selection'!$C21,'Specified CCE Model Price List'!$E$3:$E$300,0),MATCH('Options_CCE Model Selection'!D$4,'Specified CCE Model Price List'!$A$3:$O$3,0)),"")</f>
        <v/>
      </c>
      <c r="E21" s="142" t="str">
        <f>IFERROR(INDEX('Specified CCE Model Price List'!$A$3:$O$300,MATCH('Options_CCE Model Selection'!$C21,'Specified CCE Model Price List'!$E$3:$E$300,0),MATCH('Options_CCE Model Selection'!E$4,'Specified CCE Model Price List'!$A$3:$O$3,0)),"")</f>
        <v/>
      </c>
      <c r="F21" s="142" t="str">
        <f>IFERROR(INDEX('Specified CCE Model Price List'!$A$3:$O$300,MATCH('Options_CCE Model Selection'!$C21,'Specified CCE Model Price List'!$E$3:$E$300,0),MATCH('Options_CCE Model Selection'!F$4,'Specified CCE Model Price List'!$A$3:$O$3,0)),"")</f>
        <v/>
      </c>
      <c r="G21" s="143" t="str">
        <f>IFERROR(INDEX('Specified CCE Model Price List'!$A$3:$O$300,MATCH('Options_CCE Model Selection'!$C21,'Specified CCE Model Price List'!$E$3:$E$300,0),MATCH('Options_CCE Model Selection'!G$4,'Specified CCE Model Price List'!$A$3:$O$3,0)),"")</f>
        <v/>
      </c>
      <c r="H21" s="38"/>
      <c r="I21" s="50" t="str">
        <f>IF(ISERROR(IF(ISERROR(MATCH($A21,Reference_Dropdown1!$B$27:$B$39,0)),G21+$H21,G21)),"",IF(ISERROR(MATCH($A21,Reference_Dropdown1!$B$27:$B$39,0)),G21+$H21,"N/A"))</f>
        <v/>
      </c>
      <c r="J21" s="228"/>
      <c r="K21" s="82" t="str">
        <f t="shared" si="8"/>
        <v/>
      </c>
      <c r="L21" s="228"/>
      <c r="M21" s="82" t="str">
        <f t="shared" si="9"/>
        <v/>
      </c>
      <c r="N21" s="225"/>
      <c r="O21" s="199" t="str">
        <f t="shared" si="10"/>
        <v/>
      </c>
      <c r="P21" s="200">
        <f t="shared" si="0"/>
        <v>0</v>
      </c>
      <c r="Q21" s="316" t="str">
        <f t="shared" si="16"/>
        <v/>
      </c>
      <c r="R21" s="26"/>
      <c r="S21" s="141" t="str">
        <f>IFERROR(INDEX('Specified CCE Model Price List'!$A$3:$O$300,MATCH('Options_CCE Model Selection'!$R21,'Specified CCE Model Price List'!$E$3:$E$300,0),MATCH('Options_CCE Model Selection'!S$4,'Specified CCE Model Price List'!$A$3:$O$3,0)),"")</f>
        <v/>
      </c>
      <c r="T21" s="142" t="str">
        <f>IFERROR(INDEX('Specified CCE Model Price List'!$A$3:$O$300,MATCH('Options_CCE Model Selection'!$R21,'Specified CCE Model Price List'!$E$3:$E$300,0),MATCH('Options_CCE Model Selection'!T$4,'Specified CCE Model Price List'!$A$3:$O$3,0)),"")</f>
        <v/>
      </c>
      <c r="U21" s="143" t="str">
        <f>IF(ISERROR(IF(ISERROR(MATCH($A21,Reference_Dropdown1!$B$27:$B$39,0)),T21+$H21,T21)),"",IF(ISERROR(MATCH($A21,Reference_Dropdown1!$B$27:$B$39,0)),T21+$H21,"N/A"))</f>
        <v/>
      </c>
      <c r="V21" s="85" t="str">
        <f t="shared" si="2"/>
        <v>_7.</v>
      </c>
      <c r="W21" s="229"/>
      <c r="X21" s="135" t="str">
        <f t="shared" si="13"/>
        <v/>
      </c>
      <c r="Y21" s="229"/>
      <c r="Z21" s="138" t="str">
        <f t="shared" si="11"/>
        <v/>
      </c>
      <c r="AA21" s="229"/>
      <c r="AB21" s="138" t="str">
        <f t="shared" si="12"/>
        <v/>
      </c>
      <c r="AC21" s="95">
        <f t="shared" si="3"/>
        <v>0</v>
      </c>
      <c r="AD21" s="135" t="str">
        <f t="shared" si="14"/>
        <v/>
      </c>
      <c r="AE21" s="229"/>
      <c r="AF21" s="83" t="str">
        <f>IFERROR(INDEX('Specified CCE Model Price List'!$A$3:$O$300,MATCH('Options_CCE Model Selection'!$AE21,'Specified CCE Model Price List'!$E$3:$E$300,0),MATCH('Options_CCE Model Selection'!AF$4,'Specified CCE Model Price List'!$A$3:$O$3,0)),"")</f>
        <v/>
      </c>
      <c r="AG21" s="143" t="str">
        <f>IFERROR(INDEX('Specified CCE Model Price List'!$A$3:$O$300,MATCH('Options_CCE Model Selection'!$AE21,'Specified CCE Model Price List'!$E$3:$E$300,0),MATCH('Options_CCE Model Selection'!AG$4,'Specified CCE Model Price List'!$A$3:$O$3,0)),"")</f>
        <v/>
      </c>
      <c r="AH21" s="143" t="str">
        <f>IF(ISERROR(IF(ISERROR(MATCH($A21,Reference_Dropdown1!$B$27:$B$39,0)),AG21+$H21,AG21)),"",IF(ISERROR(MATCH($A21,Reference_Dropdown1!$B$27:$B$39,0)),AG21+$H21,"N/A"))</f>
        <v/>
      </c>
      <c r="AI21" s="26"/>
      <c r="AJ21" s="136" t="str">
        <f t="shared" si="4"/>
        <v/>
      </c>
      <c r="AK21" s="26"/>
      <c r="AL21" s="136" t="str">
        <f t="shared" si="5"/>
        <v/>
      </c>
      <c r="AM21" s="26"/>
      <c r="AN21" s="136" t="str">
        <f t="shared" si="6"/>
        <v/>
      </c>
      <c r="AO21" s="83">
        <f t="shared" si="7"/>
        <v>0</v>
      </c>
      <c r="AP21" s="135" t="str">
        <f t="shared" si="15"/>
        <v/>
      </c>
    </row>
    <row r="22" spans="1:42" s="7" customFormat="1" ht="27" customHeight="1" x14ac:dyDescent="0.35">
      <c r="A22" s="31" t="s">
        <v>94</v>
      </c>
      <c r="B22" s="80" t="s">
        <v>411</v>
      </c>
      <c r="C22" s="26" t="s">
        <v>282</v>
      </c>
      <c r="D22" s="141" t="str">
        <f>IFERROR(INDEX('Specified CCE Model Price List'!$A$3:$O$300,MATCH('Options_CCE Model Selection'!$C22,'Specified CCE Model Price List'!$E$3:$E$300,0),MATCH('Options_CCE Model Selection'!D$4,'Specified CCE Model Price List'!$A$3:$O$3,0)),"")</f>
        <v>Berlinger</v>
      </c>
      <c r="E22" s="142" t="str">
        <f>IFERROR(INDEX('Specified CCE Model Price List'!$A$3:$O$300,MATCH('Options_CCE Model Selection'!$C22,'Specified CCE Model Price List'!$E$3:$E$300,0),MATCH('Options_CCE Model Selection'!E$4,'Specified CCE Model Price List'!$A$3:$O$3,0)),"")</f>
        <v>-</v>
      </c>
      <c r="F22" s="142" t="str">
        <f>IFERROR(INDEX('Specified CCE Model Price List'!$A$3:$O$300,MATCH('Options_CCE Model Selection'!$C22,'Specified CCE Model Price List'!$E$3:$E$300,0),MATCH('Options_CCE Model Selection'!F$4,'Specified CCE Model Price List'!$A$3:$O$3,0)),"")</f>
        <v>-</v>
      </c>
      <c r="G22" s="143">
        <f>IFERROR(INDEX('Specified CCE Model Price List'!$A$3:$O$300,MATCH('Options_CCE Model Selection'!$C22,'Specified CCE Model Price List'!$E$3:$E$300,0),MATCH('Options_CCE Model Selection'!G$4,'Specified CCE Model Price List'!$A$3:$O$3,0)),"")</f>
        <v>525</v>
      </c>
      <c r="H22" s="38"/>
      <c r="I22" s="50">
        <f>IF(ISERROR(IF(ISERROR(MATCH($A22,Reference_Dropdown1!$B$27:$B$39,0)),G22+$H22,G22)),"",IF(ISERROR(MATCH($A22,Reference_Dropdown1!$B$27:$B$39,0)),G22+$H22,"N/A"))</f>
        <v>525</v>
      </c>
      <c r="J22" s="228"/>
      <c r="K22" s="82">
        <f t="shared" si="8"/>
        <v>0</v>
      </c>
      <c r="L22" s="228"/>
      <c r="M22" s="82">
        <f t="shared" si="9"/>
        <v>0</v>
      </c>
      <c r="N22" s="225"/>
      <c r="O22" s="199">
        <f t="shared" si="10"/>
        <v>0</v>
      </c>
      <c r="P22" s="200">
        <f t="shared" si="0"/>
        <v>0</v>
      </c>
      <c r="Q22" s="316">
        <f t="shared" si="16"/>
        <v>0</v>
      </c>
      <c r="R22" s="26"/>
      <c r="S22" s="141" t="str">
        <f>IFERROR(INDEX('Specified CCE Model Price List'!$A$3:$O$300,MATCH('Options_CCE Model Selection'!$R22,'Specified CCE Model Price List'!$E$3:$E$300,0),MATCH('Options_CCE Model Selection'!S$4,'Specified CCE Model Price List'!$A$3:$O$3,0)),"")</f>
        <v/>
      </c>
      <c r="T22" s="142" t="str">
        <f>IFERROR(INDEX('Specified CCE Model Price List'!$A$3:$O$300,MATCH('Options_CCE Model Selection'!$R22,'Specified CCE Model Price List'!$E$3:$E$300,0),MATCH('Options_CCE Model Selection'!T$4,'Specified CCE Model Price List'!$A$3:$O$3,0)),"")</f>
        <v/>
      </c>
      <c r="U22" s="143" t="str">
        <f>IF(ISERROR(IF(ISERROR(MATCH($A22,Reference_Dropdown1!$B$27:$B$39,0)),T22+$H22,T22)),"",IF(ISERROR(MATCH($A22,Reference_Dropdown1!$B$27:$B$39,0)),T22+$H22,"N/A"))</f>
        <v/>
      </c>
      <c r="V22" s="85" t="str">
        <f t="shared" si="2"/>
        <v>_8.</v>
      </c>
      <c r="W22" s="229"/>
      <c r="X22" s="135" t="str">
        <f t="shared" si="13"/>
        <v/>
      </c>
      <c r="Y22" s="229"/>
      <c r="Z22" s="138" t="str">
        <f t="shared" si="11"/>
        <v/>
      </c>
      <c r="AA22" s="229"/>
      <c r="AB22" s="138" t="str">
        <f t="shared" si="12"/>
        <v/>
      </c>
      <c r="AC22" s="95">
        <f t="shared" si="3"/>
        <v>0</v>
      </c>
      <c r="AD22" s="135" t="str">
        <f t="shared" si="14"/>
        <v/>
      </c>
      <c r="AE22" s="229"/>
      <c r="AF22" s="83" t="str">
        <f>IFERROR(INDEX('Specified CCE Model Price List'!$A$3:$O$300,MATCH('Options_CCE Model Selection'!$AE22,'Specified CCE Model Price List'!$E$3:$E$300,0),MATCH('Options_CCE Model Selection'!AF$4,'Specified CCE Model Price List'!$A$3:$O$3,0)),"")</f>
        <v/>
      </c>
      <c r="AG22" s="143" t="str">
        <f>IFERROR(INDEX('Specified CCE Model Price List'!$A$3:$O$300,MATCH('Options_CCE Model Selection'!$AE22,'Specified CCE Model Price List'!$E$3:$E$300,0),MATCH('Options_CCE Model Selection'!AG$4,'Specified CCE Model Price List'!$A$3:$O$3,0)),"")</f>
        <v/>
      </c>
      <c r="AH22" s="143" t="str">
        <f>IF(ISERROR(IF(ISERROR(MATCH($A22,Reference_Dropdown1!$B$27:$B$39,0)),AG22+$H22,AG22)),"",IF(ISERROR(MATCH($A22,Reference_Dropdown1!$B$27:$B$39,0)),AG22+$H22,"N/A"))</f>
        <v/>
      </c>
      <c r="AI22" s="26"/>
      <c r="AJ22" s="136" t="str">
        <f t="shared" si="4"/>
        <v/>
      </c>
      <c r="AK22" s="26"/>
      <c r="AL22" s="136" t="str">
        <f t="shared" si="5"/>
        <v/>
      </c>
      <c r="AM22" s="26"/>
      <c r="AN22" s="136" t="str">
        <f t="shared" si="6"/>
        <v/>
      </c>
      <c r="AO22" s="83">
        <f t="shared" si="7"/>
        <v>0</v>
      </c>
      <c r="AP22" s="135" t="str">
        <f t="shared" si="15"/>
        <v/>
      </c>
    </row>
    <row r="23" spans="1:42" s="7" customFormat="1" ht="27" customHeight="1" x14ac:dyDescent="0.35">
      <c r="A23" s="32" t="s">
        <v>94</v>
      </c>
      <c r="B23" s="80"/>
      <c r="C23" s="26"/>
      <c r="D23" s="141" t="str">
        <f>IFERROR(INDEX('Specified CCE Model Price List'!$A$3:$O$300,MATCH('Options_CCE Model Selection'!$C23,'Specified CCE Model Price List'!$E$3:$E$300,0),MATCH('Options_CCE Model Selection'!D$4,'Specified CCE Model Price List'!$A$3:$O$3,0)),"")</f>
        <v/>
      </c>
      <c r="E23" s="142" t="str">
        <f>IFERROR(INDEX('Specified CCE Model Price List'!$A$3:$O$300,MATCH('Options_CCE Model Selection'!$C23,'Specified CCE Model Price List'!$E$3:$E$300,0),MATCH('Options_CCE Model Selection'!E$4,'Specified CCE Model Price List'!$A$3:$O$3,0)),"")</f>
        <v/>
      </c>
      <c r="F23" s="142" t="str">
        <f>IFERROR(INDEX('Specified CCE Model Price List'!$A$3:$O$300,MATCH('Options_CCE Model Selection'!$C23,'Specified CCE Model Price List'!$E$3:$E$300,0),MATCH('Options_CCE Model Selection'!F$4,'Specified CCE Model Price List'!$A$3:$O$3,0)),"")</f>
        <v/>
      </c>
      <c r="G23" s="143" t="str">
        <f>IFERROR(INDEX('Specified CCE Model Price List'!$A$3:$O$300,MATCH('Options_CCE Model Selection'!$C23,'Specified CCE Model Price List'!$E$3:$E$300,0),MATCH('Options_CCE Model Selection'!G$4,'Specified CCE Model Price List'!$A$3:$O$3,0)),"")</f>
        <v/>
      </c>
      <c r="H23" s="38"/>
      <c r="I23" s="50" t="str">
        <f>IF(ISERROR(IF(ISERROR(MATCH($A23,Reference_Dropdown1!$B$27:$B$39,0)),G23+$H23,G23)),"",IF(ISERROR(MATCH($A23,Reference_Dropdown1!$B$27:$B$39,0)),G23+$H23,"N/A"))</f>
        <v/>
      </c>
      <c r="J23" s="228"/>
      <c r="K23" s="82" t="str">
        <f t="shared" si="8"/>
        <v/>
      </c>
      <c r="L23" s="228"/>
      <c r="M23" s="82" t="str">
        <f t="shared" si="9"/>
        <v/>
      </c>
      <c r="N23" s="225"/>
      <c r="O23" s="199" t="str">
        <f t="shared" si="10"/>
        <v/>
      </c>
      <c r="P23" s="200">
        <f t="shared" si="0"/>
        <v>0</v>
      </c>
      <c r="Q23" s="316" t="str">
        <f t="shared" si="16"/>
        <v/>
      </c>
      <c r="R23" s="26"/>
      <c r="S23" s="141" t="str">
        <f>IFERROR(INDEX('Specified CCE Model Price List'!$A$3:$O$300,MATCH('Options_CCE Model Selection'!$R23,'Specified CCE Model Price List'!$E$3:$E$300,0),MATCH('Options_CCE Model Selection'!S$4,'Specified CCE Model Price List'!$A$3:$O$3,0)),"")</f>
        <v/>
      </c>
      <c r="T23" s="142" t="str">
        <f>IFERROR(INDEX('Specified CCE Model Price List'!$A$3:$O$300,MATCH('Options_CCE Model Selection'!$R23,'Specified CCE Model Price List'!$E$3:$E$300,0),MATCH('Options_CCE Model Selection'!T$4,'Specified CCE Model Price List'!$A$3:$O$3,0)),"")</f>
        <v/>
      </c>
      <c r="U23" s="143" t="str">
        <f>IF(ISERROR(IF(ISERROR(MATCH($A23,Reference_Dropdown1!$B$27:$B$39,0)),T23+$H23,T23)),"",IF(ISERROR(MATCH($A23,Reference_Dropdown1!$B$27:$B$39,0)),T23+$H23,"N/A"))</f>
        <v/>
      </c>
      <c r="V23" s="85" t="str">
        <f t="shared" si="2"/>
        <v>_8.</v>
      </c>
      <c r="W23" s="229"/>
      <c r="X23" s="135" t="str">
        <f t="shared" si="13"/>
        <v/>
      </c>
      <c r="Y23" s="229"/>
      <c r="Z23" s="138" t="str">
        <f t="shared" si="11"/>
        <v/>
      </c>
      <c r="AA23" s="229"/>
      <c r="AB23" s="138" t="str">
        <f t="shared" si="12"/>
        <v/>
      </c>
      <c r="AC23" s="95">
        <f t="shared" si="3"/>
        <v>0</v>
      </c>
      <c r="AD23" s="135" t="str">
        <f t="shared" si="14"/>
        <v/>
      </c>
      <c r="AE23" s="229"/>
      <c r="AF23" s="83" t="str">
        <f>IFERROR(INDEX('Specified CCE Model Price List'!$A$3:$O$300,MATCH('Options_CCE Model Selection'!$AE23,'Specified CCE Model Price List'!$E$3:$E$300,0),MATCH('Options_CCE Model Selection'!AF$4,'Specified CCE Model Price List'!$A$3:$O$3,0)),"")</f>
        <v/>
      </c>
      <c r="AG23" s="143" t="str">
        <f>IFERROR(INDEX('Specified CCE Model Price List'!$A$3:$O$300,MATCH('Options_CCE Model Selection'!$AE23,'Specified CCE Model Price List'!$E$3:$E$300,0),MATCH('Options_CCE Model Selection'!AG$4,'Specified CCE Model Price List'!$A$3:$O$3,0)),"")</f>
        <v/>
      </c>
      <c r="AH23" s="143" t="str">
        <f>IF(ISERROR(IF(ISERROR(MATCH($A23,Reference_Dropdown1!$B$27:$B$39,0)),AG23+$H23,AG23)),"",IF(ISERROR(MATCH($A23,Reference_Dropdown1!$B$27:$B$39,0)),AG23+$H23,"N/A"))</f>
        <v/>
      </c>
      <c r="AI23" s="26"/>
      <c r="AJ23" s="136" t="str">
        <f t="shared" si="4"/>
        <v/>
      </c>
      <c r="AK23" s="26"/>
      <c r="AL23" s="136" t="str">
        <f t="shared" si="5"/>
        <v/>
      </c>
      <c r="AM23" s="26"/>
      <c r="AN23" s="136" t="str">
        <f t="shared" si="6"/>
        <v/>
      </c>
      <c r="AO23" s="83">
        <f t="shared" si="7"/>
        <v>0</v>
      </c>
      <c r="AP23" s="135" t="str">
        <f t="shared" si="15"/>
        <v/>
      </c>
    </row>
    <row r="24" spans="1:42" s="7" customFormat="1" ht="27" customHeight="1" x14ac:dyDescent="0.35">
      <c r="A24" s="33" t="s">
        <v>95</v>
      </c>
      <c r="B24" s="80"/>
      <c r="C24" s="26"/>
      <c r="D24" s="141" t="str">
        <f>IFERROR(INDEX('Specified CCE Model Price List'!$A$3:$O$300,MATCH('Options_CCE Model Selection'!$C24,'Specified CCE Model Price List'!$E$3:$E$300,0),MATCH('Options_CCE Model Selection'!D$4,'Specified CCE Model Price List'!$A$3:$O$3,0)),"")</f>
        <v/>
      </c>
      <c r="E24" s="142" t="str">
        <f>IFERROR(INDEX('Specified CCE Model Price List'!$A$3:$O$300,MATCH('Options_CCE Model Selection'!$C24,'Specified CCE Model Price List'!$E$3:$E$300,0),MATCH('Options_CCE Model Selection'!E$4,'Specified CCE Model Price List'!$A$3:$O$3,0)),"")</f>
        <v/>
      </c>
      <c r="F24" s="142" t="str">
        <f>IFERROR(INDEX('Specified CCE Model Price List'!$A$3:$O$300,MATCH('Options_CCE Model Selection'!$C24,'Specified CCE Model Price List'!$E$3:$E$300,0),MATCH('Options_CCE Model Selection'!F$4,'Specified CCE Model Price List'!$A$3:$O$3,0)),"")</f>
        <v/>
      </c>
      <c r="G24" s="143" t="str">
        <f>IFERROR(INDEX('Specified CCE Model Price List'!$A$3:$O$300,MATCH('Options_CCE Model Selection'!$C24,'Specified CCE Model Price List'!$E$3:$E$300,0),MATCH('Options_CCE Model Selection'!G$4,'Specified CCE Model Price List'!$A$3:$O$3,0)),"")</f>
        <v/>
      </c>
      <c r="H24" s="38"/>
      <c r="I24" s="50" t="str">
        <f>IF(ISERROR(IF(ISERROR(MATCH($A24,Reference_Dropdown1!$B$27:$B$39,0)),G24+$H24,G24)),"",IF(ISERROR(MATCH($A24,Reference_Dropdown1!$B$27:$B$39,0)),G24+$H24,"N/A"))</f>
        <v/>
      </c>
      <c r="J24" s="228"/>
      <c r="K24" s="82" t="str">
        <f t="shared" si="8"/>
        <v/>
      </c>
      <c r="L24" s="228"/>
      <c r="M24" s="82" t="str">
        <f t="shared" si="9"/>
        <v/>
      </c>
      <c r="N24" s="225"/>
      <c r="O24" s="199" t="str">
        <f t="shared" si="10"/>
        <v/>
      </c>
      <c r="P24" s="200">
        <f t="shared" si="0"/>
        <v>0</v>
      </c>
      <c r="Q24" s="316" t="str">
        <f t="shared" si="16"/>
        <v/>
      </c>
      <c r="R24" s="26"/>
      <c r="S24" s="141" t="str">
        <f>IFERROR(INDEX('Specified CCE Model Price List'!$A$3:$O$300,MATCH('Options_CCE Model Selection'!$R24,'Specified CCE Model Price List'!$E$3:$E$300,0),MATCH('Options_CCE Model Selection'!S$4,'Specified CCE Model Price List'!$A$3:$O$3,0)),"")</f>
        <v/>
      </c>
      <c r="T24" s="142" t="str">
        <f>IFERROR(INDEX('Specified CCE Model Price List'!$A$3:$O$300,MATCH('Options_CCE Model Selection'!$R24,'Specified CCE Model Price List'!$E$3:$E$300,0),MATCH('Options_CCE Model Selection'!T$4,'Specified CCE Model Price List'!$A$3:$O$3,0)),"")</f>
        <v/>
      </c>
      <c r="U24" s="143" t="str">
        <f>IF(ISERROR(IF(ISERROR(MATCH($A24,Reference_Dropdown1!$B$27:$B$39,0)),T24+$H24,T24)),"",IF(ISERROR(MATCH($A24,Reference_Dropdown1!$B$27:$B$39,0)),T24+$H24,"N/A"))</f>
        <v/>
      </c>
      <c r="V24" s="85" t="str">
        <f t="shared" si="2"/>
        <v>_9.</v>
      </c>
      <c r="W24" s="229"/>
      <c r="X24" s="135" t="str">
        <f t="shared" si="13"/>
        <v/>
      </c>
      <c r="Y24" s="229"/>
      <c r="Z24" s="138" t="str">
        <f t="shared" si="11"/>
        <v/>
      </c>
      <c r="AA24" s="229"/>
      <c r="AB24" s="138" t="str">
        <f t="shared" si="12"/>
        <v/>
      </c>
      <c r="AC24" s="95">
        <f t="shared" si="3"/>
        <v>0</v>
      </c>
      <c r="AD24" s="135" t="str">
        <f t="shared" si="14"/>
        <v/>
      </c>
      <c r="AE24" s="229"/>
      <c r="AF24" s="83" t="str">
        <f>IFERROR(INDEX('Specified CCE Model Price List'!$A$3:$O$300,MATCH('Options_CCE Model Selection'!$AE24,'Specified CCE Model Price List'!$E$3:$E$300,0),MATCH('Options_CCE Model Selection'!AF$4,'Specified CCE Model Price List'!$A$3:$O$3,0)),"")</f>
        <v/>
      </c>
      <c r="AG24" s="143" t="str">
        <f>IFERROR(INDEX('Specified CCE Model Price List'!$A$3:$O$300,MATCH('Options_CCE Model Selection'!$AE24,'Specified CCE Model Price List'!$E$3:$E$300,0),MATCH('Options_CCE Model Selection'!AG$4,'Specified CCE Model Price List'!$A$3:$O$3,0)),"")</f>
        <v/>
      </c>
      <c r="AH24" s="143" t="str">
        <f>IF(ISERROR(IF(ISERROR(MATCH($A24,Reference_Dropdown1!$B$27:$B$39,0)),AG24+$H24,AG24)),"",IF(ISERROR(MATCH($A24,Reference_Dropdown1!$B$27:$B$39,0)),AG24+$H24,"N/A"))</f>
        <v/>
      </c>
      <c r="AI24" s="26"/>
      <c r="AJ24" s="136" t="str">
        <f t="shared" si="4"/>
        <v/>
      </c>
      <c r="AK24" s="26"/>
      <c r="AL24" s="136" t="str">
        <f t="shared" si="5"/>
        <v/>
      </c>
      <c r="AM24" s="26"/>
      <c r="AN24" s="136" t="str">
        <f t="shared" si="6"/>
        <v/>
      </c>
      <c r="AO24" s="83">
        <f t="shared" si="7"/>
        <v>0</v>
      </c>
      <c r="AP24" s="135" t="str">
        <f t="shared" si="15"/>
        <v/>
      </c>
    </row>
    <row r="25" spans="1:42" s="7" customFormat="1" ht="27" customHeight="1" x14ac:dyDescent="0.35">
      <c r="A25" s="33" t="s">
        <v>96</v>
      </c>
      <c r="B25" s="80"/>
      <c r="C25" s="26"/>
      <c r="D25" s="141" t="str">
        <f>IFERROR(INDEX('Specified CCE Model Price List'!$A$3:$O$300,MATCH('Options_CCE Model Selection'!$C25,'Specified CCE Model Price List'!$E$3:$E$300,0),MATCH('Options_CCE Model Selection'!D$4,'Specified CCE Model Price List'!$A$3:$O$3,0)),"")</f>
        <v/>
      </c>
      <c r="E25" s="142" t="str">
        <f>IFERROR(INDEX('Specified CCE Model Price List'!$A$3:$O$300,MATCH('Options_CCE Model Selection'!$C25,'Specified CCE Model Price List'!$E$3:$E$300,0),MATCH('Options_CCE Model Selection'!E$4,'Specified CCE Model Price List'!$A$3:$O$3,0)),"")</f>
        <v/>
      </c>
      <c r="F25" s="142" t="str">
        <f>IFERROR(INDEX('Specified CCE Model Price List'!$A$3:$O$300,MATCH('Options_CCE Model Selection'!$C25,'Specified CCE Model Price List'!$E$3:$E$300,0),MATCH('Options_CCE Model Selection'!F$4,'Specified CCE Model Price List'!$A$3:$O$3,0)),"")</f>
        <v/>
      </c>
      <c r="G25" s="143" t="str">
        <f>IFERROR(INDEX('Specified CCE Model Price List'!$A$3:$O$300,MATCH('Options_CCE Model Selection'!$C25,'Specified CCE Model Price List'!$E$3:$E$300,0),MATCH('Options_CCE Model Selection'!G$4,'Specified CCE Model Price List'!$A$3:$O$3,0)),"")</f>
        <v/>
      </c>
      <c r="H25" s="38"/>
      <c r="I25" s="50" t="str">
        <f>IF(ISERROR(IF(ISERROR(MATCH($A25,Reference_Dropdown1!$B$27:$B$39,0)),G25+$H25,G25)),"",IF(ISERROR(MATCH($A25,Reference_Dropdown1!$B$27:$B$39,0)),G25+$H25,"N/A"))</f>
        <v/>
      </c>
      <c r="J25" s="228"/>
      <c r="K25" s="82" t="str">
        <f t="shared" si="8"/>
        <v/>
      </c>
      <c r="L25" s="228"/>
      <c r="M25" s="82" t="str">
        <f t="shared" si="9"/>
        <v/>
      </c>
      <c r="N25" s="225"/>
      <c r="O25" s="199" t="str">
        <f t="shared" si="10"/>
        <v/>
      </c>
      <c r="P25" s="200">
        <f t="shared" si="0"/>
        <v>0</v>
      </c>
      <c r="Q25" s="316" t="str">
        <f t="shared" si="16"/>
        <v/>
      </c>
      <c r="R25" s="26"/>
      <c r="S25" s="141" t="str">
        <f>IFERROR(INDEX('Specified CCE Model Price List'!$A$3:$O$300,MATCH('Options_CCE Model Selection'!$R25,'Specified CCE Model Price List'!$E$3:$E$300,0),MATCH('Options_CCE Model Selection'!S$4,'Specified CCE Model Price List'!$A$3:$O$3,0)),"")</f>
        <v/>
      </c>
      <c r="T25" s="142" t="str">
        <f>IFERROR(INDEX('Specified CCE Model Price List'!$A$3:$O$300,MATCH('Options_CCE Model Selection'!$R25,'Specified CCE Model Price List'!$E$3:$E$300,0),MATCH('Options_CCE Model Selection'!T$4,'Specified CCE Model Price List'!$A$3:$O$3,0)),"")</f>
        <v/>
      </c>
      <c r="U25" s="143" t="str">
        <f>IF(ISERROR(IF(ISERROR(MATCH($A25,Reference_Dropdown1!$B$27:$B$39,0)),T25+$H25,T25)),"",IF(ISERROR(MATCH($A25,Reference_Dropdown1!$B$27:$B$39,0)),T25+$H25,"N/A"))</f>
        <v/>
      </c>
      <c r="V25" s="85" t="str">
        <f t="shared" si="2"/>
        <v>_10</v>
      </c>
      <c r="W25" s="229"/>
      <c r="X25" s="135" t="str">
        <f t="shared" si="13"/>
        <v/>
      </c>
      <c r="Y25" s="229"/>
      <c r="Z25" s="138" t="str">
        <f t="shared" si="11"/>
        <v/>
      </c>
      <c r="AA25" s="229"/>
      <c r="AB25" s="138" t="str">
        <f t="shared" si="12"/>
        <v/>
      </c>
      <c r="AC25" s="95">
        <f t="shared" si="3"/>
        <v>0</v>
      </c>
      <c r="AD25" s="135" t="str">
        <f t="shared" si="14"/>
        <v/>
      </c>
      <c r="AE25" s="229"/>
      <c r="AF25" s="83" t="str">
        <f>IFERROR(INDEX('Specified CCE Model Price List'!$A$3:$O$300,MATCH('Options_CCE Model Selection'!$AE25,'Specified CCE Model Price List'!$E$3:$E$300,0),MATCH('Options_CCE Model Selection'!AF$4,'Specified CCE Model Price List'!$A$3:$O$3,0)),"")</f>
        <v/>
      </c>
      <c r="AG25" s="143" t="str">
        <f>IFERROR(INDEX('Specified CCE Model Price List'!$A$3:$O$300,MATCH('Options_CCE Model Selection'!$AE25,'Specified CCE Model Price List'!$E$3:$E$300,0),MATCH('Options_CCE Model Selection'!AG$4,'Specified CCE Model Price List'!$A$3:$O$3,0)),"")</f>
        <v/>
      </c>
      <c r="AH25" s="143" t="str">
        <f>IF(ISERROR(IF(ISERROR(MATCH($A25,Reference_Dropdown1!$B$27:$B$39,0)),AG25+$H25,AG25)),"",IF(ISERROR(MATCH($A25,Reference_Dropdown1!$B$27:$B$39,0)),AG25+$H25,"N/A"))</f>
        <v/>
      </c>
      <c r="AI25" s="26"/>
      <c r="AJ25" s="136" t="str">
        <f t="shared" si="4"/>
        <v/>
      </c>
      <c r="AK25" s="26"/>
      <c r="AL25" s="136" t="str">
        <f t="shared" si="5"/>
        <v/>
      </c>
      <c r="AM25" s="26"/>
      <c r="AN25" s="136" t="str">
        <f t="shared" si="6"/>
        <v/>
      </c>
      <c r="AO25" s="83">
        <f t="shared" si="7"/>
        <v>0</v>
      </c>
      <c r="AP25" s="135" t="str">
        <f t="shared" si="15"/>
        <v/>
      </c>
    </row>
    <row r="26" spans="1:42" s="7" customFormat="1" ht="27" customHeight="1" x14ac:dyDescent="0.35">
      <c r="A26" s="33" t="s">
        <v>97</v>
      </c>
      <c r="B26" s="80"/>
      <c r="C26" s="26"/>
      <c r="D26" s="141" t="str">
        <f>IFERROR(INDEX('Specified CCE Model Price List'!$A$3:$O$300,MATCH('Options_CCE Model Selection'!$C26,'Specified CCE Model Price List'!$E$3:$E$300,0),MATCH('Options_CCE Model Selection'!D$4,'Specified CCE Model Price List'!$A$3:$O$3,0)),"")</f>
        <v/>
      </c>
      <c r="E26" s="142" t="str">
        <f>IFERROR(INDEX('Specified CCE Model Price List'!$A$3:$O$300,MATCH('Options_CCE Model Selection'!$C26,'Specified CCE Model Price List'!$E$3:$E$300,0),MATCH('Options_CCE Model Selection'!E$4,'Specified CCE Model Price List'!$A$3:$O$3,0)),"")</f>
        <v/>
      </c>
      <c r="F26" s="142" t="str">
        <f>IFERROR(INDEX('Specified CCE Model Price List'!$A$3:$O$300,MATCH('Options_CCE Model Selection'!$C26,'Specified CCE Model Price List'!$E$3:$E$300,0),MATCH('Options_CCE Model Selection'!F$4,'Specified CCE Model Price List'!$A$3:$O$3,0)),"")</f>
        <v/>
      </c>
      <c r="G26" s="143" t="str">
        <f>IFERROR(INDEX('Specified CCE Model Price List'!$A$3:$O$300,MATCH('Options_CCE Model Selection'!$C26,'Specified CCE Model Price List'!$E$3:$E$300,0),MATCH('Options_CCE Model Selection'!G$4,'Specified CCE Model Price List'!$A$3:$O$3,0)),"")</f>
        <v/>
      </c>
      <c r="H26" s="38"/>
      <c r="I26" s="50" t="str">
        <f>IF(ISERROR(IF(ISERROR(MATCH($A26,Reference_Dropdown1!$B$27:$B$39,0)),G26+$H26,G26)),"",IF(ISERROR(MATCH($A26,Reference_Dropdown1!$B$27:$B$39,0)),G26+$H26,"N/A"))</f>
        <v/>
      </c>
      <c r="J26" s="228"/>
      <c r="K26" s="82" t="str">
        <f t="shared" si="8"/>
        <v/>
      </c>
      <c r="L26" s="228"/>
      <c r="M26" s="82" t="str">
        <f t="shared" si="9"/>
        <v/>
      </c>
      <c r="N26" s="225"/>
      <c r="O26" s="199" t="str">
        <f t="shared" si="10"/>
        <v/>
      </c>
      <c r="P26" s="200">
        <f t="shared" si="0"/>
        <v>0</v>
      </c>
      <c r="Q26" s="316" t="str">
        <f t="shared" si="16"/>
        <v/>
      </c>
      <c r="R26" s="26"/>
      <c r="S26" s="141" t="str">
        <f>IFERROR(INDEX('Specified CCE Model Price List'!$A$3:$O$300,MATCH('Options_CCE Model Selection'!$R26,'Specified CCE Model Price List'!$E$3:$E$300,0),MATCH('Options_CCE Model Selection'!S$4,'Specified CCE Model Price List'!$A$3:$O$3,0)),"")</f>
        <v/>
      </c>
      <c r="T26" s="142" t="str">
        <f>IFERROR(INDEX('Specified CCE Model Price List'!$A$3:$O$300,MATCH('Options_CCE Model Selection'!$R26,'Specified CCE Model Price List'!$E$3:$E$300,0),MATCH('Options_CCE Model Selection'!T$4,'Specified CCE Model Price List'!$A$3:$O$3,0)),"")</f>
        <v/>
      </c>
      <c r="U26" s="143" t="str">
        <f>IF(ISERROR(IF(ISERROR(MATCH($A26,Reference_Dropdown1!$B$27:$B$39,0)),T26+$H26,T26)),"",IF(ISERROR(MATCH($A26,Reference_Dropdown1!$B$27:$B$39,0)),T26+$H26,"N/A"))</f>
        <v/>
      </c>
      <c r="V26" s="85" t="str">
        <f t="shared" si="2"/>
        <v>_11</v>
      </c>
      <c r="W26" s="229"/>
      <c r="X26" s="135" t="str">
        <f t="shared" si="13"/>
        <v/>
      </c>
      <c r="Y26" s="229"/>
      <c r="Z26" s="138" t="str">
        <f t="shared" si="11"/>
        <v/>
      </c>
      <c r="AA26" s="229"/>
      <c r="AB26" s="138" t="str">
        <f t="shared" si="12"/>
        <v/>
      </c>
      <c r="AC26" s="95">
        <f t="shared" si="3"/>
        <v>0</v>
      </c>
      <c r="AD26" s="135" t="str">
        <f t="shared" si="14"/>
        <v/>
      </c>
      <c r="AE26" s="229"/>
      <c r="AF26" s="83" t="str">
        <f>IFERROR(INDEX('Specified CCE Model Price List'!$A$3:$O$300,MATCH('Options_CCE Model Selection'!$AE26,'Specified CCE Model Price List'!$E$3:$E$300,0),MATCH('Options_CCE Model Selection'!AF$4,'Specified CCE Model Price List'!$A$3:$O$3,0)),"")</f>
        <v/>
      </c>
      <c r="AG26" s="143" t="str">
        <f>IFERROR(INDEX('Specified CCE Model Price List'!$A$3:$O$300,MATCH('Options_CCE Model Selection'!$AE26,'Specified CCE Model Price List'!$E$3:$E$300,0),MATCH('Options_CCE Model Selection'!AG$4,'Specified CCE Model Price List'!$A$3:$O$3,0)),"")</f>
        <v/>
      </c>
      <c r="AH26" s="143" t="str">
        <f>IF(ISERROR(IF(ISERROR(MATCH($A26,Reference_Dropdown1!$B$27:$B$39,0)),AG26+$H26,AG26)),"",IF(ISERROR(MATCH($A26,Reference_Dropdown1!$B$27:$B$39,0)),AG26+$H26,"N/A"))</f>
        <v/>
      </c>
      <c r="AI26" s="26"/>
      <c r="AJ26" s="136" t="str">
        <f t="shared" si="4"/>
        <v/>
      </c>
      <c r="AK26" s="26"/>
      <c r="AL26" s="136" t="str">
        <f t="shared" si="5"/>
        <v/>
      </c>
      <c r="AM26" s="26"/>
      <c r="AN26" s="136" t="str">
        <f t="shared" si="6"/>
        <v/>
      </c>
      <c r="AO26" s="83">
        <f t="shared" si="7"/>
        <v>0</v>
      </c>
      <c r="AP26" s="135" t="str">
        <f t="shared" si="15"/>
        <v/>
      </c>
    </row>
    <row r="27" spans="1:42" s="7" customFormat="1" ht="27" customHeight="1" x14ac:dyDescent="0.35">
      <c r="A27" s="33" t="s">
        <v>98</v>
      </c>
      <c r="B27" s="80"/>
      <c r="C27" s="26"/>
      <c r="D27" s="141" t="str">
        <f>IFERROR(INDEX('Specified CCE Model Price List'!$A$3:$O$300,MATCH('Options_CCE Model Selection'!$C27,'Specified CCE Model Price List'!$E$3:$E$300,0),MATCH('Options_CCE Model Selection'!D$4,'Specified CCE Model Price List'!$A$3:$O$3,0)),"")</f>
        <v/>
      </c>
      <c r="E27" s="142" t="str">
        <f>IFERROR(INDEX('Specified CCE Model Price List'!$A$3:$O$300,MATCH('Options_CCE Model Selection'!$C27,'Specified CCE Model Price List'!$E$3:$E$300,0),MATCH('Options_CCE Model Selection'!E$4,'Specified CCE Model Price List'!$A$3:$O$3,0)),"")</f>
        <v/>
      </c>
      <c r="F27" s="142" t="str">
        <f>IFERROR(INDEX('Specified CCE Model Price List'!$A$3:$O$300,MATCH('Options_CCE Model Selection'!$C27,'Specified CCE Model Price List'!$E$3:$E$300,0),MATCH('Options_CCE Model Selection'!F$4,'Specified CCE Model Price List'!$A$3:$O$3,0)),"")</f>
        <v/>
      </c>
      <c r="G27" s="143" t="str">
        <f>IFERROR(INDEX('Specified CCE Model Price List'!$A$3:$O$300,MATCH('Options_CCE Model Selection'!$C27,'Specified CCE Model Price List'!$E$3:$E$300,0),MATCH('Options_CCE Model Selection'!G$4,'Specified CCE Model Price List'!$A$3:$O$3,0)),"")</f>
        <v/>
      </c>
      <c r="H27" s="38"/>
      <c r="I27" s="50" t="str">
        <f>IF(ISERROR(IF(ISERROR(MATCH($A27,Reference_Dropdown1!$B$27:$B$39,0)),G27+$H27,G27)),"",IF(ISERROR(MATCH($A27,Reference_Dropdown1!$B$27:$B$39,0)),G27+$H27,"N/A"))</f>
        <v/>
      </c>
      <c r="J27" s="228"/>
      <c r="K27" s="82" t="str">
        <f t="shared" si="8"/>
        <v/>
      </c>
      <c r="L27" s="228"/>
      <c r="M27" s="82" t="str">
        <f t="shared" si="9"/>
        <v/>
      </c>
      <c r="N27" s="225"/>
      <c r="O27" s="199" t="str">
        <f t="shared" si="10"/>
        <v/>
      </c>
      <c r="P27" s="200">
        <f t="shared" si="0"/>
        <v>0</v>
      </c>
      <c r="Q27" s="316" t="str">
        <f t="shared" si="16"/>
        <v/>
      </c>
      <c r="R27" s="26"/>
      <c r="S27" s="141" t="str">
        <f>IFERROR(INDEX('Specified CCE Model Price List'!$A$3:$O$300,MATCH('Options_CCE Model Selection'!$R27,'Specified CCE Model Price List'!$E$3:$E$300,0),MATCH('Options_CCE Model Selection'!S$4,'Specified CCE Model Price List'!$A$3:$O$3,0)),"")</f>
        <v/>
      </c>
      <c r="T27" s="142" t="str">
        <f>IFERROR(INDEX('Specified CCE Model Price List'!$A$3:$O$300,MATCH('Options_CCE Model Selection'!$R27,'Specified CCE Model Price List'!$E$3:$E$300,0),MATCH('Options_CCE Model Selection'!T$4,'Specified CCE Model Price List'!$A$3:$O$3,0)),"")</f>
        <v/>
      </c>
      <c r="U27" s="143" t="str">
        <f>IF(ISERROR(IF(ISERROR(MATCH($A27,Reference_Dropdown1!$B$27:$B$39,0)),T27+$H27,T27)),"",IF(ISERROR(MATCH($A27,Reference_Dropdown1!$B$27:$B$39,0)),T27+$H27,"N/A"))</f>
        <v/>
      </c>
      <c r="V27" s="85" t="str">
        <f t="shared" si="2"/>
        <v>_12</v>
      </c>
      <c r="W27" s="229"/>
      <c r="X27" s="135" t="str">
        <f t="shared" si="13"/>
        <v/>
      </c>
      <c r="Y27" s="229"/>
      <c r="Z27" s="138" t="str">
        <f t="shared" si="11"/>
        <v/>
      </c>
      <c r="AA27" s="229"/>
      <c r="AB27" s="138" t="str">
        <f t="shared" si="12"/>
        <v/>
      </c>
      <c r="AC27" s="95">
        <f t="shared" si="3"/>
        <v>0</v>
      </c>
      <c r="AD27" s="135" t="str">
        <f t="shared" si="14"/>
        <v/>
      </c>
      <c r="AE27" s="229"/>
      <c r="AF27" s="83" t="str">
        <f>IFERROR(INDEX('Specified CCE Model Price List'!$A$3:$O$300,MATCH('Options_CCE Model Selection'!$AE27,'Specified CCE Model Price List'!$E$3:$E$300,0),MATCH('Options_CCE Model Selection'!AF$4,'Specified CCE Model Price List'!$A$3:$O$3,0)),"")</f>
        <v/>
      </c>
      <c r="AG27" s="143" t="str">
        <f>IFERROR(INDEX('Specified CCE Model Price List'!$A$3:$O$300,MATCH('Options_CCE Model Selection'!$AE27,'Specified CCE Model Price List'!$E$3:$E$300,0),MATCH('Options_CCE Model Selection'!AG$4,'Specified CCE Model Price List'!$A$3:$O$3,0)),"")</f>
        <v/>
      </c>
      <c r="AH27" s="143" t="str">
        <f>IF(ISERROR(IF(ISERROR(MATCH($A27,Reference_Dropdown1!$B$27:$B$39,0)),AG27+$H27,AG27)),"",IF(ISERROR(MATCH($A27,Reference_Dropdown1!$B$27:$B$39,0)),AG27+$H27,"N/A"))</f>
        <v/>
      </c>
      <c r="AI27" s="26"/>
      <c r="AJ27" s="136" t="str">
        <f t="shared" si="4"/>
        <v/>
      </c>
      <c r="AK27" s="26"/>
      <c r="AL27" s="136" t="str">
        <f t="shared" si="5"/>
        <v/>
      </c>
      <c r="AM27" s="26"/>
      <c r="AN27" s="136" t="str">
        <f t="shared" si="6"/>
        <v/>
      </c>
      <c r="AO27" s="83">
        <f t="shared" si="7"/>
        <v>0</v>
      </c>
      <c r="AP27" s="135" t="str">
        <f t="shared" si="15"/>
        <v/>
      </c>
    </row>
    <row r="28" spans="1:42" s="7" customFormat="1" ht="27" customHeight="1" x14ac:dyDescent="0.35">
      <c r="A28" s="34" t="s">
        <v>99</v>
      </c>
      <c r="B28" s="80"/>
      <c r="C28" s="26"/>
      <c r="D28" s="141" t="str">
        <f>IFERROR(INDEX('Specified CCE Model Price List'!$A$3:$O$300,MATCH('Options_CCE Model Selection'!$C28,'Specified CCE Model Price List'!$E$3:$E$300,0),MATCH('Options_CCE Model Selection'!D$4,'Specified CCE Model Price List'!$A$3:$O$3,0)),"")</f>
        <v/>
      </c>
      <c r="E28" s="142" t="str">
        <f>IFERROR(INDEX('Specified CCE Model Price List'!$A$3:$O$300,MATCH('Options_CCE Model Selection'!$C28,'Specified CCE Model Price List'!$E$3:$E$300,0),MATCH('Options_CCE Model Selection'!E$4,'Specified CCE Model Price List'!$A$3:$O$3,0)),"")</f>
        <v/>
      </c>
      <c r="F28" s="142" t="str">
        <f>IFERROR(INDEX('Specified CCE Model Price List'!$A$3:$O$300,MATCH('Options_CCE Model Selection'!$C28,'Specified CCE Model Price List'!$E$3:$E$300,0),MATCH('Options_CCE Model Selection'!F$4,'Specified CCE Model Price List'!$A$3:$O$3,0)),"")</f>
        <v/>
      </c>
      <c r="G28" s="336" t="str">
        <f>IFERROR(INDEX('Specified CCE Model Price List'!$A$3:$O$300,MATCH('Options_CCE Model Selection'!$C28,'Specified CCE Model Price List'!$E$3:$E$300,0),MATCH('Options_CCE Model Selection'!G$4,'Specified CCE Model Price List'!$A$3:$O$3,0)),"")</f>
        <v/>
      </c>
      <c r="H28" s="38"/>
      <c r="I28" s="50" t="str">
        <f>IF(ISERROR(IF(ISERROR(MATCH($A28,Reference_Dropdown1!$B$27:$B$39,0)),G28+$H28,G28)),"",IF(ISERROR(MATCH($A28,Reference_Dropdown1!$B$27:$B$39,0)),G28+$H28,"N/A"))</f>
        <v/>
      </c>
      <c r="J28" s="228"/>
      <c r="K28" s="82" t="str">
        <f t="shared" si="8"/>
        <v/>
      </c>
      <c r="L28" s="228"/>
      <c r="M28" s="82" t="str">
        <f t="shared" si="9"/>
        <v/>
      </c>
      <c r="N28" s="225"/>
      <c r="O28" s="199" t="str">
        <f t="shared" si="10"/>
        <v/>
      </c>
      <c r="P28" s="200">
        <f t="shared" si="0"/>
        <v>0</v>
      </c>
      <c r="Q28" s="316" t="str">
        <f t="shared" si="16"/>
        <v/>
      </c>
      <c r="R28" s="26"/>
      <c r="S28" s="141" t="str">
        <f>IFERROR(INDEX('Specified CCE Model Price List'!$A$3:$O$300,MATCH('Options_CCE Model Selection'!$R28,'Specified CCE Model Price List'!$E$3:$E$300,0),MATCH('Options_CCE Model Selection'!S$4,'Specified CCE Model Price List'!$A$3:$O$3,0)),"")</f>
        <v/>
      </c>
      <c r="T28" s="142" t="str">
        <f>IFERROR(INDEX('Specified CCE Model Price List'!$A$3:$O$300,MATCH('Options_CCE Model Selection'!$R28,'Specified CCE Model Price List'!$E$3:$E$300,0),MATCH('Options_CCE Model Selection'!T$4,'Specified CCE Model Price List'!$A$3:$O$3,0)),"")</f>
        <v/>
      </c>
      <c r="U28" s="143" t="str">
        <f>IF(ISERROR(IF(ISERROR(MATCH($A28,Reference_Dropdown1!$B$27:$B$39,0)),T28+$H28,T28)),"",IF(ISERROR(MATCH($A28,Reference_Dropdown1!$B$27:$B$39,0)),T28+$H28,"N/A"))</f>
        <v/>
      </c>
      <c r="V28" s="85" t="str">
        <f t="shared" si="2"/>
        <v>_13</v>
      </c>
      <c r="W28" s="229"/>
      <c r="X28" s="135" t="str">
        <f t="shared" si="13"/>
        <v/>
      </c>
      <c r="Y28" s="229"/>
      <c r="Z28" s="138" t="str">
        <f t="shared" si="11"/>
        <v/>
      </c>
      <c r="AA28" s="229"/>
      <c r="AB28" s="138" t="str">
        <f t="shared" si="12"/>
        <v/>
      </c>
      <c r="AC28" s="95">
        <f t="shared" si="3"/>
        <v>0</v>
      </c>
      <c r="AD28" s="135" t="str">
        <f t="shared" si="14"/>
        <v/>
      </c>
      <c r="AE28" s="229"/>
      <c r="AF28" s="83" t="str">
        <f>IFERROR(INDEX('Specified CCE Model Price List'!$A$3:$O$300,MATCH('Options_CCE Model Selection'!$AE28,'Specified CCE Model Price List'!$E$3:$E$300,0),MATCH('Options_CCE Model Selection'!AF$4,'Specified CCE Model Price List'!$A$3:$O$3,0)),"")</f>
        <v/>
      </c>
      <c r="AG28" s="143" t="str">
        <f>IFERROR(INDEX('Specified CCE Model Price List'!$A$3:$O$300,MATCH('Options_CCE Model Selection'!$AE28,'Specified CCE Model Price List'!$E$3:$E$300,0),MATCH('Options_CCE Model Selection'!AG$4,'Specified CCE Model Price List'!$A$3:$O$3,0)),"")</f>
        <v/>
      </c>
      <c r="AH28" s="143" t="str">
        <f>IF(ISERROR(IF(ISERROR(MATCH($A28,Reference_Dropdown1!$B$27:$B$39,0)),AG28+$H28,AG28)),"",IF(ISERROR(MATCH($A28,Reference_Dropdown1!$B$27:$B$39,0)),AG28+$H28,"N/A"))</f>
        <v/>
      </c>
      <c r="AI28" s="26"/>
      <c r="AJ28" s="136" t="str">
        <f t="shared" si="4"/>
        <v/>
      </c>
      <c r="AK28" s="26"/>
      <c r="AL28" s="136" t="str">
        <f t="shared" si="5"/>
        <v/>
      </c>
      <c r="AM28" s="26"/>
      <c r="AN28" s="136" t="str">
        <f t="shared" si="6"/>
        <v/>
      </c>
      <c r="AO28" s="83">
        <f t="shared" si="7"/>
        <v>0</v>
      </c>
      <c r="AP28" s="135" t="str">
        <f t="shared" si="15"/>
        <v/>
      </c>
    </row>
    <row r="29" spans="1:42" s="7" customFormat="1" ht="27" customHeight="1" x14ac:dyDescent="0.35">
      <c r="A29" s="34" t="s">
        <v>100</v>
      </c>
      <c r="B29" s="80"/>
      <c r="C29" s="26"/>
      <c r="D29" s="141" t="str">
        <f>IFERROR(INDEX('Specified CCE Model Price List'!$A$3:$O$300,MATCH('Options_CCE Model Selection'!$C29,'Specified CCE Model Price List'!$E$3:$E$300,0),MATCH('Options_CCE Model Selection'!D$4,'Specified CCE Model Price List'!$A$3:$O$3,0)),"")</f>
        <v/>
      </c>
      <c r="E29" s="142" t="str">
        <f>IFERROR(INDEX('Specified CCE Model Price List'!$A$3:$O$300,MATCH('Options_CCE Model Selection'!$C29,'Specified CCE Model Price List'!$E$3:$E$300,0),MATCH('Options_CCE Model Selection'!E$4,'Specified CCE Model Price List'!$A$3:$O$3,0)),"")</f>
        <v/>
      </c>
      <c r="F29" s="142" t="str">
        <f>IFERROR(INDEX('Specified CCE Model Price List'!$A$3:$O$300,MATCH('Options_CCE Model Selection'!$C29,'Specified CCE Model Price List'!$E$3:$E$300,0),MATCH('Options_CCE Model Selection'!F$4,'Specified CCE Model Price List'!$A$3:$O$3,0)),"")</f>
        <v/>
      </c>
      <c r="G29" s="143" t="str">
        <f>IFERROR(INDEX('Specified CCE Model Price List'!$A$3:$O$300,MATCH('Options_CCE Model Selection'!$C29,'Specified CCE Model Price List'!$E$3:$E$300,0),MATCH('Options_CCE Model Selection'!G$4,'Specified CCE Model Price List'!$A$3:$O$3,0)),"")</f>
        <v/>
      </c>
      <c r="H29" s="38"/>
      <c r="I29" s="50" t="str">
        <f>IF(ISERROR(IF(ISERROR(MATCH($A29,Reference_Dropdown1!$B$27:$B$39,0)),G29+$H29,G29)),"",IF(ISERROR(MATCH($A29,Reference_Dropdown1!$B$27:$B$39,0)),G29+$H29,"N/A"))</f>
        <v/>
      </c>
      <c r="J29" s="228"/>
      <c r="K29" s="82" t="str">
        <f t="shared" si="8"/>
        <v/>
      </c>
      <c r="L29" s="228"/>
      <c r="M29" s="82" t="str">
        <f t="shared" si="9"/>
        <v/>
      </c>
      <c r="N29" s="225"/>
      <c r="O29" s="199" t="str">
        <f t="shared" si="10"/>
        <v/>
      </c>
      <c r="P29" s="200">
        <f t="shared" si="0"/>
        <v>0</v>
      </c>
      <c r="Q29" s="316" t="str">
        <f t="shared" si="16"/>
        <v/>
      </c>
      <c r="R29" s="26"/>
      <c r="S29" s="141" t="str">
        <f>IFERROR(INDEX('Specified CCE Model Price List'!$A$3:$O$300,MATCH('Options_CCE Model Selection'!$R29,'Specified CCE Model Price List'!$E$3:$E$300,0),MATCH('Options_CCE Model Selection'!S$4,'Specified CCE Model Price List'!$A$3:$O$3,0)),"")</f>
        <v/>
      </c>
      <c r="T29" s="142" t="str">
        <f>IFERROR(INDEX('Specified CCE Model Price List'!$A$3:$O$300,MATCH('Options_CCE Model Selection'!$R29,'Specified CCE Model Price List'!$E$3:$E$300,0),MATCH('Options_CCE Model Selection'!T$4,'Specified CCE Model Price List'!$A$3:$O$3,0)),"")</f>
        <v/>
      </c>
      <c r="U29" s="143" t="str">
        <f>IF(ISERROR(IF(ISERROR(MATCH($A29,Reference_Dropdown1!$B$27:$B$39,0)),T29+$H29,T29)),"",IF(ISERROR(MATCH($A29,Reference_Dropdown1!$B$27:$B$39,0)),T29+$H29,"N/A"))</f>
        <v/>
      </c>
      <c r="V29" s="85" t="str">
        <f t="shared" si="2"/>
        <v>_14</v>
      </c>
      <c r="W29" s="229"/>
      <c r="X29" s="135" t="str">
        <f t="shared" si="13"/>
        <v/>
      </c>
      <c r="Y29" s="229"/>
      <c r="Z29" s="138" t="str">
        <f t="shared" si="11"/>
        <v/>
      </c>
      <c r="AA29" s="229"/>
      <c r="AB29" s="138" t="str">
        <f t="shared" si="12"/>
        <v/>
      </c>
      <c r="AC29" s="95">
        <f t="shared" si="3"/>
        <v>0</v>
      </c>
      <c r="AD29" s="135" t="str">
        <f t="shared" si="14"/>
        <v/>
      </c>
      <c r="AE29" s="229"/>
      <c r="AF29" s="83" t="str">
        <f>IFERROR(INDEX('Specified CCE Model Price List'!$A$3:$O$300,MATCH('Options_CCE Model Selection'!$AE29,'Specified CCE Model Price List'!$E$3:$E$300,0),MATCH('Options_CCE Model Selection'!AF$4,'Specified CCE Model Price List'!$A$3:$O$3,0)),"")</f>
        <v/>
      </c>
      <c r="AG29" s="143" t="str">
        <f>IFERROR(INDEX('Specified CCE Model Price List'!$A$3:$O$300,MATCH('Options_CCE Model Selection'!$AE29,'Specified CCE Model Price List'!$E$3:$E$300,0),MATCH('Options_CCE Model Selection'!AG$4,'Specified CCE Model Price List'!$A$3:$O$3,0)),"")</f>
        <v/>
      </c>
      <c r="AH29" s="143" t="str">
        <f>IF(ISERROR(IF(ISERROR(MATCH($A29,Reference_Dropdown1!$B$27:$B$39,0)),AG29+$H29,AG29)),"",IF(ISERROR(MATCH($A29,Reference_Dropdown1!$B$27:$B$39,0)),AG29+$H29,"N/A"))</f>
        <v/>
      </c>
      <c r="AI29" s="26"/>
      <c r="AJ29" s="136" t="str">
        <f t="shared" si="4"/>
        <v/>
      </c>
      <c r="AK29" s="26"/>
      <c r="AL29" s="136" t="str">
        <f t="shared" si="5"/>
        <v/>
      </c>
      <c r="AM29" s="26"/>
      <c r="AN29" s="136" t="str">
        <f t="shared" si="6"/>
        <v/>
      </c>
      <c r="AO29" s="83">
        <f t="shared" si="7"/>
        <v>0</v>
      </c>
      <c r="AP29" s="135" t="str">
        <f t="shared" si="15"/>
        <v/>
      </c>
    </row>
    <row r="30" spans="1:42" s="7" customFormat="1" ht="27" customHeight="1" x14ac:dyDescent="0.35">
      <c r="A30" s="35" t="s">
        <v>101</v>
      </c>
      <c r="B30" s="80"/>
      <c r="C30" s="26"/>
      <c r="D30" s="141" t="str">
        <f>IFERROR(INDEX('Specified CCE Model Price List'!$A$3:$O$300,MATCH('Options_CCE Model Selection'!$C30,'Specified CCE Model Price List'!$E$3:$E$300,0),MATCH('Options_CCE Model Selection'!D$4,'Specified CCE Model Price List'!$A$3:$O$3,0)),"")</f>
        <v/>
      </c>
      <c r="E30" s="142" t="str">
        <f>IFERROR(INDEX('Specified CCE Model Price List'!$A$3:$O$300,MATCH('Options_CCE Model Selection'!$C30,'Specified CCE Model Price List'!$E$3:$E$300,0),MATCH('Options_CCE Model Selection'!E$4,'Specified CCE Model Price List'!$A$3:$O$3,0)),"")</f>
        <v/>
      </c>
      <c r="F30" s="142" t="str">
        <f>IFERROR(INDEX('Specified CCE Model Price List'!$A$3:$O$300,MATCH('Options_CCE Model Selection'!$C30,'Specified CCE Model Price List'!$E$3:$E$300,0),MATCH('Options_CCE Model Selection'!F$4,'Specified CCE Model Price List'!$A$3:$O$3,0)),"")</f>
        <v/>
      </c>
      <c r="G30" s="143" t="str">
        <f>IFERROR(INDEX('Specified CCE Model Price List'!$A$3:$O$300,MATCH('Options_CCE Model Selection'!$C30,'Specified CCE Model Price List'!$E$3:$E$300,0),MATCH('Options_CCE Model Selection'!G$4,'Specified CCE Model Price List'!$A$3:$O$3,0)),"")</f>
        <v/>
      </c>
      <c r="H30" s="38"/>
      <c r="I30" s="50" t="str">
        <f>IF(ISERROR(IF(ISERROR(MATCH($A30,Reference_Dropdown1!$B$27:$B$39,0)),G30+$H30,G30)),"",IF(ISERROR(MATCH($A30,Reference_Dropdown1!$B$27:$B$39,0)),G30+$H30,"N/A"))</f>
        <v/>
      </c>
      <c r="J30" s="228"/>
      <c r="K30" s="82" t="str">
        <f t="shared" si="8"/>
        <v/>
      </c>
      <c r="L30" s="228"/>
      <c r="M30" s="82" t="str">
        <f t="shared" si="9"/>
        <v/>
      </c>
      <c r="N30" s="225"/>
      <c r="O30" s="199" t="str">
        <f t="shared" si="10"/>
        <v/>
      </c>
      <c r="P30" s="200">
        <f t="shared" si="0"/>
        <v>0</v>
      </c>
      <c r="Q30" s="316" t="str">
        <f t="shared" si="16"/>
        <v/>
      </c>
      <c r="R30" s="26"/>
      <c r="S30" s="141" t="str">
        <f>IFERROR(INDEX('Specified CCE Model Price List'!$A$3:$O$300,MATCH('Options_CCE Model Selection'!$R30,'Specified CCE Model Price List'!$E$3:$E$300,0),MATCH('Options_CCE Model Selection'!S$4,'Specified CCE Model Price List'!$A$3:$O$3,0)),"")</f>
        <v/>
      </c>
      <c r="T30" s="142" t="str">
        <f>IFERROR(INDEX('Specified CCE Model Price List'!$A$3:$O$300,MATCH('Options_CCE Model Selection'!$R30,'Specified CCE Model Price List'!$E$3:$E$300,0),MATCH('Options_CCE Model Selection'!T$4,'Specified CCE Model Price List'!$A$3:$O$3,0)),"")</f>
        <v/>
      </c>
      <c r="U30" s="143" t="str">
        <f>IF(ISERROR(IF(ISERROR(MATCH($A30,Reference_Dropdown1!$B$27:$B$39,0)),T30+$H30,T30)),"",IF(ISERROR(MATCH($A30,Reference_Dropdown1!$B$27:$B$39,0)),T30+$H30,"N/A"))</f>
        <v/>
      </c>
      <c r="V30" s="85" t="str">
        <f t="shared" si="2"/>
        <v>_15</v>
      </c>
      <c r="W30" s="229"/>
      <c r="X30" s="135" t="str">
        <f t="shared" si="13"/>
        <v/>
      </c>
      <c r="Y30" s="229"/>
      <c r="Z30" s="138" t="str">
        <f t="shared" si="11"/>
        <v/>
      </c>
      <c r="AA30" s="229"/>
      <c r="AB30" s="138" t="str">
        <f t="shared" si="12"/>
        <v/>
      </c>
      <c r="AC30" s="95">
        <f t="shared" si="3"/>
        <v>0</v>
      </c>
      <c r="AD30" s="135" t="str">
        <f t="shared" si="14"/>
        <v/>
      </c>
      <c r="AE30" s="229"/>
      <c r="AF30" s="83" t="str">
        <f>IFERROR(INDEX('Specified CCE Model Price List'!$A$3:$O$300,MATCH('Options_CCE Model Selection'!$AE30,'Specified CCE Model Price List'!$E$3:$E$300,0),MATCH('Options_CCE Model Selection'!AF$4,'Specified CCE Model Price List'!$A$3:$O$3,0)),"")</f>
        <v/>
      </c>
      <c r="AG30" s="143" t="str">
        <f>IFERROR(INDEX('Specified CCE Model Price List'!$A$3:$O$300,MATCH('Options_CCE Model Selection'!$AE30,'Specified CCE Model Price List'!$E$3:$E$300,0),MATCH('Options_CCE Model Selection'!AG$4,'Specified CCE Model Price List'!$A$3:$O$3,0)),"")</f>
        <v/>
      </c>
      <c r="AH30" s="143" t="str">
        <f>IF(ISERROR(IF(ISERROR(MATCH($A30,Reference_Dropdown1!$B$27:$B$39,0)),AG30+$H30,AG30)),"",IF(ISERROR(MATCH($A30,Reference_Dropdown1!$B$27:$B$39,0)),AG30+$H30,"N/A"))</f>
        <v/>
      </c>
      <c r="AI30" s="26"/>
      <c r="AJ30" s="136" t="str">
        <f t="shared" si="4"/>
        <v/>
      </c>
      <c r="AK30" s="26"/>
      <c r="AL30" s="136" t="str">
        <f t="shared" si="5"/>
        <v/>
      </c>
      <c r="AM30" s="26"/>
      <c r="AN30" s="136" t="str">
        <f t="shared" si="6"/>
        <v/>
      </c>
      <c r="AO30" s="83">
        <f t="shared" si="7"/>
        <v>0</v>
      </c>
      <c r="AP30" s="135" t="str">
        <f t="shared" si="15"/>
        <v/>
      </c>
    </row>
    <row r="31" spans="1:42" s="7" customFormat="1" ht="27" customHeight="1" x14ac:dyDescent="0.35">
      <c r="A31" s="36" t="s">
        <v>102</v>
      </c>
      <c r="B31" s="80"/>
      <c r="C31" s="26"/>
      <c r="D31" s="141" t="str">
        <f>IFERROR(INDEX('Specified CCE Model Price List'!$A$3:$O$300,MATCH('Options_CCE Model Selection'!$C31,'Specified CCE Model Price List'!$E$3:$E$300,0),MATCH('Options_CCE Model Selection'!D$4,'Specified CCE Model Price List'!$A$3:$O$3,0)),"")</f>
        <v/>
      </c>
      <c r="E31" s="142" t="str">
        <f>IFERROR(INDEX('Specified CCE Model Price List'!$A$3:$O$300,MATCH('Options_CCE Model Selection'!$C31,'Specified CCE Model Price List'!$E$3:$E$300,0),MATCH('Options_CCE Model Selection'!E$4,'Specified CCE Model Price List'!$A$3:$O$3,0)),"")</f>
        <v/>
      </c>
      <c r="F31" s="142" t="str">
        <f>IFERROR(INDEX('Specified CCE Model Price List'!$A$3:$O$300,MATCH('Options_CCE Model Selection'!$C31,'Specified CCE Model Price List'!$E$3:$E$300,0),MATCH('Options_CCE Model Selection'!F$4,'Specified CCE Model Price List'!$A$3:$O$3,0)),"")</f>
        <v/>
      </c>
      <c r="G31" s="143" t="str">
        <f>IFERROR(INDEX('Specified CCE Model Price List'!$A$3:$O$300,MATCH('Options_CCE Model Selection'!$C31,'Specified CCE Model Price List'!$E$3:$E$300,0),MATCH('Options_CCE Model Selection'!G$4,'Specified CCE Model Price List'!$A$3:$O$3,0)),"")</f>
        <v/>
      </c>
      <c r="H31" s="38"/>
      <c r="I31" s="50" t="str">
        <f>IF(ISERROR(IF(ISERROR(MATCH($A31,Reference_Dropdown1!$B$27:$B$39,0)),G31+$H31,G31)),"",IF(ISERROR(MATCH($A31,Reference_Dropdown1!$B$27:$B$39,0)),G31+$H31,"N/A"))</f>
        <v/>
      </c>
      <c r="J31" s="228"/>
      <c r="K31" s="82" t="str">
        <f t="shared" si="8"/>
        <v/>
      </c>
      <c r="L31" s="228"/>
      <c r="M31" s="82" t="str">
        <f t="shared" si="9"/>
        <v/>
      </c>
      <c r="N31" s="225"/>
      <c r="O31" s="199" t="str">
        <f t="shared" si="10"/>
        <v/>
      </c>
      <c r="P31" s="200">
        <f t="shared" si="0"/>
        <v>0</v>
      </c>
      <c r="Q31" s="316" t="str">
        <f t="shared" si="16"/>
        <v/>
      </c>
      <c r="R31" s="26"/>
      <c r="S31" s="141" t="str">
        <f>IFERROR(INDEX('Specified CCE Model Price List'!$A$3:$O$300,MATCH('Options_CCE Model Selection'!$R31,'Specified CCE Model Price List'!$E$3:$E$300,0),MATCH('Options_CCE Model Selection'!S$4,'Specified CCE Model Price List'!$A$3:$O$3,0)),"")</f>
        <v/>
      </c>
      <c r="T31" s="142" t="str">
        <f>IFERROR(INDEX('Specified CCE Model Price List'!$A$3:$O$300,MATCH('Options_CCE Model Selection'!$R31,'Specified CCE Model Price List'!$E$3:$E$300,0),MATCH('Options_CCE Model Selection'!T$4,'Specified CCE Model Price List'!$A$3:$O$3,0)),"")</f>
        <v/>
      </c>
      <c r="U31" s="143" t="str">
        <f>IF(ISERROR(IF(ISERROR(MATCH($A31,Reference_Dropdown1!$B$27:$B$39,0)),T31+$H31,T31)),"",IF(ISERROR(MATCH($A31,Reference_Dropdown1!$B$27:$B$39,0)),T31+$H31,"N/A"))</f>
        <v/>
      </c>
      <c r="V31" s="85" t="str">
        <f t="shared" si="2"/>
        <v>_16</v>
      </c>
      <c r="W31" s="229"/>
      <c r="X31" s="135" t="str">
        <f t="shared" si="13"/>
        <v/>
      </c>
      <c r="Y31" s="229"/>
      <c r="Z31" s="138" t="str">
        <f t="shared" si="11"/>
        <v/>
      </c>
      <c r="AA31" s="229"/>
      <c r="AB31" s="138" t="str">
        <f t="shared" si="12"/>
        <v/>
      </c>
      <c r="AC31" s="95">
        <f t="shared" si="3"/>
        <v>0</v>
      </c>
      <c r="AD31" s="135" t="str">
        <f t="shared" si="14"/>
        <v/>
      </c>
      <c r="AE31" s="229"/>
      <c r="AF31" s="83" t="str">
        <f>IFERROR(INDEX('Specified CCE Model Price List'!$A$3:$O$300,MATCH('Options_CCE Model Selection'!$AE31,'Specified CCE Model Price List'!$E$3:$E$300,0),MATCH('Options_CCE Model Selection'!AF$4,'Specified CCE Model Price List'!$A$3:$O$3,0)),"")</f>
        <v/>
      </c>
      <c r="AG31" s="143" t="str">
        <f>IFERROR(INDEX('Specified CCE Model Price List'!$A$3:$O$300,MATCH('Options_CCE Model Selection'!$AE31,'Specified CCE Model Price List'!$E$3:$E$300,0),MATCH('Options_CCE Model Selection'!AG$4,'Specified CCE Model Price List'!$A$3:$O$3,0)),"")</f>
        <v/>
      </c>
      <c r="AH31" s="143" t="str">
        <f>IF(ISERROR(IF(ISERROR(MATCH($A31,Reference_Dropdown1!$B$27:$B$39,0)),AG31+$H31,AG31)),"",IF(ISERROR(MATCH($A31,Reference_Dropdown1!$B$27:$B$39,0)),AG31+$H31,"N/A"))</f>
        <v/>
      </c>
      <c r="AI31" s="26"/>
      <c r="AJ31" s="136" t="str">
        <f t="shared" si="4"/>
        <v/>
      </c>
      <c r="AK31" s="26"/>
      <c r="AL31" s="136" t="str">
        <f t="shared" si="5"/>
        <v/>
      </c>
      <c r="AM31" s="26"/>
      <c r="AN31" s="136" t="str">
        <f t="shared" si="6"/>
        <v/>
      </c>
      <c r="AO31" s="83">
        <f t="shared" si="7"/>
        <v>0</v>
      </c>
      <c r="AP31" s="135" t="str">
        <f t="shared" si="15"/>
        <v/>
      </c>
    </row>
    <row r="32" spans="1:42" s="7" customFormat="1" ht="27" customHeight="1" x14ac:dyDescent="0.35">
      <c r="A32" s="37" t="s">
        <v>103</v>
      </c>
      <c r="B32" s="80"/>
      <c r="C32" s="26"/>
      <c r="D32" s="141" t="str">
        <f>IFERROR(INDEX('Specified CCE Model Price List'!$A$3:$O$300,MATCH('Options_CCE Model Selection'!$C32,'Specified CCE Model Price List'!$E$3:$E$300,0),MATCH('Options_CCE Model Selection'!D$4,'Specified CCE Model Price List'!$A$3:$O$3,0)),"")</f>
        <v/>
      </c>
      <c r="E32" s="142" t="str">
        <f>IFERROR(INDEX('Specified CCE Model Price List'!$A$3:$O$300,MATCH('Options_CCE Model Selection'!$C32,'Specified CCE Model Price List'!$E$3:$E$300,0),MATCH('Options_CCE Model Selection'!E$4,'Specified CCE Model Price List'!$A$3:$O$3,0)),"")</f>
        <v/>
      </c>
      <c r="F32" s="142" t="str">
        <f>IFERROR(INDEX('Specified CCE Model Price List'!$A$3:$O$300,MATCH('Options_CCE Model Selection'!$C32,'Specified CCE Model Price List'!$E$3:$E$300,0),MATCH('Options_CCE Model Selection'!F$4,'Specified CCE Model Price List'!$A$3:$O$3,0)),"")</f>
        <v/>
      </c>
      <c r="G32" s="143" t="str">
        <f>IFERROR(INDEX('Specified CCE Model Price List'!$A$3:$O$300,MATCH('Options_CCE Model Selection'!$C32,'Specified CCE Model Price List'!$E$3:$E$300,0),MATCH('Options_CCE Model Selection'!G$4,'Specified CCE Model Price List'!$A$3:$O$3,0)),"")</f>
        <v/>
      </c>
      <c r="H32" s="38"/>
      <c r="I32" s="50" t="str">
        <f>IF(ISERROR(IF(ISERROR(MATCH($A32,Reference_Dropdown1!$B$27:$B$39,0)),G32+$H32,G32)),"",IF(ISERROR(MATCH($A32,Reference_Dropdown1!$B$27:$B$39,0)),G32+$H32,"N/A"))</f>
        <v/>
      </c>
      <c r="J32" s="228"/>
      <c r="K32" s="82" t="str">
        <f t="shared" si="8"/>
        <v/>
      </c>
      <c r="L32" s="228"/>
      <c r="M32" s="82" t="str">
        <f t="shared" si="9"/>
        <v/>
      </c>
      <c r="N32" s="225"/>
      <c r="O32" s="199" t="str">
        <f t="shared" si="10"/>
        <v/>
      </c>
      <c r="P32" s="200">
        <f t="shared" si="0"/>
        <v>0</v>
      </c>
      <c r="Q32" s="316" t="str">
        <f t="shared" si="16"/>
        <v/>
      </c>
      <c r="R32" s="26"/>
      <c r="S32" s="141" t="str">
        <f>IFERROR(INDEX('Specified CCE Model Price List'!$A$3:$O$300,MATCH('Options_CCE Model Selection'!$R32,'Specified CCE Model Price List'!$E$3:$E$300,0),MATCH('Options_CCE Model Selection'!S$4,'Specified CCE Model Price List'!$A$3:$O$3,0)),"")</f>
        <v/>
      </c>
      <c r="T32" s="142" t="str">
        <f>IFERROR(INDEX('Specified CCE Model Price List'!$A$3:$O$300,MATCH('Options_CCE Model Selection'!$R32,'Specified CCE Model Price List'!$E$3:$E$300,0),MATCH('Options_CCE Model Selection'!T$4,'Specified CCE Model Price List'!$A$3:$O$3,0)),"")</f>
        <v/>
      </c>
      <c r="U32" s="143" t="str">
        <f>IF(ISERROR(IF(ISERROR(MATCH($A32,Reference_Dropdown1!$B$27:$B$39,0)),T32+$H32,T32)),"",IF(ISERROR(MATCH($A32,Reference_Dropdown1!$B$27:$B$39,0)),T32+$H32,"N/A"))</f>
        <v/>
      </c>
      <c r="V32" s="85" t="str">
        <f t="shared" si="2"/>
        <v>_17</v>
      </c>
      <c r="W32" s="229"/>
      <c r="X32" s="135" t="str">
        <f t="shared" si="13"/>
        <v/>
      </c>
      <c r="Y32" s="229"/>
      <c r="Z32" s="138" t="str">
        <f t="shared" si="11"/>
        <v/>
      </c>
      <c r="AA32" s="229"/>
      <c r="AB32" s="138" t="str">
        <f t="shared" si="12"/>
        <v/>
      </c>
      <c r="AC32" s="95">
        <f t="shared" si="3"/>
        <v>0</v>
      </c>
      <c r="AD32" s="135" t="str">
        <f t="shared" si="14"/>
        <v/>
      </c>
      <c r="AE32" s="229"/>
      <c r="AF32" s="83" t="str">
        <f>IFERROR(INDEX('Specified CCE Model Price List'!$A$3:$O$300,MATCH('Options_CCE Model Selection'!$AE32,'Specified CCE Model Price List'!$E$3:$E$300,0),MATCH('Options_CCE Model Selection'!AF$4,'Specified CCE Model Price List'!$A$3:$O$3,0)),"")</f>
        <v/>
      </c>
      <c r="AG32" s="143" t="str">
        <f>IFERROR(INDEX('Specified CCE Model Price List'!$A$3:$O$300,MATCH('Options_CCE Model Selection'!$AE32,'Specified CCE Model Price List'!$E$3:$E$300,0),MATCH('Options_CCE Model Selection'!AG$4,'Specified CCE Model Price List'!$A$3:$O$3,0)),"")</f>
        <v/>
      </c>
      <c r="AH32" s="143" t="str">
        <f>IF(ISERROR(IF(ISERROR(MATCH($A32,Reference_Dropdown1!$B$27:$B$39,0)),AG32+$H32,AG32)),"",IF(ISERROR(MATCH($A32,Reference_Dropdown1!$B$27:$B$39,0)),AG32+$H32,"N/A"))</f>
        <v/>
      </c>
      <c r="AI32" s="26"/>
      <c r="AJ32" s="136" t="str">
        <f t="shared" si="4"/>
        <v/>
      </c>
      <c r="AK32" s="26"/>
      <c r="AL32" s="136" t="str">
        <f t="shared" si="5"/>
        <v/>
      </c>
      <c r="AM32" s="26"/>
      <c r="AN32" s="136" t="str">
        <f t="shared" si="6"/>
        <v/>
      </c>
      <c r="AO32" s="83">
        <f t="shared" si="7"/>
        <v>0</v>
      </c>
      <c r="AP32" s="135" t="str">
        <f t="shared" si="15"/>
        <v/>
      </c>
    </row>
    <row r="33" spans="1:42" s="7" customFormat="1" ht="27" customHeight="1" x14ac:dyDescent="0.35">
      <c r="A33" s="37" t="s">
        <v>104</v>
      </c>
      <c r="B33" s="80"/>
      <c r="C33" s="26"/>
      <c r="D33" s="141" t="str">
        <f>IFERROR(INDEX('Specified CCE Model Price List'!$A$3:$O$300,MATCH('Options_CCE Model Selection'!$C33,'Specified CCE Model Price List'!$E$3:$E$300,0),MATCH('Options_CCE Model Selection'!D$4,'Specified CCE Model Price List'!$A$3:$O$3,0)),"")</f>
        <v/>
      </c>
      <c r="E33" s="142" t="str">
        <f>IFERROR(INDEX('Specified CCE Model Price List'!$A$3:$O$300,MATCH('Options_CCE Model Selection'!$C33,'Specified CCE Model Price List'!$E$3:$E$300,0),MATCH('Options_CCE Model Selection'!E$4,'Specified CCE Model Price List'!$A$3:$O$3,0)),"")</f>
        <v/>
      </c>
      <c r="F33" s="142" t="str">
        <f>IFERROR(INDEX('Specified CCE Model Price List'!$A$3:$O$300,MATCH('Options_CCE Model Selection'!$C33,'Specified CCE Model Price List'!$E$3:$E$300,0),MATCH('Options_CCE Model Selection'!F$4,'Specified CCE Model Price List'!$A$3:$O$3,0)),"")</f>
        <v/>
      </c>
      <c r="G33" s="143" t="str">
        <f>IFERROR(INDEX('Specified CCE Model Price List'!$A$3:$O$300,MATCH('Options_CCE Model Selection'!$C33,'Specified CCE Model Price List'!$E$3:$E$300,0),MATCH('Options_CCE Model Selection'!G$4,'Specified CCE Model Price List'!$A$3:$O$3,0)),"")</f>
        <v/>
      </c>
      <c r="H33" s="38"/>
      <c r="I33" s="50" t="str">
        <f>IF(ISERROR(IF(ISERROR(MATCH($A33,Reference_Dropdown1!$B$27:$B$39,0)),G33+$H33,G33)),"",IF(ISERROR(MATCH($A33,Reference_Dropdown1!$B$27:$B$39,0)),G33+$H33,"N/A"))</f>
        <v/>
      </c>
      <c r="J33" s="228"/>
      <c r="K33" s="82" t="str">
        <f t="shared" si="8"/>
        <v/>
      </c>
      <c r="L33" s="228"/>
      <c r="M33" s="82" t="str">
        <f t="shared" si="9"/>
        <v/>
      </c>
      <c r="N33" s="225"/>
      <c r="O33" s="199" t="str">
        <f t="shared" si="10"/>
        <v/>
      </c>
      <c r="P33" s="200">
        <f t="shared" si="0"/>
        <v>0</v>
      </c>
      <c r="Q33" s="316" t="str">
        <f t="shared" si="16"/>
        <v/>
      </c>
      <c r="R33" s="26"/>
      <c r="S33" s="141" t="str">
        <f>IFERROR(INDEX('Specified CCE Model Price List'!$A$3:$O$300,MATCH('Options_CCE Model Selection'!$R33,'Specified CCE Model Price List'!$E$3:$E$300,0),MATCH('Options_CCE Model Selection'!S$4,'Specified CCE Model Price List'!$A$3:$O$3,0)),"")</f>
        <v/>
      </c>
      <c r="T33" s="142" t="str">
        <f>IFERROR(INDEX('Specified CCE Model Price List'!$A$3:$O$300,MATCH('Options_CCE Model Selection'!$R33,'Specified CCE Model Price List'!$E$3:$E$300,0),MATCH('Options_CCE Model Selection'!T$4,'Specified CCE Model Price List'!$A$3:$O$3,0)),"")</f>
        <v/>
      </c>
      <c r="U33" s="143" t="str">
        <f>IF(ISERROR(IF(ISERROR(MATCH($A33,Reference_Dropdown1!$B$27:$B$39,0)),T33+$H33,T33)),"",IF(ISERROR(MATCH($A33,Reference_Dropdown1!$B$27:$B$39,0)),T33+$H33,"N/A"))</f>
        <v/>
      </c>
      <c r="V33" s="85" t="str">
        <f t="shared" si="2"/>
        <v>_18</v>
      </c>
      <c r="W33" s="229"/>
      <c r="X33" s="135" t="str">
        <f t="shared" si="13"/>
        <v/>
      </c>
      <c r="Y33" s="229"/>
      <c r="Z33" s="138" t="str">
        <f t="shared" si="11"/>
        <v/>
      </c>
      <c r="AA33" s="229"/>
      <c r="AB33" s="138" t="str">
        <f t="shared" si="12"/>
        <v/>
      </c>
      <c r="AC33" s="95">
        <f t="shared" si="3"/>
        <v>0</v>
      </c>
      <c r="AD33" s="135" t="str">
        <f t="shared" si="14"/>
        <v/>
      </c>
      <c r="AE33" s="229"/>
      <c r="AF33" s="83" t="str">
        <f>IFERROR(INDEX('Specified CCE Model Price List'!$A$3:$O$300,MATCH('Options_CCE Model Selection'!$AE33,'Specified CCE Model Price List'!$E$3:$E$300,0),MATCH('Options_CCE Model Selection'!AF$4,'Specified CCE Model Price List'!$A$3:$O$3,0)),"")</f>
        <v/>
      </c>
      <c r="AG33" s="143" t="str">
        <f>IFERROR(INDEX('Specified CCE Model Price List'!$A$3:$O$300,MATCH('Options_CCE Model Selection'!$AE33,'Specified CCE Model Price List'!$E$3:$E$300,0),MATCH('Options_CCE Model Selection'!AG$4,'Specified CCE Model Price List'!$A$3:$O$3,0)),"")</f>
        <v/>
      </c>
      <c r="AH33" s="143" t="str">
        <f>IF(ISERROR(IF(ISERROR(MATCH($A33,Reference_Dropdown1!$B$27:$B$39,0)),AG33+$H33,AG33)),"",IF(ISERROR(MATCH($A33,Reference_Dropdown1!$B$27:$B$39,0)),AG33+$H33,"N/A"))</f>
        <v/>
      </c>
      <c r="AI33" s="26"/>
      <c r="AJ33" s="136" t="str">
        <f t="shared" si="4"/>
        <v/>
      </c>
      <c r="AK33" s="26"/>
      <c r="AL33" s="136" t="str">
        <f t="shared" si="5"/>
        <v/>
      </c>
      <c r="AM33" s="26"/>
      <c r="AN33" s="136" t="str">
        <f t="shared" si="6"/>
        <v/>
      </c>
      <c r="AO33" s="83">
        <f t="shared" si="7"/>
        <v>0</v>
      </c>
      <c r="AP33" s="135" t="str">
        <f t="shared" si="15"/>
        <v/>
      </c>
    </row>
    <row r="34" spans="1:42" s="7" customFormat="1" ht="27" customHeight="1" x14ac:dyDescent="0.35">
      <c r="A34" s="37" t="s">
        <v>105</v>
      </c>
      <c r="B34" s="80"/>
      <c r="C34" s="26"/>
      <c r="D34" s="141" t="str">
        <f>IFERROR(INDEX('Specified CCE Model Price List'!$A$3:$O$300,MATCH('Options_CCE Model Selection'!$C34,'Specified CCE Model Price List'!$E$3:$E$300,0),MATCH('Options_CCE Model Selection'!D$4,'Specified CCE Model Price List'!$A$3:$O$3,0)),"")</f>
        <v/>
      </c>
      <c r="E34" s="142" t="str">
        <f>IFERROR(INDEX('Specified CCE Model Price List'!$A$3:$O$300,MATCH('Options_CCE Model Selection'!$C34,'Specified CCE Model Price List'!$E$3:$E$300,0),MATCH('Options_CCE Model Selection'!E$4,'Specified CCE Model Price List'!$A$3:$O$3,0)),"")</f>
        <v/>
      </c>
      <c r="F34" s="142" t="str">
        <f>IFERROR(INDEX('Specified CCE Model Price List'!$A$3:$O$300,MATCH('Options_CCE Model Selection'!$C34,'Specified CCE Model Price List'!$E$3:$E$300,0),MATCH('Options_CCE Model Selection'!F$4,'Specified CCE Model Price List'!$A$3:$O$3,0)),"")</f>
        <v/>
      </c>
      <c r="G34" s="143" t="str">
        <f>IFERROR(INDEX('Specified CCE Model Price List'!$A$3:$O$300,MATCH('Options_CCE Model Selection'!$C34,'Specified CCE Model Price List'!$E$3:$E$300,0),MATCH('Options_CCE Model Selection'!G$4,'Specified CCE Model Price List'!$A$3:$O$3,0)),"")</f>
        <v/>
      </c>
      <c r="H34" s="38"/>
      <c r="I34" s="50" t="str">
        <f>IF(ISERROR(IF(ISERROR(MATCH($A34,Reference_Dropdown1!$B$27:$B$39,0)),G34+$H34,G34)),"",IF(ISERROR(MATCH($A34,Reference_Dropdown1!$B$27:$B$39,0)),G34+$H34,"N/A"))</f>
        <v/>
      </c>
      <c r="J34" s="228"/>
      <c r="K34" s="82" t="str">
        <f t="shared" si="8"/>
        <v/>
      </c>
      <c r="L34" s="228"/>
      <c r="M34" s="82" t="str">
        <f t="shared" si="9"/>
        <v/>
      </c>
      <c r="N34" s="225"/>
      <c r="O34" s="199" t="str">
        <f t="shared" si="10"/>
        <v/>
      </c>
      <c r="P34" s="200">
        <f t="shared" si="0"/>
        <v>0</v>
      </c>
      <c r="Q34" s="316" t="str">
        <f t="shared" si="16"/>
        <v/>
      </c>
      <c r="R34" s="26"/>
      <c r="S34" s="141" t="str">
        <f>IFERROR(INDEX('Specified CCE Model Price List'!$A$3:$O$300,MATCH('Options_CCE Model Selection'!$R34,'Specified CCE Model Price List'!$E$3:$E$300,0),MATCH('Options_CCE Model Selection'!S$4,'Specified CCE Model Price List'!$A$3:$O$3,0)),"")</f>
        <v/>
      </c>
      <c r="T34" s="142" t="str">
        <f>IFERROR(INDEX('Specified CCE Model Price List'!$A$3:$O$300,MATCH('Options_CCE Model Selection'!$R34,'Specified CCE Model Price List'!$E$3:$E$300,0),MATCH('Options_CCE Model Selection'!T$4,'Specified CCE Model Price List'!$A$3:$O$3,0)),"")</f>
        <v/>
      </c>
      <c r="U34" s="143" t="str">
        <f>IF(ISERROR(IF(ISERROR(MATCH($A34,Reference_Dropdown1!$B$27:$B$39,0)),T34+$H34,T34)),"",IF(ISERROR(MATCH($A34,Reference_Dropdown1!$B$27:$B$39,0)),T34+$H34,"N/A"))</f>
        <v/>
      </c>
      <c r="V34" s="85" t="str">
        <f t="shared" si="2"/>
        <v>_19</v>
      </c>
      <c r="W34" s="229"/>
      <c r="X34" s="135" t="str">
        <f t="shared" si="13"/>
        <v/>
      </c>
      <c r="Y34" s="229"/>
      <c r="Z34" s="138" t="str">
        <f t="shared" si="11"/>
        <v/>
      </c>
      <c r="AA34" s="229"/>
      <c r="AB34" s="138" t="str">
        <f t="shared" si="12"/>
        <v/>
      </c>
      <c r="AC34" s="95">
        <f t="shared" si="3"/>
        <v>0</v>
      </c>
      <c r="AD34" s="135" t="str">
        <f t="shared" si="14"/>
        <v/>
      </c>
      <c r="AE34" s="229"/>
      <c r="AF34" s="83" t="str">
        <f>IFERROR(INDEX('Specified CCE Model Price List'!$A$3:$O$300,MATCH('Options_CCE Model Selection'!$AE34,'Specified CCE Model Price List'!$E$3:$E$300,0),MATCH('Options_CCE Model Selection'!AF$4,'Specified CCE Model Price List'!$A$3:$O$3,0)),"")</f>
        <v/>
      </c>
      <c r="AG34" s="143" t="str">
        <f>IFERROR(INDEX('Specified CCE Model Price List'!$A$3:$O$300,MATCH('Options_CCE Model Selection'!$AE34,'Specified CCE Model Price List'!$E$3:$E$300,0),MATCH('Options_CCE Model Selection'!AG$4,'Specified CCE Model Price List'!$A$3:$O$3,0)),"")</f>
        <v/>
      </c>
      <c r="AH34" s="143" t="str">
        <f>IF(ISERROR(IF(ISERROR(MATCH($A34,Reference_Dropdown1!$B$27:$B$39,0)),AG34+$H34,AG34)),"",IF(ISERROR(MATCH($A34,Reference_Dropdown1!$B$27:$B$39,0)),AG34+$H34,"N/A"))</f>
        <v/>
      </c>
      <c r="AI34" s="26"/>
      <c r="AJ34" s="136" t="str">
        <f t="shared" si="4"/>
        <v/>
      </c>
      <c r="AK34" s="26"/>
      <c r="AL34" s="136" t="str">
        <f t="shared" si="5"/>
        <v/>
      </c>
      <c r="AM34" s="26"/>
      <c r="AN34" s="136" t="str">
        <f t="shared" si="6"/>
        <v/>
      </c>
      <c r="AO34" s="83">
        <f t="shared" si="7"/>
        <v>0</v>
      </c>
      <c r="AP34" s="135" t="str">
        <f t="shared" si="15"/>
        <v/>
      </c>
    </row>
    <row r="35" spans="1:42" s="7" customFormat="1" ht="27" customHeight="1" x14ac:dyDescent="0.35">
      <c r="A35" s="37" t="s">
        <v>106</v>
      </c>
      <c r="B35" s="80"/>
      <c r="C35" s="26"/>
      <c r="D35" s="141" t="str">
        <f>IFERROR(INDEX('Specified CCE Model Price List'!$A$3:$O$300,MATCH('Options_CCE Model Selection'!$C35,'Specified CCE Model Price List'!$E$3:$E$300,0),MATCH('Options_CCE Model Selection'!D$4,'Specified CCE Model Price List'!$A$3:$O$3,0)),"")</f>
        <v/>
      </c>
      <c r="E35" s="142" t="str">
        <f>IFERROR(INDEX('Specified CCE Model Price List'!$A$3:$O$300,MATCH('Options_CCE Model Selection'!$C35,'Specified CCE Model Price List'!$E$3:$E$300,0),MATCH('Options_CCE Model Selection'!E$4,'Specified CCE Model Price List'!$A$3:$O$3,0)),"")</f>
        <v/>
      </c>
      <c r="F35" s="142" t="str">
        <f>IFERROR(INDEX('Specified CCE Model Price List'!$A$3:$O$300,MATCH('Options_CCE Model Selection'!$C35,'Specified CCE Model Price List'!$E$3:$E$300,0),MATCH('Options_CCE Model Selection'!F$4,'Specified CCE Model Price List'!$A$3:$O$3,0)),"")</f>
        <v/>
      </c>
      <c r="G35" s="143" t="str">
        <f>IFERROR(INDEX('Specified CCE Model Price List'!$A$3:$O$300,MATCH('Options_CCE Model Selection'!$C35,'Specified CCE Model Price List'!$E$3:$E$300,0),MATCH('Options_CCE Model Selection'!G$4,'Specified CCE Model Price List'!$A$3:$O$3,0)),"")</f>
        <v/>
      </c>
      <c r="H35" s="38"/>
      <c r="I35" s="50" t="str">
        <f>IF(ISERROR(IF(ISERROR(MATCH($A35,Reference_Dropdown1!$B$27:$B$39,0)),G35+$H35,G35)),"",IF(ISERROR(MATCH($A35,Reference_Dropdown1!$B$27:$B$39,0)),G35+$H35,"N/A"))</f>
        <v/>
      </c>
      <c r="J35" s="228"/>
      <c r="K35" s="82" t="str">
        <f t="shared" si="8"/>
        <v/>
      </c>
      <c r="L35" s="228"/>
      <c r="M35" s="82" t="str">
        <f t="shared" si="9"/>
        <v/>
      </c>
      <c r="N35" s="225"/>
      <c r="O35" s="199" t="str">
        <f t="shared" si="10"/>
        <v/>
      </c>
      <c r="P35" s="200">
        <f t="shared" si="0"/>
        <v>0</v>
      </c>
      <c r="Q35" s="316" t="str">
        <f t="shared" si="16"/>
        <v/>
      </c>
      <c r="R35" s="26"/>
      <c r="S35" s="141" t="str">
        <f>IFERROR(INDEX('Specified CCE Model Price List'!$A$3:$O$300,MATCH('Options_CCE Model Selection'!$R35,'Specified CCE Model Price List'!$E$3:$E$300,0),MATCH('Options_CCE Model Selection'!S$4,'Specified CCE Model Price List'!$A$3:$O$3,0)),"")</f>
        <v/>
      </c>
      <c r="T35" s="142" t="str">
        <f>IFERROR(INDEX('Specified CCE Model Price List'!$A$3:$O$300,MATCH('Options_CCE Model Selection'!$R35,'Specified CCE Model Price List'!$E$3:$E$300,0),MATCH('Options_CCE Model Selection'!T$4,'Specified CCE Model Price List'!$A$3:$O$3,0)),"")</f>
        <v/>
      </c>
      <c r="U35" s="143" t="str">
        <f>IF(ISERROR(IF(ISERROR(MATCH($A35,Reference_Dropdown1!$B$27:$B$39,0)),T35+$H35,T35)),"",IF(ISERROR(MATCH($A35,Reference_Dropdown1!$B$27:$B$39,0)),T35+$H35,"N/A"))</f>
        <v/>
      </c>
      <c r="V35" s="85" t="str">
        <f t="shared" si="2"/>
        <v>_20</v>
      </c>
      <c r="W35" s="229"/>
      <c r="X35" s="135" t="str">
        <f t="shared" si="13"/>
        <v/>
      </c>
      <c r="Y35" s="229"/>
      <c r="Z35" s="138" t="str">
        <f t="shared" si="11"/>
        <v/>
      </c>
      <c r="AA35" s="229"/>
      <c r="AB35" s="138" t="str">
        <f t="shared" si="12"/>
        <v/>
      </c>
      <c r="AC35" s="95">
        <f t="shared" si="3"/>
        <v>0</v>
      </c>
      <c r="AD35" s="135" t="str">
        <f t="shared" si="14"/>
        <v/>
      </c>
      <c r="AE35" s="229"/>
      <c r="AF35" s="83" t="str">
        <f>IFERROR(INDEX('Specified CCE Model Price List'!$A$3:$O$300,MATCH('Options_CCE Model Selection'!$AE35,'Specified CCE Model Price List'!$E$3:$E$300,0),MATCH('Options_CCE Model Selection'!AF$4,'Specified CCE Model Price List'!$A$3:$O$3,0)),"")</f>
        <v/>
      </c>
      <c r="AG35" s="143" t="str">
        <f>IFERROR(INDEX('Specified CCE Model Price List'!$A$3:$O$300,MATCH('Options_CCE Model Selection'!$AE35,'Specified CCE Model Price List'!$E$3:$E$300,0),MATCH('Options_CCE Model Selection'!AG$4,'Specified CCE Model Price List'!$A$3:$O$3,0)),"")</f>
        <v/>
      </c>
      <c r="AH35" s="143" t="str">
        <f>IF(ISERROR(IF(ISERROR(MATCH($A35,Reference_Dropdown1!$B$27:$B$39,0)),AG35+$H35,AG35)),"",IF(ISERROR(MATCH($A35,Reference_Dropdown1!$B$27:$B$39,0)),AG35+$H35,"N/A"))</f>
        <v/>
      </c>
      <c r="AI35" s="26"/>
      <c r="AJ35" s="136" t="str">
        <f t="shared" si="4"/>
        <v/>
      </c>
      <c r="AK35" s="26"/>
      <c r="AL35" s="136" t="str">
        <f t="shared" si="5"/>
        <v/>
      </c>
      <c r="AM35" s="26"/>
      <c r="AN35" s="136" t="str">
        <f t="shared" si="6"/>
        <v/>
      </c>
      <c r="AO35" s="83">
        <f t="shared" si="7"/>
        <v>0</v>
      </c>
      <c r="AP35" s="135" t="str">
        <f t="shared" si="15"/>
        <v/>
      </c>
    </row>
    <row r="36" spans="1:42" s="7" customFormat="1" ht="27" customHeight="1" x14ac:dyDescent="0.35">
      <c r="A36" s="37" t="s">
        <v>107</v>
      </c>
      <c r="B36" s="80"/>
      <c r="C36" s="26"/>
      <c r="D36" s="141" t="str">
        <f>IFERROR(INDEX('Specified CCE Model Price List'!$A$3:$O$300,MATCH('Options_CCE Model Selection'!$C36,'Specified CCE Model Price List'!$E$3:$E$300,0),MATCH('Options_CCE Model Selection'!D$4,'Specified CCE Model Price List'!$A$3:$O$3,0)),"")</f>
        <v/>
      </c>
      <c r="E36" s="142" t="str">
        <f>IFERROR(INDEX('Specified CCE Model Price List'!$A$3:$O$300,MATCH('Options_CCE Model Selection'!$C36,'Specified CCE Model Price List'!$E$3:$E$300,0),MATCH('Options_CCE Model Selection'!E$4,'Specified CCE Model Price List'!$A$3:$O$3,0)),"")</f>
        <v/>
      </c>
      <c r="F36" s="142" t="str">
        <f>IFERROR(INDEX('Specified CCE Model Price List'!$A$3:$O$300,MATCH('Options_CCE Model Selection'!$C36,'Specified CCE Model Price List'!$E$3:$E$300,0),MATCH('Options_CCE Model Selection'!F$4,'Specified CCE Model Price List'!$A$3:$O$3,0)),"")</f>
        <v/>
      </c>
      <c r="G36" s="143" t="str">
        <f>IFERROR(INDEX('Specified CCE Model Price List'!$A$3:$O$300,MATCH('Options_CCE Model Selection'!$C36,'Specified CCE Model Price List'!$E$3:$E$300,0),MATCH('Options_CCE Model Selection'!G$4,'Specified CCE Model Price List'!$A$3:$O$3,0)),"")</f>
        <v/>
      </c>
      <c r="H36" s="38"/>
      <c r="I36" s="50" t="str">
        <f>IF(ISERROR(IF(ISERROR(MATCH($A36,Reference_Dropdown1!$B$27:$B$39,0)),G36+$H36,G36)),"",IF(ISERROR(MATCH($A36,Reference_Dropdown1!$B$27:$B$39,0)),G36+$H36,"N/A"))</f>
        <v/>
      </c>
      <c r="J36" s="228"/>
      <c r="K36" s="82" t="str">
        <f t="shared" si="8"/>
        <v/>
      </c>
      <c r="L36" s="228"/>
      <c r="M36" s="82" t="str">
        <f t="shared" si="9"/>
        <v/>
      </c>
      <c r="N36" s="225"/>
      <c r="O36" s="199" t="str">
        <f t="shared" si="10"/>
        <v/>
      </c>
      <c r="P36" s="200">
        <f t="shared" si="0"/>
        <v>0</v>
      </c>
      <c r="Q36" s="316" t="str">
        <f t="shared" si="16"/>
        <v/>
      </c>
      <c r="R36" s="26"/>
      <c r="S36" s="141" t="str">
        <f>IFERROR(INDEX('Specified CCE Model Price List'!$A$3:$O$300,MATCH('Options_CCE Model Selection'!$R36,'Specified CCE Model Price List'!$E$3:$E$300,0),MATCH('Options_CCE Model Selection'!S$4,'Specified CCE Model Price List'!$A$3:$O$3,0)),"")</f>
        <v/>
      </c>
      <c r="T36" s="142" t="str">
        <f>IFERROR(INDEX('Specified CCE Model Price List'!$A$3:$O$300,MATCH('Options_CCE Model Selection'!$R36,'Specified CCE Model Price List'!$E$3:$E$300,0),MATCH('Options_CCE Model Selection'!T$4,'Specified CCE Model Price List'!$A$3:$O$3,0)),"")</f>
        <v/>
      </c>
      <c r="U36" s="143" t="str">
        <f>IF(ISERROR(IF(ISERROR(MATCH($A36,Reference_Dropdown1!$B$27:$B$39,0)),T36+$H36,T36)),"",IF(ISERROR(MATCH($A36,Reference_Dropdown1!$B$27:$B$39,0)),T36+$H36,"N/A"))</f>
        <v/>
      </c>
      <c r="V36" s="85" t="str">
        <f t="shared" si="2"/>
        <v>_21</v>
      </c>
      <c r="W36" s="229"/>
      <c r="X36" s="135" t="str">
        <f t="shared" si="13"/>
        <v/>
      </c>
      <c r="Y36" s="229"/>
      <c r="Z36" s="138" t="str">
        <f t="shared" si="11"/>
        <v/>
      </c>
      <c r="AA36" s="229"/>
      <c r="AB36" s="138" t="str">
        <f t="shared" si="12"/>
        <v/>
      </c>
      <c r="AC36" s="95">
        <f t="shared" si="3"/>
        <v>0</v>
      </c>
      <c r="AD36" s="135" t="str">
        <f t="shared" si="14"/>
        <v/>
      </c>
      <c r="AE36" s="229"/>
      <c r="AF36" s="83" t="str">
        <f>IFERROR(INDEX('Specified CCE Model Price List'!$A$3:$O$300,MATCH('Options_CCE Model Selection'!$AE36,'Specified CCE Model Price List'!$E$3:$E$300,0),MATCH('Options_CCE Model Selection'!AF$4,'Specified CCE Model Price List'!$A$3:$O$3,0)),"")</f>
        <v/>
      </c>
      <c r="AG36" s="143" t="str">
        <f>IFERROR(INDEX('Specified CCE Model Price List'!$A$3:$O$300,MATCH('Options_CCE Model Selection'!$AE36,'Specified CCE Model Price List'!$E$3:$E$300,0),MATCH('Options_CCE Model Selection'!AG$4,'Specified CCE Model Price List'!$A$3:$O$3,0)),"")</f>
        <v/>
      </c>
      <c r="AH36" s="143" t="str">
        <f>IF(ISERROR(IF(ISERROR(MATCH($A36,Reference_Dropdown1!$B$27:$B$39,0)),AG36+$H36,AG36)),"",IF(ISERROR(MATCH($A36,Reference_Dropdown1!$B$27:$B$39,0)),AG36+$H36,"N/A"))</f>
        <v/>
      </c>
      <c r="AI36" s="26"/>
      <c r="AJ36" s="136" t="str">
        <f t="shared" si="4"/>
        <v/>
      </c>
      <c r="AK36" s="26"/>
      <c r="AL36" s="136" t="str">
        <f t="shared" si="5"/>
        <v/>
      </c>
      <c r="AM36" s="26"/>
      <c r="AN36" s="136" t="str">
        <f t="shared" si="6"/>
        <v/>
      </c>
      <c r="AO36" s="83">
        <f t="shared" si="7"/>
        <v>0</v>
      </c>
      <c r="AP36" s="135" t="str">
        <f t="shared" si="15"/>
        <v/>
      </c>
    </row>
    <row r="37" spans="1:42" s="7" customFormat="1" ht="27" customHeight="1" x14ac:dyDescent="0.35">
      <c r="A37" s="37" t="s">
        <v>108</v>
      </c>
      <c r="B37" s="80"/>
      <c r="C37" s="26"/>
      <c r="D37" s="141" t="str">
        <f>IFERROR(INDEX('Specified CCE Model Price List'!$A$3:$O$300,MATCH('Options_CCE Model Selection'!$C37,'Specified CCE Model Price List'!$E$3:$E$300,0),MATCH('Options_CCE Model Selection'!D$4,'Specified CCE Model Price List'!$A$3:$O$3,0)),"")</f>
        <v/>
      </c>
      <c r="E37" s="142" t="str">
        <f>IFERROR(INDEX('Specified CCE Model Price List'!$A$3:$O$300,MATCH('Options_CCE Model Selection'!$C37,'Specified CCE Model Price List'!$E$3:$E$300,0),MATCH('Options_CCE Model Selection'!E$4,'Specified CCE Model Price List'!$A$3:$O$3,0)),"")</f>
        <v/>
      </c>
      <c r="F37" s="142" t="str">
        <f>IFERROR(INDEX('Specified CCE Model Price List'!$A$3:$O$300,MATCH('Options_CCE Model Selection'!$C37,'Specified CCE Model Price List'!$E$3:$E$300,0),MATCH('Options_CCE Model Selection'!F$4,'Specified CCE Model Price List'!$A$3:$O$3,0)),"")</f>
        <v/>
      </c>
      <c r="G37" s="143" t="str">
        <f>IFERROR(INDEX('Specified CCE Model Price List'!$A$3:$O$300,MATCH('Options_CCE Model Selection'!$C37,'Specified CCE Model Price List'!$E$3:$E$300,0),MATCH('Options_CCE Model Selection'!G$4,'Specified CCE Model Price List'!$A$3:$O$3,0)),"")</f>
        <v/>
      </c>
      <c r="H37" s="38"/>
      <c r="I37" s="50" t="str">
        <f>IF(ISERROR(IF(ISERROR(MATCH($A37,Reference_Dropdown1!$B$27:$B$39,0)),G37+$H37,G37)),"",IF(ISERROR(MATCH($A37,Reference_Dropdown1!$B$27:$B$39,0)),G37+$H37,"N/A"))</f>
        <v/>
      </c>
      <c r="J37" s="228"/>
      <c r="K37" s="82" t="str">
        <f t="shared" si="8"/>
        <v/>
      </c>
      <c r="L37" s="228"/>
      <c r="M37" s="82" t="str">
        <f t="shared" si="9"/>
        <v/>
      </c>
      <c r="N37" s="225"/>
      <c r="O37" s="199" t="str">
        <f t="shared" si="10"/>
        <v/>
      </c>
      <c r="P37" s="200">
        <f t="shared" si="0"/>
        <v>0</v>
      </c>
      <c r="Q37" s="316" t="str">
        <f t="shared" si="16"/>
        <v/>
      </c>
      <c r="R37" s="26"/>
      <c r="S37" s="141" t="str">
        <f>IFERROR(INDEX('Specified CCE Model Price List'!$A$3:$O$300,MATCH('Options_CCE Model Selection'!$R37,'Specified CCE Model Price List'!$E$3:$E$300,0),MATCH('Options_CCE Model Selection'!S$4,'Specified CCE Model Price List'!$A$3:$O$3,0)),"")</f>
        <v/>
      </c>
      <c r="T37" s="142" t="str">
        <f>IFERROR(INDEX('Specified CCE Model Price List'!$A$3:$O$300,MATCH('Options_CCE Model Selection'!$R37,'Specified CCE Model Price List'!$E$3:$E$300,0),MATCH('Options_CCE Model Selection'!T$4,'Specified CCE Model Price List'!$A$3:$O$3,0)),"")</f>
        <v/>
      </c>
      <c r="U37" s="143" t="str">
        <f>IF(ISERROR(IF(ISERROR(MATCH($A37,Reference_Dropdown1!$B$27:$B$39,0)),T37+$H37,T37)),"",IF(ISERROR(MATCH($A37,Reference_Dropdown1!$B$27:$B$39,0)),T37+$H37,"N/A"))</f>
        <v/>
      </c>
      <c r="V37" s="85" t="str">
        <f t="shared" si="2"/>
        <v>_22</v>
      </c>
      <c r="W37" s="229"/>
      <c r="X37" s="135" t="str">
        <f t="shared" si="13"/>
        <v/>
      </c>
      <c r="Y37" s="229"/>
      <c r="Z37" s="138" t="str">
        <f t="shared" si="11"/>
        <v/>
      </c>
      <c r="AA37" s="229"/>
      <c r="AB37" s="138" t="str">
        <f t="shared" si="12"/>
        <v/>
      </c>
      <c r="AC37" s="95">
        <f t="shared" si="3"/>
        <v>0</v>
      </c>
      <c r="AD37" s="135" t="str">
        <f t="shared" si="14"/>
        <v/>
      </c>
      <c r="AE37" s="229"/>
      <c r="AF37" s="83" t="str">
        <f>IFERROR(INDEX('Specified CCE Model Price List'!$A$3:$O$300,MATCH('Options_CCE Model Selection'!$AE37,'Specified CCE Model Price List'!$E$3:$E$300,0),MATCH('Options_CCE Model Selection'!AF$4,'Specified CCE Model Price List'!$A$3:$O$3,0)),"")</f>
        <v/>
      </c>
      <c r="AG37" s="143" t="str">
        <f>IFERROR(INDEX('Specified CCE Model Price List'!$A$3:$O$300,MATCH('Options_CCE Model Selection'!$AE37,'Specified CCE Model Price List'!$E$3:$E$300,0),MATCH('Options_CCE Model Selection'!AG$4,'Specified CCE Model Price List'!$A$3:$O$3,0)),"")</f>
        <v/>
      </c>
      <c r="AH37" s="143" t="str">
        <f>IF(ISERROR(IF(ISERROR(MATCH($A37,Reference_Dropdown1!$B$27:$B$39,0)),AG37+$H37,AG37)),"",IF(ISERROR(MATCH($A37,Reference_Dropdown1!$B$27:$B$39,0)),AG37+$H37,"N/A"))</f>
        <v/>
      </c>
      <c r="AI37" s="26"/>
      <c r="AJ37" s="136" t="str">
        <f t="shared" si="4"/>
        <v/>
      </c>
      <c r="AK37" s="26"/>
      <c r="AL37" s="136" t="str">
        <f t="shared" si="5"/>
        <v/>
      </c>
      <c r="AM37" s="26"/>
      <c r="AN37" s="136" t="str">
        <f t="shared" si="6"/>
        <v/>
      </c>
      <c r="AO37" s="83">
        <f t="shared" si="7"/>
        <v>0</v>
      </c>
      <c r="AP37" s="135" t="str">
        <f t="shared" si="15"/>
        <v/>
      </c>
    </row>
    <row r="38" spans="1:42" s="7" customFormat="1" ht="27" customHeight="1" thickBot="1" x14ac:dyDescent="0.4">
      <c r="A38" s="90" t="s">
        <v>544</v>
      </c>
      <c r="B38" s="80" t="s">
        <v>408</v>
      </c>
      <c r="C38" s="26" t="s">
        <v>534</v>
      </c>
      <c r="D38" s="141" t="str">
        <f>IFERROR(INDEX('Specified CCE Model Price List'!$A$3:$O$300,MATCH('Options_CCE Model Selection'!$C38,'Specified CCE Model Price List'!$E$3:$E$300,0),MATCH('Options_CCE Model Selection'!D$4,'Specified CCE Model Price List'!$A$3:$O$3,0)),"")</f>
        <v>EMK TEC GmbH</v>
      </c>
      <c r="E38" s="142" t="str">
        <f>IFERROR(INDEX('Specified CCE Model Price List'!$A$3:$O$300,MATCH('Options_CCE Model Selection'!$C38,'Specified CCE Model Price List'!$E$3:$E$300,0),MATCH('Options_CCE Model Selection'!E$4,'Specified CCE Model Price List'!$A$3:$O$3,0)),"")</f>
        <v>-</v>
      </c>
      <c r="F38" s="142" t="str">
        <f>IFERROR(INDEX('Specified CCE Model Price List'!$A$3:$O$300,MATCH('Options_CCE Model Selection'!$C38,'Specified CCE Model Price List'!$E$3:$E$300,0),MATCH('Options_CCE Model Selection'!F$4,'Specified CCE Model Price List'!$A$3:$O$3,0)),"")</f>
        <v>-</v>
      </c>
      <c r="G38" s="143">
        <f>IFERROR(INDEX('Specified CCE Model Price List'!$A$3:$O$300,MATCH('Options_CCE Model Selection'!$C38,'Specified CCE Model Price List'!$E$3:$E$300,0),MATCH('Options_CCE Model Selection'!G$4,'Specified CCE Model Price List'!$A$3:$O$3,0)),"")</f>
        <v>2900</v>
      </c>
      <c r="H38" s="38"/>
      <c r="I38" s="91">
        <f>IF(ISERROR(IF(ISERROR(MATCH($A38,Reference_Dropdown1!$B$27:$B$39,0)),G38+$H38,G38)),"",IF(ISERROR(MATCH($A38,Reference_Dropdown1!$B$27:$B$39,0)),G38+$H38,"N/A"))</f>
        <v>2900</v>
      </c>
      <c r="J38" s="230"/>
      <c r="K38" s="86">
        <f t="shared" si="8"/>
        <v>0</v>
      </c>
      <c r="L38" s="230"/>
      <c r="M38" s="86">
        <f t="shared" si="9"/>
        <v>0</v>
      </c>
      <c r="N38" s="231"/>
      <c r="O38" s="201">
        <f t="shared" si="10"/>
        <v>0</v>
      </c>
      <c r="P38" s="200">
        <f t="shared" si="0"/>
        <v>0</v>
      </c>
      <c r="Q38" s="317">
        <f t="shared" si="16"/>
        <v>0</v>
      </c>
      <c r="R38" s="87" t="s">
        <v>533</v>
      </c>
      <c r="S38" s="141" t="str">
        <f>IFERROR(INDEX('Specified CCE Model Price List'!$A$3:$O$300,MATCH('Options_CCE Model Selection'!$R38,'Specified CCE Model Price List'!$E$3:$E$300,0),MATCH('Options_CCE Model Selection'!S$4,'Specified CCE Model Price List'!$A$3:$O$3,0)),"")</f>
        <v>EMK TEC GmbH</v>
      </c>
      <c r="T38" s="142">
        <f>IFERROR(INDEX('Specified CCE Model Price List'!$A$3:$O$300,MATCH('Options_CCE Model Selection'!$R38,'Specified CCE Model Price List'!$E$3:$E$300,0),MATCH('Options_CCE Model Selection'!T$4,'Specified CCE Model Price List'!$A$3:$O$3,0)),"")</f>
        <v>1450</v>
      </c>
      <c r="U38" s="202">
        <f>IF(ISERROR(IF(ISERROR(MATCH($A38,Reference_Dropdown1!$B$27:$B$39,0)),T38+$H38,T38)),"",IF(ISERROR(MATCH($A38,Reference_Dropdown1!$B$27:$B$39,0)),T38+$H38,"N/A"))</f>
        <v>1450</v>
      </c>
      <c r="V38" s="88" t="str">
        <f t="shared" si="2"/>
        <v>_23</v>
      </c>
      <c r="W38" s="232"/>
      <c r="X38" s="140">
        <f t="shared" si="13"/>
        <v>0</v>
      </c>
      <c r="Y38" s="232"/>
      <c r="Z38" s="139">
        <f t="shared" si="11"/>
        <v>0</v>
      </c>
      <c r="AA38" s="232"/>
      <c r="AB38" s="139">
        <f t="shared" si="12"/>
        <v>0</v>
      </c>
      <c r="AC38" s="96">
        <f t="shared" si="3"/>
        <v>0</v>
      </c>
      <c r="AD38" s="322">
        <f t="shared" si="14"/>
        <v>0</v>
      </c>
      <c r="AE38" s="328" t="s">
        <v>535</v>
      </c>
      <c r="AF38" s="329" t="str">
        <f>IFERROR(INDEX('Specified CCE Model Price List'!$A$3:$O$300,MATCH('Options_CCE Model Selection'!$AE38,'Specified CCE Model Price List'!$E$3:$E$300,0),MATCH('Options_CCE Model Selection'!AF$4,'Specified CCE Model Price List'!$A$3:$O$3,0)),"")</f>
        <v>BlackFrog Technologies Private Limited</v>
      </c>
      <c r="AG38" s="330">
        <f>IFERROR(INDEX('Specified CCE Model Price List'!$A$3:$O$300,MATCH('Options_CCE Model Selection'!$AE38,'Specified CCE Model Price List'!$E$3:$E$300,0),MATCH('Options_CCE Model Selection'!AG$4,'Specified CCE Model Price List'!$A$3:$O$3,0)),"")</f>
        <v>2500</v>
      </c>
      <c r="AH38" s="330">
        <f>IF(ISERROR(IF(ISERROR(MATCH($A38,Reference_Dropdown1!$B$27:$B$39,0)),AG38+$H38,AG38)),"",IF(ISERROR(MATCH($A38,Reference_Dropdown1!$B$27:$B$39,0)),AG38+$H38,"N/A"))</f>
        <v>2500</v>
      </c>
      <c r="AI38" s="331"/>
      <c r="AJ38" s="332">
        <f t="shared" si="4"/>
        <v>0</v>
      </c>
      <c r="AK38" s="331"/>
      <c r="AL38" s="332">
        <f t="shared" si="5"/>
        <v>0</v>
      </c>
      <c r="AM38" s="331"/>
      <c r="AN38" s="332">
        <f t="shared" si="6"/>
        <v>0</v>
      </c>
      <c r="AO38" s="329">
        <f t="shared" si="7"/>
        <v>0</v>
      </c>
      <c r="AP38" s="333">
        <f t="shared" si="15"/>
        <v>0</v>
      </c>
    </row>
    <row r="39" spans="1:42" s="7" customFormat="1" ht="15" customHeight="1" thickBot="1" x14ac:dyDescent="0.4">
      <c r="A39" s="400" t="s">
        <v>109</v>
      </c>
      <c r="B39" s="401"/>
      <c r="C39" s="144"/>
      <c r="D39" s="144"/>
      <c r="E39" s="144"/>
      <c r="F39" s="144"/>
      <c r="G39" s="144"/>
      <c r="H39" s="144"/>
      <c r="I39" s="144"/>
      <c r="J39" s="395">
        <f>SUM(K6:K38)</f>
        <v>0</v>
      </c>
      <c r="K39" s="395"/>
      <c r="L39" s="395">
        <f>SUM(M6:M38)</f>
        <v>0</v>
      </c>
      <c r="M39" s="395"/>
      <c r="N39" s="395">
        <f>SUM(O6:O38)</f>
        <v>0</v>
      </c>
      <c r="O39" s="395"/>
      <c r="P39" s="395">
        <f>SUM(Q6:Q38)</f>
        <v>0</v>
      </c>
      <c r="Q39" s="395"/>
      <c r="R39" s="396"/>
      <c r="S39" s="397"/>
      <c r="T39" s="145"/>
      <c r="U39" s="146">
        <f>IFERROR(IF(Q38="N/A",#REF!*T39,Q38*T39),"")</f>
        <v>0</v>
      </c>
      <c r="V39" s="147" t="str">
        <f>IFERROR(IF(R38="N/A",P38*U39,R38*U39),"")</f>
        <v/>
      </c>
      <c r="W39" s="393">
        <f>SUM(X6:X38)</f>
        <v>0</v>
      </c>
      <c r="X39" s="393"/>
      <c r="Y39" s="393">
        <f>SUM(Z6:Z38)</f>
        <v>0</v>
      </c>
      <c r="Z39" s="393"/>
      <c r="AA39" s="393">
        <f>SUM(AB6:AB38)</f>
        <v>0</v>
      </c>
      <c r="AB39" s="393"/>
      <c r="AC39" s="394">
        <f>SUM(AD6:AD38)</f>
        <v>0</v>
      </c>
      <c r="AD39" s="394"/>
      <c r="AE39" s="323"/>
      <c r="AF39" s="324" t="str">
        <f>IFERROR(IF(#REF!="N/A",#REF!*AE39,#REF!*AE39),"")</f>
        <v/>
      </c>
      <c r="AG39" s="324" t="str">
        <f>IFERROR(IF(AC38="N/A",#REF!*AF39,AC38*AF39),"")</f>
        <v/>
      </c>
      <c r="AH39" s="325" t="str">
        <f>IFERROR(IF(AD38="N/A",#REF!*AG39,AD38*AG39),"")</f>
        <v/>
      </c>
      <c r="AI39" s="392">
        <f>SUM(AJ6:AJ38)</f>
        <v>0</v>
      </c>
      <c r="AJ39" s="392"/>
      <c r="AK39" s="392">
        <f>SUM(AL6:AL38)</f>
        <v>0</v>
      </c>
      <c r="AL39" s="392"/>
      <c r="AM39" s="392">
        <f>SUM(AN6:AN38)</f>
        <v>0</v>
      </c>
      <c r="AN39" s="392"/>
      <c r="AO39" s="392">
        <f>SUM(AP6:AP38)</f>
        <v>0</v>
      </c>
      <c r="AP39" s="392"/>
    </row>
    <row r="40" spans="1:42" s="7" customFormat="1" ht="14.5" customHeight="1" thickBot="1" x14ac:dyDescent="0.4">
      <c r="A40" s="400" t="s">
        <v>110</v>
      </c>
      <c r="B40" s="401"/>
      <c r="C40" s="144"/>
      <c r="D40" s="144"/>
      <c r="E40" s="144"/>
      <c r="F40" s="144"/>
      <c r="G40" s="144"/>
      <c r="H40" s="144"/>
      <c r="I40" s="144"/>
      <c r="J40" s="388">
        <v>0.5</v>
      </c>
      <c r="K40" s="388"/>
      <c r="L40" s="402">
        <f>J40</f>
        <v>0.5</v>
      </c>
      <c r="M40" s="402"/>
      <c r="N40" s="388">
        <f>J40</f>
        <v>0.5</v>
      </c>
      <c r="O40" s="388"/>
      <c r="P40" s="389"/>
      <c r="Q40" s="389"/>
      <c r="R40" s="148"/>
      <c r="S40" s="149" t="str">
        <f>IFERROR(INDEX('Specified CCE Model Price List'!$A$3:$O$204,MATCH('Options_CCE Model Selection'!$R40,'Specified CCE Model Price List'!$E$3:$E$204,0),MATCH('Options_CCE Model Selection'!S$4,'Specified CCE Model Price List'!$A$3:$O$3,0)),"")</f>
        <v/>
      </c>
      <c r="T40" s="150" t="str">
        <f>IFERROR(INDEX('Specified CCE Model Price List'!$A$3:$O$204,MATCH('Options_CCE Model Selection'!$R40,'Specified CCE Model Price List'!$E$3:$E$204,0),MATCH('Options_CCE Model Selection'!T$4,'Specified CCE Model Price List'!$A$3:$O$3,0)),"")</f>
        <v/>
      </c>
      <c r="U40" s="151" t="str">
        <f>IF(ISERROR(IF(ISERROR(MATCH($A39,Reference_Dropdown1!$B$27:$B$39,0)),T40+$H39,T40)),"",IF(ISERROR(MATCH($A39,Reference_Dropdown1!$B$27:$B$39,0)),T40+$H39,"N/A"))</f>
        <v/>
      </c>
      <c r="V40" s="152" t="str">
        <f>LEFT(A39,3)</f>
        <v>Tot</v>
      </c>
      <c r="W40" s="385">
        <v>0.5</v>
      </c>
      <c r="X40" s="385"/>
      <c r="Y40" s="385">
        <f>W40</f>
        <v>0.5</v>
      </c>
      <c r="Z40" s="385"/>
      <c r="AA40" s="385">
        <f>W40</f>
        <v>0.5</v>
      </c>
      <c r="AB40" s="385"/>
      <c r="AC40" s="386"/>
      <c r="AD40" s="386"/>
      <c r="AE40" s="153"/>
      <c r="AF40" s="154" t="str">
        <f>IFERROR(INDEX('Specified CCE Model Price List'!$A$3:$O$204,MATCH('Options_CCE Model Selection'!$AE40,'Specified CCE Model Price List'!$E$3:$E$204,0),MATCH('Options_CCE Model Selection'!AE$4,'Specified CCE Model Price List'!$A$3:$O$3,0)),"")</f>
        <v/>
      </c>
      <c r="AG40" s="154" t="str">
        <f>IFERROR(INDEX('Specified CCE Model Price List'!$A$3:$O$204,MATCH('Options_CCE Model Selection'!$AE40,'Specified CCE Model Price List'!$E$3:$E$204,0),MATCH('Options_CCE Model Selection'!AG$4,'Specified CCE Model Price List'!$A$3:$O$3,0)),"")</f>
        <v/>
      </c>
      <c r="AH40" s="155" t="str">
        <f>IF(ISERROR(IF(ISERROR(MATCH($A39,Reference_Dropdown1!$B$27:$B$39,0)),AG40+$H39,AG40)),"",IF(ISERROR(MATCH($A39,Reference_Dropdown1!$B$27:$B$39,0)),AG40+$H39,"N/A"))</f>
        <v/>
      </c>
      <c r="AI40" s="385">
        <v>0.5</v>
      </c>
      <c r="AJ40" s="385"/>
      <c r="AK40" s="385">
        <f>AI40</f>
        <v>0.5</v>
      </c>
      <c r="AL40" s="385"/>
      <c r="AM40" s="385">
        <f>AI40</f>
        <v>0.5</v>
      </c>
      <c r="AN40" s="385"/>
      <c r="AO40" s="386"/>
      <c r="AP40" s="386"/>
    </row>
    <row r="41" spans="1:42" s="7" customFormat="1" ht="15" thickBot="1" x14ac:dyDescent="0.4">
      <c r="A41" s="156" t="s">
        <v>111</v>
      </c>
      <c r="B41" s="144"/>
      <c r="C41" s="144"/>
      <c r="D41" s="144"/>
      <c r="E41" s="144"/>
      <c r="F41" s="144"/>
      <c r="G41" s="144"/>
      <c r="H41" s="144"/>
      <c r="I41" s="144"/>
      <c r="J41" s="387">
        <f>J39*J40</f>
        <v>0</v>
      </c>
      <c r="K41" s="387"/>
      <c r="L41" s="387">
        <f>L39*L40</f>
        <v>0</v>
      </c>
      <c r="M41" s="387"/>
      <c r="N41" s="387">
        <f>N39*N40</f>
        <v>0</v>
      </c>
      <c r="O41" s="387"/>
      <c r="P41" s="387">
        <f>SUM(J41:O41)</f>
        <v>0</v>
      </c>
      <c r="Q41" s="387"/>
      <c r="R41" s="148"/>
      <c r="S41" s="149"/>
      <c r="T41" s="150"/>
      <c r="U41" s="151"/>
      <c r="V41" s="152"/>
      <c r="W41" s="390">
        <f>W39*W40</f>
        <v>0</v>
      </c>
      <c r="X41" s="391"/>
      <c r="Y41" s="383">
        <f>Y39*Y40</f>
        <v>0</v>
      </c>
      <c r="Z41" s="383"/>
      <c r="AA41" s="383">
        <f>AA39*AA40</f>
        <v>0</v>
      </c>
      <c r="AB41" s="383"/>
      <c r="AC41" s="383">
        <f>SUM(W41:AB41)</f>
        <v>0</v>
      </c>
      <c r="AD41" s="383"/>
      <c r="AE41" s="153"/>
      <c r="AF41" s="154"/>
      <c r="AG41" s="154"/>
      <c r="AH41" s="155"/>
      <c r="AI41" s="383">
        <f>AI39*AI40</f>
        <v>0</v>
      </c>
      <c r="AJ41" s="383"/>
      <c r="AK41" s="383">
        <f>AK39*AK40</f>
        <v>0</v>
      </c>
      <c r="AL41" s="383"/>
      <c r="AM41" s="383">
        <f>AM39*AM40</f>
        <v>0</v>
      </c>
      <c r="AN41" s="383"/>
      <c r="AO41" s="383">
        <f>SUM(AI41:AN41)</f>
        <v>0</v>
      </c>
      <c r="AP41" s="383"/>
    </row>
    <row r="42" spans="1:42" s="7" customFormat="1" ht="15" thickBot="1" x14ac:dyDescent="0.4">
      <c r="A42" s="156" t="s">
        <v>112</v>
      </c>
      <c r="B42" s="144"/>
      <c r="C42" s="144"/>
      <c r="D42" s="144"/>
      <c r="E42" s="144"/>
      <c r="F42" s="144"/>
      <c r="G42" s="144"/>
      <c r="H42" s="144"/>
      <c r="I42" s="144"/>
      <c r="J42" s="387">
        <f>J39*(1-J40)</f>
        <v>0</v>
      </c>
      <c r="K42" s="387"/>
      <c r="L42" s="387">
        <f>L39*(1-L40)</f>
        <v>0</v>
      </c>
      <c r="M42" s="387"/>
      <c r="N42" s="387">
        <f>N39*(1-N40)</f>
        <v>0</v>
      </c>
      <c r="O42" s="387"/>
      <c r="P42" s="387">
        <f>SUM(J42:O42)</f>
        <v>0</v>
      </c>
      <c r="Q42" s="387"/>
      <c r="R42" s="157"/>
      <c r="S42" s="158"/>
      <c r="T42" s="159"/>
      <c r="U42" s="160"/>
      <c r="V42" s="161"/>
      <c r="W42" s="384">
        <f>W39*(1-W40)</f>
        <v>0</v>
      </c>
      <c r="X42" s="384"/>
      <c r="Y42" s="384">
        <f>Y39*(1-Y40)</f>
        <v>0</v>
      </c>
      <c r="Z42" s="384"/>
      <c r="AA42" s="384">
        <f>AA39*(1-AA40)</f>
        <v>0</v>
      </c>
      <c r="AB42" s="384"/>
      <c r="AC42" s="384">
        <f>SUM(W42:AB42)</f>
        <v>0</v>
      </c>
      <c r="AD42" s="384"/>
      <c r="AE42" s="162"/>
      <c r="AF42" s="163"/>
      <c r="AG42" s="163"/>
      <c r="AH42" s="164"/>
      <c r="AI42" s="384">
        <f>AI39*(1-AI40)</f>
        <v>0</v>
      </c>
      <c r="AJ42" s="384"/>
      <c r="AK42" s="384">
        <f>AK39*(1-AK40)</f>
        <v>0</v>
      </c>
      <c r="AL42" s="384"/>
      <c r="AM42" s="384">
        <f>AM39*(1-AM40)</f>
        <v>0</v>
      </c>
      <c r="AN42" s="384"/>
      <c r="AO42" s="384">
        <f>SUM(AI42:AN42)</f>
        <v>0</v>
      </c>
      <c r="AP42" s="384"/>
    </row>
    <row r="43" spans="1:42" s="7" customFormat="1" ht="14.5" x14ac:dyDescent="0.35">
      <c r="A43" s="165"/>
      <c r="B43" s="165"/>
      <c r="C43" s="165"/>
      <c r="D43" s="165"/>
      <c r="E43" s="165"/>
      <c r="F43" s="165"/>
      <c r="G43" s="165"/>
      <c r="H43" s="166"/>
      <c r="I43" s="166"/>
      <c r="J43" s="167"/>
      <c r="K43" s="167"/>
      <c r="L43" s="167"/>
      <c r="M43" s="167"/>
      <c r="N43" s="167"/>
      <c r="O43" s="167"/>
      <c r="P43" s="167"/>
      <c r="Q43" s="167"/>
      <c r="S43" s="168"/>
      <c r="T43" s="169"/>
      <c r="W43" s="170"/>
      <c r="X43" s="171"/>
      <c r="Y43" s="170"/>
      <c r="Z43" s="171"/>
      <c r="AA43" s="170"/>
      <c r="AB43" s="171"/>
      <c r="AC43" s="170"/>
      <c r="AD43" s="171"/>
      <c r="AI43" s="172"/>
      <c r="AJ43" s="171"/>
      <c r="AK43" s="172"/>
      <c r="AL43" s="171"/>
      <c r="AM43" s="172"/>
      <c r="AN43" s="171"/>
      <c r="AO43" s="172"/>
      <c r="AP43" s="171"/>
    </row>
    <row r="44" spans="1:42" s="7" customFormat="1" ht="15" thickBot="1" x14ac:dyDescent="0.4">
      <c r="A44" s="165"/>
      <c r="B44" s="165"/>
      <c r="C44" s="165"/>
      <c r="D44" s="165"/>
      <c r="E44" s="165"/>
      <c r="F44" s="165"/>
      <c r="G44" s="165"/>
      <c r="H44" s="166"/>
      <c r="I44" s="166"/>
      <c r="J44" s="167"/>
      <c r="K44" s="167"/>
      <c r="L44" s="167"/>
      <c r="M44" s="167"/>
      <c r="N44" s="167"/>
      <c r="O44" s="167"/>
      <c r="P44" s="167"/>
      <c r="Q44" s="167"/>
      <c r="S44" s="168"/>
      <c r="T44" s="169"/>
      <c r="W44" s="170"/>
      <c r="X44" s="171"/>
      <c r="Y44" s="170"/>
      <c r="Z44" s="171"/>
      <c r="AA44" s="170"/>
      <c r="AB44" s="171"/>
      <c r="AC44" s="170"/>
      <c r="AD44" s="171"/>
      <c r="AI44" s="172"/>
      <c r="AJ44" s="171"/>
      <c r="AK44" s="172"/>
      <c r="AL44" s="171"/>
      <c r="AM44" s="172"/>
      <c r="AN44" s="171"/>
      <c r="AO44" s="172"/>
      <c r="AP44" s="171"/>
    </row>
    <row r="45" spans="1:42" ht="15" thickBot="1" x14ac:dyDescent="0.4">
      <c r="A45" s="414" t="s">
        <v>113</v>
      </c>
      <c r="B45" s="414"/>
      <c r="C45" s="414"/>
      <c r="D45" s="414"/>
      <c r="E45" s="414"/>
      <c r="F45" s="414"/>
      <c r="G45" s="414"/>
      <c r="H45" s="414"/>
      <c r="I45" s="414"/>
      <c r="J45" s="173"/>
      <c r="K45" s="173"/>
      <c r="L45" s="173"/>
      <c r="M45" s="150"/>
      <c r="N45" s="173"/>
      <c r="O45" s="150"/>
      <c r="P45" s="415" t="s">
        <v>61</v>
      </c>
      <c r="Q45" s="416"/>
      <c r="R45" s="174" t="s">
        <v>62</v>
      </c>
      <c r="S45" s="175" t="s">
        <v>63</v>
      </c>
      <c r="T45" s="169"/>
      <c r="U45" s="7"/>
      <c r="V45" s="7"/>
      <c r="W45" s="7"/>
      <c r="X45" s="7"/>
      <c r="Y45" s="7"/>
      <c r="Z45" s="7"/>
      <c r="AA45" s="7"/>
      <c r="AB45" s="7"/>
      <c r="AC45" s="169"/>
      <c r="AD45" s="7"/>
      <c r="AE45" s="7"/>
      <c r="AF45" s="7"/>
      <c r="AG45" s="7"/>
      <c r="AH45" s="7"/>
      <c r="AI45" s="7"/>
      <c r="AJ45" s="7"/>
      <c r="AK45" s="7"/>
      <c r="AL45" s="7"/>
      <c r="AM45" s="7"/>
      <c r="AN45" s="7"/>
      <c r="AO45" s="7"/>
      <c r="AP45" s="7"/>
    </row>
    <row r="46" spans="1:42" s="7" customFormat="1" ht="14.5" x14ac:dyDescent="0.35">
      <c r="A46" s="411" t="s">
        <v>114</v>
      </c>
      <c r="B46" s="411"/>
      <c r="C46" s="411"/>
      <c r="D46" s="411"/>
      <c r="E46" s="411"/>
      <c r="F46" s="411"/>
      <c r="G46" s="411"/>
      <c r="H46" s="411"/>
      <c r="I46" s="411"/>
      <c r="J46" s="264"/>
      <c r="K46" s="264"/>
      <c r="L46" s="264"/>
      <c r="M46" s="264"/>
      <c r="N46" s="264"/>
      <c r="O46" s="264"/>
      <c r="P46" s="412">
        <v>280</v>
      </c>
      <c r="Q46" s="413"/>
      <c r="R46" s="176">
        <v>280</v>
      </c>
      <c r="S46" s="176">
        <v>280</v>
      </c>
    </row>
    <row r="47" spans="1:42" s="7" customFormat="1" ht="14.5" x14ac:dyDescent="0.35">
      <c r="A47" s="403" t="s">
        <v>115</v>
      </c>
      <c r="B47" s="404"/>
      <c r="C47" s="404"/>
      <c r="D47" s="404"/>
      <c r="E47" s="404"/>
      <c r="F47" s="404"/>
      <c r="G47" s="404"/>
      <c r="H47" s="404"/>
      <c r="I47" s="405"/>
      <c r="J47" s="263"/>
      <c r="K47" s="263"/>
      <c r="L47" s="263"/>
      <c r="M47" s="263"/>
      <c r="N47" s="263"/>
      <c r="O47" s="263"/>
      <c r="P47" s="438">
        <v>1500</v>
      </c>
      <c r="Q47" s="439"/>
      <c r="R47" s="177">
        <v>1500</v>
      </c>
      <c r="S47" s="177">
        <v>1500</v>
      </c>
    </row>
    <row r="48" spans="1:42" s="7" customFormat="1" ht="14.5" x14ac:dyDescent="0.35">
      <c r="A48" s="403" t="s">
        <v>116</v>
      </c>
      <c r="B48" s="404"/>
      <c r="C48" s="404"/>
      <c r="D48" s="404"/>
      <c r="E48" s="404"/>
      <c r="F48" s="404"/>
      <c r="G48" s="404"/>
      <c r="H48" s="404"/>
      <c r="I48" s="405"/>
      <c r="J48" s="263"/>
      <c r="K48" s="263"/>
      <c r="L48" s="263"/>
      <c r="M48" s="263"/>
      <c r="N48" s="263"/>
      <c r="O48" s="263"/>
      <c r="P48" s="438">
        <v>600</v>
      </c>
      <c r="Q48" s="439"/>
      <c r="R48" s="177">
        <v>600</v>
      </c>
      <c r="S48" s="177">
        <v>600</v>
      </c>
    </row>
    <row r="49" spans="1:42" s="7" customFormat="1" ht="14.5" x14ac:dyDescent="0.35">
      <c r="A49" s="403" t="s">
        <v>117</v>
      </c>
      <c r="B49" s="404"/>
      <c r="C49" s="404"/>
      <c r="D49" s="404"/>
      <c r="E49" s="404"/>
      <c r="F49" s="404"/>
      <c r="G49" s="404"/>
      <c r="H49" s="404"/>
      <c r="I49" s="405"/>
      <c r="J49" s="263"/>
      <c r="K49" s="263"/>
      <c r="L49" s="263"/>
      <c r="M49" s="263"/>
      <c r="N49" s="263"/>
      <c r="O49" s="263"/>
      <c r="P49" s="438">
        <v>2</v>
      </c>
      <c r="Q49" s="439"/>
      <c r="R49" s="177">
        <v>2</v>
      </c>
      <c r="S49" s="177">
        <v>2</v>
      </c>
    </row>
    <row r="50" spans="1:42" s="7" customFormat="1" ht="14.5" x14ac:dyDescent="0.35">
      <c r="A50" s="403" t="s">
        <v>118</v>
      </c>
      <c r="B50" s="404"/>
      <c r="C50" s="404"/>
      <c r="D50" s="404"/>
      <c r="E50" s="404"/>
      <c r="F50" s="404"/>
      <c r="G50" s="404"/>
      <c r="H50" s="404"/>
      <c r="I50" s="405"/>
      <c r="J50" s="263"/>
      <c r="K50" s="263"/>
      <c r="L50" s="263"/>
      <c r="M50" s="263"/>
      <c r="N50" s="263"/>
      <c r="O50" s="263"/>
      <c r="P50" s="438">
        <v>20</v>
      </c>
      <c r="Q50" s="439"/>
      <c r="R50" s="177">
        <v>20</v>
      </c>
      <c r="S50" s="177">
        <v>20</v>
      </c>
    </row>
    <row r="51" spans="1:42" s="7" customFormat="1" ht="14.5" x14ac:dyDescent="0.35">
      <c r="A51" s="403" t="s">
        <v>119</v>
      </c>
      <c r="B51" s="404"/>
      <c r="C51" s="404"/>
      <c r="D51" s="404"/>
      <c r="E51" s="404"/>
      <c r="F51" s="404"/>
      <c r="G51" s="404"/>
      <c r="H51" s="404"/>
      <c r="I51" s="405"/>
      <c r="J51" s="263"/>
      <c r="K51" s="263"/>
      <c r="L51" s="263"/>
      <c r="M51" s="263"/>
      <c r="N51" s="263"/>
      <c r="O51" s="263"/>
      <c r="P51" s="438">
        <v>2000</v>
      </c>
      <c r="Q51" s="439"/>
      <c r="R51" s="177">
        <v>2000</v>
      </c>
      <c r="S51" s="177">
        <v>2000</v>
      </c>
    </row>
    <row r="52" spans="1:42" s="7" customFormat="1" ht="14.5" x14ac:dyDescent="0.35">
      <c r="A52" s="403" t="s">
        <v>120</v>
      </c>
      <c r="B52" s="404"/>
      <c r="C52" s="404"/>
      <c r="D52" s="404"/>
      <c r="E52" s="404"/>
      <c r="F52" s="404"/>
      <c r="G52" s="404"/>
      <c r="H52" s="404"/>
      <c r="I52" s="405"/>
      <c r="J52" s="263"/>
      <c r="K52" s="263"/>
      <c r="L52" s="263"/>
      <c r="M52" s="263"/>
      <c r="N52" s="263"/>
      <c r="O52" s="263"/>
      <c r="P52" s="436">
        <v>0.1</v>
      </c>
      <c r="Q52" s="437"/>
      <c r="R52" s="178">
        <v>0.1</v>
      </c>
      <c r="S52" s="178">
        <v>0.1</v>
      </c>
    </row>
    <row r="53" spans="1:42" ht="15" customHeight="1" thickBot="1" x14ac:dyDescent="0.4">
      <c r="A53" s="408" t="s">
        <v>121</v>
      </c>
      <c r="B53" s="409"/>
      <c r="C53" s="409"/>
      <c r="D53" s="409"/>
      <c r="E53" s="409"/>
      <c r="F53" s="409"/>
      <c r="G53" s="409"/>
      <c r="H53" s="409"/>
      <c r="I53" s="410"/>
      <c r="J53" s="179"/>
      <c r="K53" s="179"/>
      <c r="L53" s="179"/>
      <c r="M53" s="179"/>
      <c r="N53" s="179"/>
      <c r="O53" s="179"/>
      <c r="P53" s="406">
        <f>($P46*(SUMIFS(P$6:P$38,$V$6:$V$38,"_1.")+SUMIFS(P$6:P$38,$V$6:$V$38,"_2.")+SUMIFS(P$6:P$38,$V$6:$V$38,"_3.")+SUMIFS(P$6:P$38,$V$6:$V$38,"_4.")+SUMIFS(P$6:P$38,$V$6:$V$38,"_5.")+SUMIFS(P$6:P$38,$V$6:$V$38,"_6.")))+($P49*(SUMIFS(P$6:P$38,$V$6:$V$38,"_9")))+($P50*(SUMIFS(P$6:P$38,$V$6:$V$38,"_10")))+($P52*SUMIF($V$6:$V$38,"_12",P$6:P$38))+(IF(SUMIF($V$6:$V$38,"_7",P$6:P$38)&gt;0,$P47,0))+(IF(SUMIF($V$6:$V$38,"_8",P$6:P$38)&gt;0,$P48,0))+(IF(SUMIF($V$6:$V$38,"_11",P$6:P$38)&gt;0, $P51,0))</f>
        <v>0</v>
      </c>
      <c r="Q53" s="407"/>
      <c r="R53" s="180">
        <f>($R46*(SUMIFS(AC$6:AC$38,$V$6:$V$38,"_1.")+SUMIFS(AC$6:AC$38,$V$6:$V$38,"_2.")+SUMIFS(AC$6:AC$38,$V$6:$V$38,"_3.")+SUMIFS(AC$6:AC$38,$V$6:$V$38,"_4.")+SUMIFS(AC$6:AC$38,$V$6:$V$38,"_5.")+SUMIFS(AC$6:AC$38,$V$6:$V$38,"_6.")))+($R49*(SUMIFS(AC$6:AC$38,$V$6:$V$38,"_9")))+($R50*(SUMIFS(AC$6:AC$38,$V$6:$V$38,"_10")))+($R52*SUMIF($V$6:$V$38,"_12",AC$6:AC$38))+(IF(SUMIF($V$6:$V$38,"_7",AC$6:AC$38)&gt;0,$R47,0))+(IF(SUMIF($V$6:$V$38,"_8",AC$6:AC$38)&gt;0,$R48,0))+(IF(SUMIF($V$6:$V$38,"_11",AC$6:AC$38)&gt;0, $R51,0))</f>
        <v>0</v>
      </c>
      <c r="S53" s="180">
        <f>($S46*(SUMIFS(AO$6:AO$38,$V$6:$V$38,"_1.")+SUMIFS(AO$6:AO$38,$V$6:$V$38,"_2.")+SUMIFS(AO$6:AO$38,$V$6:$V$38,"_3.")+SUMIFS(AO$6:AO$38,$V$6:$V$38,"_4.")+SUMIFS(AO$6:AO$38,$V$6:$V$38,"_5.")+SUMIFS(AO$6:AO$38,$V$6:$V$38,"_6.")))+($S49*(SUMIFS(AO$6:AO$38,$V$6:$V$38,"_9")))+($S50*(SUMIFS(AO$6:AO$38,$V$6:$V$38,"_10")))+($S52*SUMIF($V$6:$V$38,"_12",AO$6:AO$38))+(IF(SUMIF($V$6:$V$38,"_7",AC$6:AO$38)&gt;0,$S47,0))+(IF(SUMIF($V$6:$V$38,"_8",AO$6:AO$38)&gt;0,$S48,0))+(IF(SUMIF($V$6:$V$38,"_11",AO$6:AO$38)&gt;0, $S51,0))</f>
        <v>0</v>
      </c>
    </row>
    <row r="54" spans="1:42" ht="15" customHeight="1" thickBot="1" x14ac:dyDescent="0.4">
      <c r="A54" s="179"/>
      <c r="B54" s="179"/>
      <c r="C54" s="179"/>
      <c r="D54" s="179"/>
      <c r="E54" s="179"/>
      <c r="F54" s="179"/>
      <c r="G54" s="179"/>
      <c r="H54" s="179"/>
      <c r="I54" s="179"/>
      <c r="J54" s="179"/>
      <c r="K54" s="179"/>
      <c r="L54" s="179"/>
      <c r="M54" s="179"/>
      <c r="N54" s="179"/>
      <c r="O54" s="179"/>
      <c r="P54" s="181"/>
      <c r="Q54" s="182"/>
      <c r="R54" s="183"/>
      <c r="S54" s="184"/>
    </row>
    <row r="55" spans="1:42" s="21" customFormat="1" ht="15" thickBot="1" x14ac:dyDescent="0.4">
      <c r="A55"/>
      <c r="B55"/>
      <c r="C55"/>
      <c r="D55"/>
      <c r="E55" s="17"/>
      <c r="F55" s="17"/>
      <c r="G55" s="17"/>
      <c r="H55" s="17"/>
      <c r="I55" s="17"/>
      <c r="J55" s="17"/>
      <c r="K55" s="17"/>
      <c r="L55" s="17"/>
      <c r="M55" s="17"/>
      <c r="N55" s="17"/>
      <c r="O55" s="17"/>
      <c r="P55" s="398" t="s">
        <v>61</v>
      </c>
      <c r="Q55" s="399"/>
      <c r="R55" s="185" t="s">
        <v>62</v>
      </c>
      <c r="S55" s="186" t="s">
        <v>63</v>
      </c>
      <c r="T55" s="187"/>
      <c r="U55" s="187"/>
      <c r="V55" s="187"/>
      <c r="W55" s="187"/>
      <c r="X55" s="187"/>
      <c r="Y55" s="187"/>
      <c r="Z55" s="187"/>
      <c r="AA55" s="187"/>
      <c r="AB55"/>
      <c r="AC55"/>
      <c r="AD55"/>
      <c r="AE55"/>
      <c r="AF55"/>
      <c r="AG55"/>
      <c r="AH55"/>
      <c r="AI55"/>
      <c r="AJ55"/>
      <c r="AK55"/>
      <c r="AL55"/>
      <c r="AM55"/>
      <c r="AN55"/>
      <c r="AO55"/>
      <c r="AP55"/>
    </row>
    <row r="56" spans="1:42" s="7" customFormat="1" ht="14.5" x14ac:dyDescent="0.35">
      <c r="A56" s="427" t="s">
        <v>122</v>
      </c>
      <c r="B56" s="428"/>
      <c r="C56" s="428"/>
      <c r="D56" s="428"/>
      <c r="E56" s="428"/>
      <c r="F56" s="428"/>
      <c r="G56" s="428"/>
      <c r="H56" s="428"/>
      <c r="I56" s="428"/>
      <c r="J56" s="266"/>
      <c r="K56" s="267"/>
      <c r="L56" s="267"/>
      <c r="M56" s="267"/>
      <c r="N56" s="267"/>
      <c r="O56" s="188"/>
      <c r="P56" s="425">
        <f>P39*1.06+P53</f>
        <v>0</v>
      </c>
      <c r="Q56" s="426"/>
      <c r="R56" s="189">
        <f>AC39*1.06+R53</f>
        <v>0</v>
      </c>
      <c r="S56" s="189">
        <f>AO39*1.06+S53</f>
        <v>0</v>
      </c>
      <c r="T56" s="190"/>
      <c r="U56" s="190"/>
      <c r="V56" s="190"/>
      <c r="W56" s="190"/>
      <c r="X56" s="190"/>
      <c r="Y56" s="190"/>
      <c r="Z56" s="190"/>
      <c r="AA56" s="190"/>
    </row>
    <row r="57" spans="1:42" s="7" customFormat="1" ht="14.25" customHeight="1" x14ac:dyDescent="0.35">
      <c r="A57" s="433" t="s">
        <v>123</v>
      </c>
      <c r="B57" s="433"/>
      <c r="C57" s="433"/>
      <c r="D57" s="433"/>
      <c r="E57" s="433"/>
      <c r="F57" s="433"/>
      <c r="G57" s="433"/>
      <c r="H57" s="433"/>
      <c r="I57" s="427"/>
      <c r="J57" s="266"/>
      <c r="K57" s="267"/>
      <c r="L57" s="267"/>
      <c r="M57" s="267"/>
      <c r="N57" s="267"/>
      <c r="O57" s="188"/>
      <c r="P57" s="434">
        <f>(P41*1.06)+(P53*J40)</f>
        <v>0</v>
      </c>
      <c r="Q57" s="435"/>
      <c r="R57" s="268">
        <f>(AC41*1.06)+(R53*W40)</f>
        <v>0</v>
      </c>
      <c r="S57" s="268">
        <f>(AO41*1.06)+(S53*AI40)</f>
        <v>0</v>
      </c>
      <c r="T57" s="190"/>
      <c r="U57" s="190"/>
      <c r="V57" s="191"/>
      <c r="W57" s="191"/>
      <c r="X57" s="190"/>
      <c r="Y57" s="190"/>
      <c r="Z57" s="191"/>
      <c r="AA57" s="191"/>
    </row>
    <row r="58" spans="1:42" s="7" customFormat="1" ht="14.5" x14ac:dyDescent="0.35">
      <c r="A58" s="433" t="s">
        <v>124</v>
      </c>
      <c r="B58" s="433"/>
      <c r="C58" s="433"/>
      <c r="D58" s="433"/>
      <c r="E58" s="433"/>
      <c r="F58" s="433"/>
      <c r="G58" s="433"/>
      <c r="H58" s="433"/>
      <c r="I58" s="427"/>
      <c r="J58" s="266"/>
      <c r="K58" s="267"/>
      <c r="L58" s="267"/>
      <c r="M58" s="267"/>
      <c r="N58" s="267"/>
      <c r="O58" s="188"/>
      <c r="P58" s="435">
        <f>(P42*1.06)+(P53*(100%-J40))</f>
        <v>0</v>
      </c>
      <c r="Q58" s="435"/>
      <c r="R58" s="192">
        <f>(AC42*1.06)+(R53*(100%-W40))</f>
        <v>0</v>
      </c>
      <c r="S58" s="192">
        <f>(AO42*1.06)+(S53*(100%-AI40))</f>
        <v>0</v>
      </c>
    </row>
    <row r="59" spans="1:42" ht="14.5" x14ac:dyDescent="0.35"/>
    <row r="60" spans="1:42" ht="14.5" x14ac:dyDescent="0.35">
      <c r="A60" s="419" t="s">
        <v>125</v>
      </c>
      <c r="B60" s="420"/>
      <c r="C60" s="420"/>
      <c r="D60" s="420"/>
      <c r="E60" s="420"/>
      <c r="F60" s="420"/>
      <c r="G60" s="420"/>
      <c r="H60" s="420"/>
      <c r="I60" s="421"/>
      <c r="J60" s="193"/>
      <c r="K60" s="193"/>
      <c r="L60" s="193"/>
      <c r="M60" s="193"/>
      <c r="N60" s="193"/>
      <c r="O60" s="193"/>
      <c r="P60" s="431">
        <v>8.5000000000000006E-2</v>
      </c>
      <c r="Q60" s="432"/>
      <c r="R60" s="334">
        <v>8.5000000000000006E-2</v>
      </c>
      <c r="S60" s="334">
        <v>8.5000000000000006E-2</v>
      </c>
    </row>
    <row r="61" spans="1:42" ht="14.5" x14ac:dyDescent="0.35">
      <c r="A61" s="422" t="s">
        <v>126</v>
      </c>
      <c r="B61" s="423"/>
      <c r="C61" s="423"/>
      <c r="D61" s="423"/>
      <c r="E61" s="423"/>
      <c r="F61" s="423"/>
      <c r="G61" s="423"/>
      <c r="H61" s="423"/>
      <c r="I61" s="424"/>
      <c r="J61" s="265"/>
      <c r="K61" s="265"/>
      <c r="L61" s="265"/>
      <c r="M61" s="265"/>
      <c r="N61" s="265"/>
      <c r="O61" s="265"/>
      <c r="P61" s="429">
        <f>P57*P60</f>
        <v>0</v>
      </c>
      <c r="Q61" s="430"/>
      <c r="R61" s="194">
        <f>R57*R60</f>
        <v>0</v>
      </c>
      <c r="S61" s="194">
        <f>S57*S60</f>
        <v>0</v>
      </c>
    </row>
    <row r="62" spans="1:42" ht="15" thickBot="1" x14ac:dyDescent="0.4">
      <c r="E62"/>
      <c r="F62"/>
      <c r="G62"/>
      <c r="H62"/>
      <c r="I62"/>
      <c r="J62"/>
      <c r="K62"/>
      <c r="L62"/>
      <c r="M62"/>
      <c r="N62"/>
      <c r="O62"/>
      <c r="P62"/>
      <c r="Q62"/>
    </row>
    <row r="63" spans="1:42" ht="15" thickBot="1" x14ac:dyDescent="0.4">
      <c r="A63" s="380" t="s">
        <v>127</v>
      </c>
      <c r="B63" s="381"/>
      <c r="C63" s="381"/>
      <c r="D63" s="381"/>
      <c r="E63" s="381"/>
      <c r="F63" s="381"/>
      <c r="G63" s="381"/>
      <c r="H63" s="381"/>
      <c r="I63" s="382"/>
      <c r="J63" s="262"/>
      <c r="K63" s="262"/>
      <c r="L63" s="262"/>
      <c r="M63" s="262"/>
      <c r="N63" s="262"/>
      <c r="O63" s="262"/>
      <c r="P63" s="417">
        <f>P57+P61</f>
        <v>0</v>
      </c>
      <c r="Q63" s="418"/>
      <c r="R63" s="195">
        <f>R57+R61</f>
        <v>0</v>
      </c>
      <c r="S63" s="196">
        <f>S57+S61</f>
        <v>0</v>
      </c>
    </row>
    <row r="64" spans="1:42" ht="13.5" customHeight="1" thickBot="1" x14ac:dyDescent="0.4">
      <c r="A64" s="380" t="s">
        <v>128</v>
      </c>
      <c r="B64" s="381"/>
      <c r="C64" s="381"/>
      <c r="D64" s="381"/>
      <c r="E64" s="381"/>
      <c r="F64" s="381"/>
      <c r="G64" s="381"/>
      <c r="H64" s="381"/>
      <c r="I64" s="382"/>
      <c r="J64" s="262"/>
      <c r="K64" s="262"/>
      <c r="L64" s="262"/>
      <c r="M64" s="262"/>
      <c r="N64" s="262"/>
      <c r="O64" s="262"/>
      <c r="P64" s="378">
        <f>P58</f>
        <v>0</v>
      </c>
      <c r="Q64" s="379"/>
      <c r="R64" s="197">
        <f>R58</f>
        <v>0</v>
      </c>
      <c r="S64" s="198">
        <f>S58</f>
        <v>0</v>
      </c>
    </row>
  </sheetData>
  <sheetProtection algorithmName="SHA-512" hashValue="BqvjVBed/n0G6MDaIEJmrlr+6CL66Qh4o1AcMsoBj7KzY+kq19qb51i45+PL1pv8E5i+uE8iso5LUtIrQDdLHw==" saltValue="CENQY9amng4l+z4iyNhY8w==" spinCount="100000" sheet="1" sort="0" autoFilter="0" pivotTables="0"/>
  <dataConsolidate/>
  <mergeCells count="99">
    <mergeCell ref="AC2:AD2"/>
    <mergeCell ref="R1:AD1"/>
    <mergeCell ref="J1:Q1"/>
    <mergeCell ref="W2:X2"/>
    <mergeCell ref="Y2:Z2"/>
    <mergeCell ref="AA2:AB2"/>
    <mergeCell ref="J2:K2"/>
    <mergeCell ref="L2:M2"/>
    <mergeCell ref="N2:O2"/>
    <mergeCell ref="P2:Q2"/>
    <mergeCell ref="AE1:AP1"/>
    <mergeCell ref="AI2:AJ2"/>
    <mergeCell ref="AK2:AL2"/>
    <mergeCell ref="AM2:AN2"/>
    <mergeCell ref="AO2:AP2"/>
    <mergeCell ref="A52:I52"/>
    <mergeCell ref="P52:Q52"/>
    <mergeCell ref="P47:Q47"/>
    <mergeCell ref="A48:I48"/>
    <mergeCell ref="P48:Q48"/>
    <mergeCell ref="A49:I49"/>
    <mergeCell ref="P49:Q49"/>
    <mergeCell ref="P50:Q50"/>
    <mergeCell ref="A51:I51"/>
    <mergeCell ref="P51:Q51"/>
    <mergeCell ref="A63:I63"/>
    <mergeCell ref="P63:Q63"/>
    <mergeCell ref="A60:I60"/>
    <mergeCell ref="A61:I61"/>
    <mergeCell ref="P56:Q56"/>
    <mergeCell ref="A56:I56"/>
    <mergeCell ref="P61:Q61"/>
    <mergeCell ref="P60:Q60"/>
    <mergeCell ref="A57:I57"/>
    <mergeCell ref="A58:I58"/>
    <mergeCell ref="P57:Q57"/>
    <mergeCell ref="P58:Q58"/>
    <mergeCell ref="P55:Q55"/>
    <mergeCell ref="A39:B39"/>
    <mergeCell ref="A40:B40"/>
    <mergeCell ref="J39:K39"/>
    <mergeCell ref="L39:M39"/>
    <mergeCell ref="N39:O39"/>
    <mergeCell ref="J40:K40"/>
    <mergeCell ref="L40:M40"/>
    <mergeCell ref="A50:I50"/>
    <mergeCell ref="P53:Q53"/>
    <mergeCell ref="A53:I53"/>
    <mergeCell ref="A46:I46"/>
    <mergeCell ref="P46:Q46"/>
    <mergeCell ref="A47:I47"/>
    <mergeCell ref="A45:I45"/>
    <mergeCell ref="P45:Q45"/>
    <mergeCell ref="P42:Q42"/>
    <mergeCell ref="N41:O41"/>
    <mergeCell ref="N42:O42"/>
    <mergeCell ref="W42:X42"/>
    <mergeCell ref="AO39:AP39"/>
    <mergeCell ref="AA39:AB39"/>
    <mergeCell ref="AC39:AD39"/>
    <mergeCell ref="AI39:AJ39"/>
    <mergeCell ref="P39:Q39"/>
    <mergeCell ref="R39:S39"/>
    <mergeCell ref="W39:X39"/>
    <mergeCell ref="Y39:Z39"/>
    <mergeCell ref="AK39:AL39"/>
    <mergeCell ref="AM39:AN39"/>
    <mergeCell ref="J41:K41"/>
    <mergeCell ref="J42:K42"/>
    <mergeCell ref="AI40:AJ40"/>
    <mergeCell ref="AI41:AJ41"/>
    <mergeCell ref="AI42:AJ42"/>
    <mergeCell ref="L41:M41"/>
    <mergeCell ref="L42:M42"/>
    <mergeCell ref="N40:O40"/>
    <mergeCell ref="AA40:AB40"/>
    <mergeCell ref="AA41:AB41"/>
    <mergeCell ref="AA42:AB42"/>
    <mergeCell ref="W40:X40"/>
    <mergeCell ref="P40:Q40"/>
    <mergeCell ref="AC40:AD40"/>
    <mergeCell ref="W41:X41"/>
    <mergeCell ref="P41:Q41"/>
    <mergeCell ref="P64:Q64"/>
    <mergeCell ref="A64:I64"/>
    <mergeCell ref="AO41:AP41"/>
    <mergeCell ref="AO42:AP42"/>
    <mergeCell ref="AM40:AN40"/>
    <mergeCell ref="AM41:AN41"/>
    <mergeCell ref="AM42:AN42"/>
    <mergeCell ref="AO40:AP40"/>
    <mergeCell ref="AK40:AL40"/>
    <mergeCell ref="AK41:AL41"/>
    <mergeCell ref="AK42:AL42"/>
    <mergeCell ref="AC41:AD41"/>
    <mergeCell ref="AC42:AD42"/>
    <mergeCell ref="Y40:Z40"/>
    <mergeCell ref="Y41:Z41"/>
    <mergeCell ref="Y42:Z42"/>
  </mergeCells>
  <phoneticPr fontId="26" type="noConversion"/>
  <conditionalFormatting sqref="D6:G38 I6:J38 L6:L38 N6:N38 S6:T38 S40:T45">
    <cfRule type="cellIs" dxfId="0" priority="4424" operator="equal">
      <formula>"N/A"</formula>
    </cfRule>
  </conditionalFormatting>
  <conditionalFormatting sqref="H6:H38">
    <cfRule type="expression" dxfId="50" priority="1">
      <formula>$B6="5 - &lt;10L"</formula>
    </cfRule>
    <cfRule type="expression" dxfId="49" priority="4">
      <formula>$B6="&gt; - 15L"</formula>
    </cfRule>
    <cfRule type="expression" dxfId="48" priority="5">
      <formula>$B6="5 - &lt; 15 L"</formula>
    </cfRule>
    <cfRule type="expression" dxfId="47" priority="6">
      <formula>$B6="0 - &lt;5L"</formula>
    </cfRule>
    <cfRule type="expression" dxfId="46" priority="7">
      <formula>"IF(OR(LEFT($A6,3)=""_9"",LEFT($A6,3)=""_10"",LEFT($A6,3)=""_11"")"</formula>
    </cfRule>
    <cfRule type="expression" dxfId="45" priority="8">
      <formula>$B6="NA"</formula>
    </cfRule>
  </conditionalFormatting>
  <dataValidations xWindow="849" yWindow="616" count="7">
    <dataValidation type="list" allowBlank="1" showInputMessage="1" showErrorMessage="1" sqref="A6:A38" xr:uid="{FAF8F702-11D9-4246-9AFA-A76788E9269D}">
      <formula1>typeofequipment</formula1>
    </dataValidation>
    <dataValidation type="list" allowBlank="1" showInputMessage="1" showErrorMessage="1" sqref="B6:B38" xr:uid="{121AC0EC-3576-441B-A014-8CDC1D306BAE}">
      <formula1>INDIRECT(SUBSTITUTE(A6," ",""))</formula1>
    </dataValidation>
    <dataValidation type="list" allowBlank="1" showInputMessage="1" showErrorMessage="1" sqref="C6:C38" xr:uid="{4276066D-418E-4373-B108-EFB0C645BAD6}">
      <formula1>INDIRECT(SUBSTITUTE(A6," ","")&amp;SUBSTITUTE(SUBSTITUTE(SUBSTITUTE(SUBSTITUTE(B6,"&lt;","_ "),"- ","_"),"&gt;","_")," ",""))</formula1>
    </dataValidation>
    <dataValidation type="list" allowBlank="1" showInputMessage="1" showErrorMessage="1" sqref="AE6:AE38" xr:uid="{24B8EFC6-5108-4263-92FC-696ABAD0119C}">
      <formula1>INDIRECT(SUBSTITUTE(A6," ","")&amp;SUBSTITUTE(SUBSTITUTE(SUBSTITUTE(SUBSTITUTE(B6,"&lt;","_ "),"- ","_"),"&gt;","_")," ",""))</formula1>
    </dataValidation>
    <dataValidation type="list" allowBlank="1" showInputMessage="1" showErrorMessage="1" sqref="R6:R38" xr:uid="{1E684645-761A-47C4-8770-B726CF98DEBC}">
      <formula1>INDIRECT(SUBSTITUTE(A6," ","")&amp;SUBSTITUTE(SUBSTITUTE(SUBSTITUTE(SUBSTITUTE(B6,"&lt;","_ "),"- ","_"),"&gt;","_")," ",""))</formula1>
    </dataValidation>
    <dataValidation type="list" allowBlank="1" showInputMessage="1" showErrorMessage="1" sqref="R40:R44" xr:uid="{DFD04D49-F13B-45B5-96DE-098E518C84C7}">
      <formula1>INDIRECT(SUBSTITUTE(A39," ","")&amp;SUBSTITUTE(SUBSTITUTE(SUBSTITUTE(SUBSTITUTE(B39,"&lt;","_ "),"- ","_"),"&gt;","_")," ",""))</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 750-$2150 (ground mount) and $1, 750- $4000 (pole mount) for Off-Grid CCE _x000a_$200-$400 for RTMDs_x000a_$850-$1,350 for on-grid devices" sqref="H6:H38" xr:uid="{F8FAC9D8-3777-405E-BCE9-875BD0176B4C}">
      <formula1>200</formula1>
      <formula2>38000</formula2>
    </dataValidation>
  </dataValidations>
  <pageMargins left="0.7" right="0.7" top="0.75" bottom="0.75" header="0.3" footer="0.3"/>
  <pageSetup scale="36"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5914" operator="equal" id="{40194035-514E-4E3C-B941-8BFE8D23ABFB}">
            <xm:f>'Specified CCE Model Price List'!#REF!</xm:f>
            <x14:dxf>
              <fill>
                <patternFill>
                  <bgColor rgb="FFFFFF00"/>
                </patternFill>
              </fill>
            </x14:dxf>
          </x14:cfRule>
          <x14:cfRule type="cellIs" priority="5915" operator="equal" id="{C984F952-6052-460F-A962-25FA7431B731}">
            <xm:f>'Specified CCE Model Price List'!#REF!</xm:f>
            <x14:dxf>
              <font>
                <color theme="0"/>
              </font>
              <fill>
                <patternFill>
                  <bgColor rgb="FF7030A0"/>
                </patternFill>
              </fill>
            </x14:dxf>
          </x14:cfRule>
          <x14:cfRule type="cellIs" priority="5916" operator="equal" id="{1097636C-14FF-4A64-BC6D-E33F69937A5E}">
            <xm:f>'Specified CCE Model Price List'!#REF!</xm:f>
            <x14:dxf>
              <font>
                <color theme="0"/>
              </font>
              <fill>
                <patternFill>
                  <bgColor theme="9" tint="-0.24994659260841701"/>
                </patternFill>
              </fill>
            </x14:dxf>
          </x14:cfRule>
          <x14:cfRule type="cellIs" priority="5917" operator="equal" id="{3B251711-67FD-4396-BDE4-8855BA9501B4}">
            <xm:f>'Specified CCE Model Price List'!#REF!</xm:f>
            <x14:dxf>
              <font>
                <color theme="0"/>
              </font>
              <fill>
                <patternFill>
                  <bgColor theme="4" tint="-0.24994659260841701"/>
                </patternFill>
              </fill>
            </x14:dxf>
          </x14:cfRule>
          <x14:cfRule type="cellIs" priority="5918" operator="equal" id="{11D180B7-F0EE-4FB2-ABBB-174D38E8A405}">
            <xm:f>'Specified CCE Model Price List'!#REF!</xm:f>
            <x14:dxf>
              <fill>
                <patternFill>
                  <bgColor rgb="FFFF99FF"/>
                </patternFill>
              </fill>
            </x14:dxf>
          </x14:cfRule>
          <x14:cfRule type="cellIs" priority="5919" operator="equal" id="{35DB5A15-6D21-4505-982F-E659F9C30492}">
            <xm:f>'Specified CCE Model Price List'!#REF!</xm:f>
            <x14:dxf>
              <font>
                <color theme="0"/>
              </font>
              <fill>
                <patternFill>
                  <bgColor rgb="FF9900CC"/>
                </patternFill>
              </fill>
            </x14:dxf>
          </x14:cfRule>
          <x14:cfRule type="cellIs" priority="5920" operator="equal" id="{46360C6E-4039-4EC1-ABF9-BCB5740E08AF}">
            <xm:f>'Specified CCE Model Price List'!#REF!</xm:f>
            <x14:dxf>
              <fill>
                <patternFill>
                  <bgColor rgb="FFFFC000"/>
                </patternFill>
              </fill>
            </x14:dxf>
          </x14:cfRule>
          <x14:cfRule type="cellIs" priority="5921" operator="equal" id="{60318092-4BA8-4431-A1B7-C7ECAFF6DA93}">
            <xm:f>'Specified CCE Model Price List'!#REF!</xm:f>
            <x14:dxf>
              <font>
                <color theme="1"/>
              </font>
              <fill>
                <patternFill>
                  <bgColor rgb="FFCCCCFF"/>
                </patternFill>
              </fill>
            </x14:dxf>
          </x14:cfRule>
          <x14:cfRule type="cellIs" priority="5923" operator="equal" id="{851A3D18-CF7E-457F-A38D-E70423411E30}">
            <xm:f>'Specified CCE Model Price List'!#REF!</xm:f>
            <x14:dxf>
              <font>
                <color theme="1"/>
              </font>
              <fill>
                <patternFill>
                  <bgColor theme="5" tint="0.59996337778862885"/>
                </patternFill>
              </fill>
            </x14:dxf>
          </x14:cfRule>
          <x14:cfRule type="cellIs" priority="5924" operator="equal" id="{5CB73EB2-288D-4109-A54C-C3045933A240}">
            <xm:f>'Specified CCE Model Price List'!#REF!</xm:f>
            <x14:dxf>
              <font>
                <color theme="1"/>
              </font>
              <fill>
                <patternFill>
                  <bgColor theme="5" tint="0.79998168889431442"/>
                </patternFill>
              </fill>
            </x14:dxf>
          </x14:cfRule>
          <x14:cfRule type="cellIs" priority="5925" operator="equal" id="{06C29BEF-F69C-47AB-80AB-95255E887FFE}">
            <xm:f>'Specified CCE Model Price List'!#REF!</xm:f>
            <x14:dxf>
              <font>
                <color theme="1"/>
              </font>
              <fill>
                <patternFill>
                  <bgColor theme="9" tint="0.59996337778862885"/>
                </patternFill>
              </fill>
            </x14:dxf>
          </x14:cfRule>
          <x14:cfRule type="cellIs" priority="5926" operator="equal" id="{5808F185-541C-4F2C-9E92-1E802444F315}">
            <xm:f>'Specified CCE Model Price List'!#REF!</xm:f>
            <x14:dxf>
              <font>
                <color theme="1"/>
              </font>
              <fill>
                <patternFill>
                  <bgColor theme="9" tint="0.79998168889431442"/>
                </patternFill>
              </fill>
            </x14:dxf>
          </x14:cfRule>
          <x14:cfRule type="cellIs" priority="5927" operator="equal" id="{CCF79960-71DD-4DD7-9A80-E0A5545C08BA}">
            <xm:f>'Specified CCE Model Price List'!#REF!</xm:f>
            <x14:dxf>
              <font>
                <color theme="0"/>
              </font>
              <fill>
                <patternFill>
                  <bgColor theme="1" tint="0.24994659260841701"/>
                </patternFill>
              </fill>
            </x14:dxf>
          </x14:cfRule>
          <x14:cfRule type="cellIs" priority="5928" operator="equal" id="{E4A658CF-4F53-4B8B-B416-CD6ADB26C830}">
            <xm:f>'Specified CCE Model Price List'!#REF!</xm:f>
            <x14:dxf>
              <font>
                <color theme="0"/>
              </font>
              <fill>
                <patternFill>
                  <bgColor theme="0" tint="-0.499984740745262"/>
                </patternFill>
              </fill>
            </x14:dxf>
          </x14:cfRule>
          <x14:cfRule type="cellIs" priority="5929" operator="equal" id="{DBA9E264-5FAA-442B-AFBA-10D0B7F5919E}">
            <xm:f>'Specified CCE Model Price List'!#REF!</xm:f>
            <x14:dxf>
              <font>
                <color theme="1"/>
              </font>
              <fill>
                <patternFill>
                  <bgColor theme="0" tint="-0.14996795556505021"/>
                </patternFill>
              </fill>
            </x14:dxf>
          </x14:cfRule>
          <x14:cfRule type="cellIs" priority="5930" operator="equal" id="{D8F097F0-EE41-4A87-8600-10F5FDCF1CBD}">
            <xm:f>'Specified CCE Model Price List'!#REF!</xm:f>
            <x14:dxf>
              <font>
                <color theme="1"/>
              </font>
              <fill>
                <patternFill>
                  <bgColor theme="7" tint="0.79998168889431442"/>
                </patternFill>
              </fill>
            </x14:dxf>
          </x14:cfRule>
          <x14:cfRule type="cellIs" priority="5931" operator="equal" id="{8B563C4E-C448-4289-81D5-69ECCC131A8C}">
            <xm:f>'Specified CCE Model Price List'!#REF!</xm:f>
            <x14:dxf>
              <font>
                <color theme="0"/>
              </font>
              <fill>
                <patternFill>
                  <bgColor theme="4" tint="-0.24994659260841701"/>
                </patternFill>
              </fill>
            </x14:dxf>
          </x14:cfRule>
          <x14:cfRule type="cellIs" priority="5932" operator="equal" id="{995B5785-ED94-47EB-96A1-56CE764E5BBB}">
            <xm:f>'Specified CCE Model Price List'!#REF!</xm:f>
            <x14:dxf>
              <font>
                <color theme="1"/>
              </font>
              <fill>
                <patternFill>
                  <bgColor theme="4" tint="0.39994506668294322"/>
                </patternFill>
              </fill>
            </x14:dxf>
          </x14:cfRule>
          <x14:cfRule type="cellIs" priority="5933" operator="equal" id="{68B258F2-830E-47A5-8FFC-0343B1DFF23A}">
            <xm:f>'Specified CCE Model Price List'!#REF!</xm:f>
            <x14:dxf>
              <font>
                <color theme="1"/>
              </font>
              <fill>
                <patternFill>
                  <bgColor theme="4" tint="0.79998168889431442"/>
                </patternFill>
              </fill>
            </x14:dxf>
          </x14:cfRule>
          <xm:sqref>A5</xm:sqref>
        </x14:conditionalFormatting>
        <x14:conditionalFormatting xmlns:xm="http://schemas.microsoft.com/office/excel/2006/main">
          <x14:cfRule type="cellIs" priority="6503" operator="equal" id="{EF0C2FC3-71C1-498D-82D4-4384C80533A9}">
            <xm:f>Reference_Dropdown1!#REF!</xm:f>
            <x14:dxf>
              <font>
                <color theme="1"/>
              </font>
              <fill>
                <patternFill>
                  <bgColor theme="7" tint="0.79998168889431442"/>
                </patternFill>
              </fill>
            </x14:dxf>
          </x14:cfRule>
          <xm:sqref>A6:A38 A2:B4</xm:sqref>
        </x14:conditionalFormatting>
        <x14:conditionalFormatting xmlns:xm="http://schemas.microsoft.com/office/excel/2006/main">
          <x14:cfRule type="cellIs" priority="5768" operator="equal" id="{540875B6-2C0A-4D86-BAF2-FCFC8E0A985A}">
            <xm:f>Reference_Dropdown1!$C$17</xm:f>
            <x14:dxf>
              <font>
                <color theme="0"/>
              </font>
              <fill>
                <patternFill>
                  <bgColor theme="9" tint="-0.24994659260841701"/>
                </patternFill>
              </fill>
            </x14:dxf>
          </x14:cfRule>
          <x14:cfRule type="cellIs" priority="5769" operator="equal" id="{5D1AC6B5-906B-4F59-B421-0A2B5A1D1376}">
            <xm:f>Reference_Dropdown1!#REF!</xm:f>
            <x14:dxf>
              <fill>
                <patternFill>
                  <bgColor theme="5" tint="0.79998168889431442"/>
                </patternFill>
              </fill>
            </x14:dxf>
          </x14:cfRule>
          <x14:cfRule type="cellIs" priority="5770" operator="equal" id="{1D05A4FD-6A51-4F39-B058-85517EC34C4D}">
            <xm:f>Reference_Dropdown1!#REF!</xm:f>
            <x14:dxf>
              <fill>
                <patternFill>
                  <bgColor theme="4" tint="0.79998168889431442"/>
                </patternFill>
              </fill>
            </x14:dxf>
          </x14:cfRule>
          <x14:cfRule type="cellIs" priority="5771" operator="equal" id="{3F290A70-3721-4576-9D08-D99A72816976}">
            <xm:f>Reference_Dropdown1!#REF!</xm:f>
            <x14:dxf>
              <fill>
                <patternFill>
                  <bgColor theme="3" tint="0.59996337778862885"/>
                </patternFill>
              </fill>
            </x14:dxf>
          </x14:cfRule>
          <x14:cfRule type="cellIs" priority="5772" operator="equal" id="{CD37CF2A-BF7E-437B-903E-911F33EBE440}">
            <xm:f>Reference_Dropdown1!#REF!</xm:f>
            <x14:dxf>
              <font>
                <color theme="0"/>
              </font>
              <fill>
                <patternFill>
                  <bgColor theme="5" tint="-0.24994659260841701"/>
                </patternFill>
              </fill>
            </x14:dxf>
          </x14:cfRule>
          <xm:sqref>A6:A38</xm:sqref>
        </x14:conditionalFormatting>
        <x14:conditionalFormatting xmlns:xm="http://schemas.microsoft.com/office/excel/2006/main">
          <x14:cfRule type="cellIs" priority="6504" operator="equal" id="{7805AE09-6D20-463C-904A-F947F374BF38}">
            <xm:f>Reference_Dropdown1!$C$2</xm:f>
            <x14:dxf>
              <font>
                <color theme="1"/>
              </font>
              <fill>
                <patternFill>
                  <bgColor rgb="FFCCCCFF"/>
                </patternFill>
              </fill>
            </x14:dxf>
          </x14:cfRule>
          <x14:cfRule type="cellIs" priority="6505" operator="equal" id="{531C31B6-89DC-49BD-8893-8E88A5A3FD1B}">
            <xm:f>Reference_Dropdown1!$C$3</xm:f>
            <x14:dxf>
              <font>
                <color auto="1"/>
              </font>
              <fill>
                <patternFill>
                  <bgColor rgb="FFFFC000"/>
                </patternFill>
              </fill>
            </x14:dxf>
          </x14:cfRule>
          <x14:cfRule type="cellIs" priority="6506" operator="equal" id="{7B19207F-DC4B-4B46-A536-83EA14BA2DC0}">
            <xm:f>Reference_Dropdown1!$C$4</xm:f>
            <x14:dxf>
              <fill>
                <patternFill>
                  <bgColor rgb="FFFFFF00"/>
                </patternFill>
              </fill>
            </x14:dxf>
          </x14:cfRule>
          <x14:cfRule type="cellIs" priority="6507" operator="equal" id="{D2E0F579-F172-43B1-B84B-62616AD11EB7}">
            <xm:f>Reference_Dropdown1!$C$5</xm:f>
            <x14:dxf>
              <font>
                <color theme="0"/>
              </font>
              <fill>
                <patternFill>
                  <bgColor rgb="FF9900CC"/>
                </patternFill>
              </fill>
            </x14:dxf>
          </x14:cfRule>
          <x14:cfRule type="cellIs" priority="6508" operator="equal" id="{C438BA75-8296-48B6-A193-A061E3F307FB}">
            <xm:f>Reference_Dropdown1!$C$6</xm:f>
            <x14:dxf>
              <fill>
                <patternFill>
                  <bgColor rgb="FFFF99FF"/>
                </patternFill>
              </fill>
            </x14:dxf>
          </x14:cfRule>
          <x14:cfRule type="cellIs" priority="6509" operator="equal" id="{857F621D-4A0C-4C79-A44A-34699A023276}">
            <xm:f>Reference_Dropdown1!$C$7</xm:f>
            <x14:dxf>
              <font>
                <color theme="0"/>
              </font>
              <fill>
                <patternFill>
                  <bgColor theme="4" tint="-0.24994659260841701"/>
                </patternFill>
              </fill>
            </x14:dxf>
          </x14:cfRule>
          <x14:cfRule type="cellIs" priority="6510" operator="equal" id="{E1F5554C-8493-4E05-AEE2-EAC5317C92DB}">
            <xm:f>Reference_Dropdown1!$C$8</xm:f>
            <x14:dxf>
              <font>
                <color theme="0"/>
              </font>
              <fill>
                <patternFill>
                  <bgColor theme="9" tint="-0.24994659260841701"/>
                </patternFill>
              </fill>
            </x14:dxf>
          </x14:cfRule>
          <x14:cfRule type="cellIs" priority="6511" operator="equal" id="{9549B3B1-C7EF-44E6-900B-E3C3186DA3BE}">
            <xm:f>Reference_Dropdown1!$C$9</xm:f>
            <x14:dxf>
              <font>
                <color theme="0"/>
              </font>
              <fill>
                <patternFill>
                  <bgColor rgb="FF7030A0"/>
                </patternFill>
              </fill>
            </x14:dxf>
          </x14:cfRule>
          <x14:cfRule type="cellIs" priority="6512" operator="equal" id="{F60DA419-B917-4BFC-BE25-3DE27161B14B}">
            <xm:f>Reference_Dropdown1!#REF!</xm:f>
            <x14:dxf>
              <font>
                <color theme="1"/>
              </font>
              <fill>
                <patternFill>
                  <bgColor theme="4" tint="0.79998168889431442"/>
                </patternFill>
              </fill>
            </x14:dxf>
          </x14:cfRule>
          <x14:cfRule type="cellIs" priority="6513" operator="equal" id="{3BBF486D-9B34-48AA-B04B-525179B8535D}">
            <xm:f>Reference_Dropdown1!$C$11</xm:f>
            <x14:dxf>
              <font>
                <color theme="1"/>
              </font>
              <fill>
                <patternFill>
                  <bgColor theme="4" tint="0.39994506668294322"/>
                </patternFill>
              </fill>
            </x14:dxf>
          </x14:cfRule>
          <x14:cfRule type="cellIs" priority="6514" operator="equal" id="{2B374E64-8E9A-444D-A981-0F4DBED863BC}">
            <xm:f>Reference_Dropdown1!#REF!</xm:f>
            <x14:dxf>
              <font>
                <color theme="0"/>
              </font>
              <fill>
                <patternFill>
                  <bgColor theme="4" tint="-0.24994659260841701"/>
                </patternFill>
              </fill>
            </x14:dxf>
          </x14:cfRule>
          <x14:cfRule type="cellIs" priority="6515" operator="equal" id="{8F24A7F0-D8FB-4F2B-A8D0-A6FD94A708C6}">
            <xm:f>Reference_Dropdown1!$C$12</xm:f>
            <x14:dxf>
              <font>
                <color theme="1"/>
              </font>
              <fill>
                <patternFill>
                  <bgColor theme="0" tint="-0.14996795556505021"/>
                </patternFill>
              </fill>
            </x14:dxf>
          </x14:cfRule>
          <x14:cfRule type="cellIs" priority="6516" operator="equal" id="{CD9A748B-C681-4CF9-98FD-0C9FDCE32EF0}">
            <xm:f>Reference_Dropdown1!$C$13</xm:f>
            <x14:dxf>
              <font>
                <color theme="0"/>
              </font>
              <fill>
                <patternFill>
                  <bgColor theme="0" tint="-0.499984740745262"/>
                </patternFill>
              </fill>
            </x14:dxf>
          </x14:cfRule>
          <x14:cfRule type="cellIs" priority="6517" operator="equal" id="{E3A09092-B7F9-4E04-93BA-5A2C582288E2}">
            <xm:f>Reference_Dropdown1!$C$14</xm:f>
            <x14:dxf>
              <font>
                <color theme="0"/>
              </font>
              <fill>
                <patternFill>
                  <bgColor theme="1" tint="0.24994659260841701"/>
                </patternFill>
              </fill>
            </x14:dxf>
          </x14:cfRule>
          <x14:cfRule type="cellIs" priority="6518" operator="equal" id="{0982DCE9-BBD1-43F9-8F01-D20B473F5567}">
            <xm:f>Reference_Dropdown1!#REF!</xm:f>
            <x14:dxf>
              <font>
                <color theme="1"/>
              </font>
              <fill>
                <patternFill>
                  <bgColor theme="9" tint="0.79998168889431442"/>
                </patternFill>
              </fill>
            </x14:dxf>
          </x14:cfRule>
          <x14:cfRule type="cellIs" priority="6519" operator="equal" id="{2556DECC-9904-408F-93A5-20A4105CEA3C}">
            <xm:f>Reference_Dropdown1!#REF!</xm:f>
            <x14:dxf>
              <font>
                <color theme="1"/>
              </font>
              <fill>
                <patternFill>
                  <bgColor theme="9" tint="0.59996337778862885"/>
                </patternFill>
              </fill>
            </x14:dxf>
          </x14:cfRule>
          <x14:cfRule type="cellIs" priority="6520" operator="equal" id="{A09D1914-3AB3-4D43-A94F-9BB18D4EA9A5}">
            <xm:f>Reference_Dropdown1!#REF!</xm:f>
            <x14:dxf>
              <font>
                <color theme="1"/>
              </font>
              <fill>
                <patternFill>
                  <bgColor theme="5" tint="0.79998168889431442"/>
                </patternFill>
              </fill>
            </x14:dxf>
          </x14:cfRule>
          <x14:cfRule type="cellIs" priority="6521" operator="equal" id="{7D06A7FB-0EEE-4E93-A219-29B79CDE390C}">
            <xm:f>Reference_Dropdown1!$C$15</xm:f>
            <x14:dxf>
              <font>
                <color theme="1"/>
              </font>
              <fill>
                <patternFill>
                  <bgColor theme="5" tint="0.59996337778862885"/>
                </patternFill>
              </fill>
            </x14:dxf>
          </x14:cfRule>
          <x14:cfRule type="cellIs" priority="6522" operator="equal" id="{CDC739F4-E6F4-44C1-8856-10494192D876}">
            <xm:f>Reference_Dropdown1!$C$16</xm:f>
            <x14:dxf>
              <font>
                <color theme="1"/>
              </font>
              <fill>
                <patternFill>
                  <bgColor rgb="FF9999FF"/>
                </patternFill>
              </fill>
            </x14:dxf>
          </x14:cfRule>
          <xm:sqref>A2:B4 A6:A38</xm:sqref>
        </x14:conditionalFormatting>
        <x14:conditionalFormatting xmlns:xm="http://schemas.microsoft.com/office/excel/2006/main">
          <x14:cfRule type="expression" priority="5913" id="{64FB30DF-D54E-4674-8940-C14668C4771C}">
            <xm:f>OR(A2='Specified CCE Model Price List'!#REF!,A2='Specified CCE Model Price List'!#REF!,A2='Specified CCE Model Price List'!#REF!,A2='Specified CCE Model Price List'!#REF!,A2='Specified CCE Model Price List'!#REF!)</xm:f>
            <x14:dxf>
              <font>
                <color theme="1"/>
              </font>
              <fill>
                <patternFill>
                  <bgColor theme="1" tint="0.499984740745262"/>
                </patternFill>
              </fill>
            </x14:dxf>
          </x14:cfRule>
          <xm:sqref>H2:H5</xm:sqref>
        </x14:conditionalFormatting>
      </x14:conditionalFormattings>
    </ext>
    <ext xmlns:x14="http://schemas.microsoft.com/office/spreadsheetml/2009/9/main" uri="{CCE6A557-97BC-4b89-ADB6-D9C93CAAB3DF}">
      <x14:dataValidations xmlns:xm="http://schemas.microsoft.com/office/excel/2006/main" xWindow="849" yWindow="616" count="3">
        <x14:dataValidation type="list" allowBlank="1" showInputMessage="1" showErrorMessage="1" xr:uid="{56BDEE50-EEC1-4791-AC1C-633F58E1CCD2}">
          <x14:formula1>
            <xm:f>Reference_Dropdown1!$C$29:$C$30</xm:f>
          </x14:formula1>
          <xm:sqref>J40:O40 W40:X40 AI40:AJ40</xm:sqref>
        </x14:dataValidation>
        <x14:dataValidation type="list" allowBlank="1" showInputMessage="1" showErrorMessage="1" xr:uid="{74AFB79B-7CF6-4124-B29F-7DE30BCA7544}">
          <x14:formula1>
            <xm:f>Reference_Dropdown1!$C$33:$C$43</xm:f>
          </x14:formula1>
          <xm:sqref>K3 AN3 AL3 AJ3 AB3 Z3 X3 O3 M3</xm:sqref>
        </x14:dataValidation>
        <x14:dataValidation type="list" allowBlank="1" showInputMessage="1" showErrorMessage="1" xr:uid="{CEEC744A-C2C4-4695-914C-2666600B2E7C}">
          <x14:formula1>
            <xm:f>Dropdowns3_countries!$D$3:$D$4</xm:f>
          </x14:formula1>
          <xm:sqref>P60:S60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225"/>
  <sheetViews>
    <sheetView showGridLines="0" zoomScale="70" zoomScaleNormal="70" zoomScaleSheetLayoutView="25" workbookViewId="0">
      <pane xSplit="1" ySplit="3" topLeftCell="B4" activePane="bottomRight" state="frozen"/>
      <selection pane="topRight"/>
      <selection pane="bottomLeft"/>
      <selection pane="bottomRight" activeCell="A223" sqref="A223:O225"/>
    </sheetView>
  </sheetViews>
  <sheetFormatPr defaultColWidth="9.1796875" defaultRowHeight="14.5" outlineLevelCol="2" x14ac:dyDescent="0.35"/>
  <cols>
    <col min="1" max="1" width="5.453125" customWidth="1"/>
    <col min="2" max="2" width="30.453125" customWidth="1"/>
    <col min="3" max="3" width="15.453125" customWidth="1"/>
    <col min="4" max="4" width="18.453125" style="14" customWidth="1"/>
    <col min="5" max="5" width="39.453125" style="14" customWidth="1"/>
    <col min="6" max="9" width="15.453125" customWidth="1"/>
    <col min="10" max="10" width="19.1796875" customWidth="1"/>
    <col min="11" max="11" width="18.1796875" customWidth="1"/>
    <col min="12" max="13" width="15.453125" customWidth="1"/>
    <col min="14" max="14" width="22.7265625" customWidth="1"/>
    <col min="15" max="15" width="15.453125" customWidth="1"/>
    <col min="16" max="25" width="10.453125" customWidth="1"/>
    <col min="26" max="26" width="9.1796875" hidden="1" customWidth="1"/>
    <col min="27" max="29" width="9.1796875" hidden="1" customWidth="1" outlineLevel="2"/>
    <col min="30" max="33" width="9.1796875" hidden="1" customWidth="1" outlineLevel="1"/>
    <col min="34" max="34" width="10.453125" hidden="1" customWidth="1" outlineLevel="1"/>
    <col min="35" max="35" width="0" hidden="1" customWidth="1" collapsed="1"/>
  </cols>
  <sheetData>
    <row r="1" spans="1:34" ht="23.25" customHeight="1" thickBot="1" x14ac:dyDescent="0.4">
      <c r="A1" s="16" t="s">
        <v>129</v>
      </c>
      <c r="B1" s="15"/>
      <c r="C1" s="15"/>
      <c r="D1" s="15"/>
      <c r="E1" s="20"/>
      <c r="F1" s="20"/>
      <c r="G1" s="66"/>
      <c r="H1" s="20"/>
      <c r="I1" s="20"/>
      <c r="J1" s="20"/>
      <c r="K1" s="20"/>
      <c r="L1" s="20"/>
      <c r="M1" s="20"/>
      <c r="N1" s="20"/>
      <c r="O1" s="21"/>
      <c r="P1" s="21"/>
      <c r="Q1" s="21"/>
      <c r="R1" s="21"/>
      <c r="S1" s="21"/>
      <c r="T1" s="21"/>
      <c r="U1" s="21"/>
      <c r="V1" s="21"/>
      <c r="W1" s="21"/>
      <c r="X1" s="21"/>
      <c r="Y1" s="21"/>
    </row>
    <row r="2" spans="1:34" ht="22" customHeight="1" thickBot="1" x14ac:dyDescent="0.4">
      <c r="E2" s="22"/>
      <c r="F2" s="21"/>
      <c r="G2" s="21"/>
      <c r="H2" s="21"/>
      <c r="I2" s="21">
        <v>1.1200000000000001</v>
      </c>
      <c r="J2" s="464" t="s">
        <v>130</v>
      </c>
      <c r="K2" s="465"/>
      <c r="L2" s="466" t="s">
        <v>131</v>
      </c>
      <c r="M2" s="467"/>
      <c r="N2" s="21"/>
      <c r="O2" s="21"/>
      <c r="P2" s="21"/>
      <c r="Q2" s="21"/>
      <c r="R2" s="21"/>
      <c r="S2" s="21"/>
      <c r="T2" s="21"/>
      <c r="U2" s="21"/>
      <c r="V2" s="21"/>
      <c r="W2" s="21"/>
      <c r="X2" s="21"/>
      <c r="Y2" s="21"/>
    </row>
    <row r="3" spans="1:34" s="7" customFormat="1" ht="88" thickTop="1" thickBot="1" x14ac:dyDescent="0.4">
      <c r="A3" s="5" t="s">
        <v>132</v>
      </c>
      <c r="B3" s="5" t="s">
        <v>133</v>
      </c>
      <c r="C3" s="5" t="s">
        <v>134</v>
      </c>
      <c r="D3" s="6" t="s">
        <v>72</v>
      </c>
      <c r="E3" s="6" t="s">
        <v>71</v>
      </c>
      <c r="F3" s="5" t="s">
        <v>73</v>
      </c>
      <c r="G3" s="5" t="s">
        <v>74</v>
      </c>
      <c r="H3" s="5" t="s">
        <v>135</v>
      </c>
      <c r="I3" s="55" t="s">
        <v>75</v>
      </c>
      <c r="J3" s="67" t="s">
        <v>136</v>
      </c>
      <c r="K3" s="68" t="s">
        <v>137</v>
      </c>
      <c r="L3" s="56" t="s">
        <v>138</v>
      </c>
      <c r="M3" s="61" t="s">
        <v>139</v>
      </c>
      <c r="N3" s="56" t="s">
        <v>140</v>
      </c>
      <c r="O3" s="5" t="s">
        <v>141</v>
      </c>
      <c r="P3" s="70"/>
      <c r="Q3" s="24"/>
      <c r="R3" s="24"/>
      <c r="S3" s="24"/>
      <c r="T3" s="24"/>
      <c r="U3" s="24"/>
      <c r="V3" s="24"/>
      <c r="W3" s="24"/>
      <c r="X3" s="24"/>
      <c r="Y3" s="24"/>
      <c r="AA3" s="13" t="s">
        <v>69</v>
      </c>
      <c r="AH3" s="7" t="s">
        <v>142</v>
      </c>
    </row>
    <row r="4" spans="1:34" s="3" customFormat="1" ht="29.5" thickBot="1" x14ac:dyDescent="0.4">
      <c r="A4" s="64">
        <v>1</v>
      </c>
      <c r="B4" s="25" t="s">
        <v>87</v>
      </c>
      <c r="C4" s="44" t="s">
        <v>143</v>
      </c>
      <c r="D4" s="45" t="s">
        <v>144</v>
      </c>
      <c r="E4" s="45" t="s">
        <v>145</v>
      </c>
      <c r="F4" s="18">
        <v>36.5</v>
      </c>
      <c r="G4" s="18" t="s">
        <v>146</v>
      </c>
      <c r="H4" s="18">
        <v>5.0791666666666666</v>
      </c>
      <c r="I4" s="130">
        <f>3240*I2</f>
        <v>3628.8</v>
      </c>
      <c r="J4" s="58">
        <v>850</v>
      </c>
      <c r="K4" s="59">
        <v>1350</v>
      </c>
      <c r="L4" s="57" t="s">
        <v>147</v>
      </c>
      <c r="M4" s="59" t="s">
        <v>147</v>
      </c>
      <c r="N4" s="57">
        <f>I4+400</f>
        <v>4028.8</v>
      </c>
      <c r="O4" s="4">
        <f t="shared" ref="O4:O10" si="0">N4+950</f>
        <v>4978.8</v>
      </c>
      <c r="P4" s="468" t="s">
        <v>148</v>
      </c>
      <c r="Q4" s="468"/>
      <c r="R4" s="468"/>
      <c r="S4" s="468"/>
      <c r="T4" s="468"/>
      <c r="U4" s="468"/>
      <c r="V4" s="468"/>
      <c r="W4" s="468"/>
      <c r="X4" s="468"/>
      <c r="Y4" s="469"/>
      <c r="AA4" s="63"/>
      <c r="AB4" s="63"/>
      <c r="AC4" s="63"/>
    </row>
    <row r="5" spans="1:34" s="3" customFormat="1" ht="29.5" thickBot="1" x14ac:dyDescent="0.4">
      <c r="A5" s="64">
        <f>A4+1</f>
        <v>2</v>
      </c>
      <c r="B5" s="25" t="s">
        <v>87</v>
      </c>
      <c r="C5" s="44" t="s">
        <v>143</v>
      </c>
      <c r="D5" s="45" t="s">
        <v>149</v>
      </c>
      <c r="E5" s="45" t="s">
        <v>150</v>
      </c>
      <c r="F5" s="18">
        <v>50.5</v>
      </c>
      <c r="G5" s="18" t="s">
        <v>146</v>
      </c>
      <c r="H5" s="18">
        <v>3.7</v>
      </c>
      <c r="I5" s="130">
        <v>1100</v>
      </c>
      <c r="J5" s="58">
        <v>850</v>
      </c>
      <c r="K5" s="59">
        <v>1350</v>
      </c>
      <c r="L5" s="57" t="s">
        <v>147</v>
      </c>
      <c r="M5" s="59" t="s">
        <v>147</v>
      </c>
      <c r="N5" s="57">
        <f>I5+400</f>
        <v>1500</v>
      </c>
      <c r="O5" s="4">
        <f t="shared" si="0"/>
        <v>2450</v>
      </c>
      <c r="Z5" s="8"/>
    </row>
    <row r="6" spans="1:34" s="3" customFormat="1" ht="29.5" thickBot="1" x14ac:dyDescent="0.4">
      <c r="A6" s="64">
        <f>A5+1</f>
        <v>3</v>
      </c>
      <c r="B6" s="25" t="s">
        <v>87</v>
      </c>
      <c r="C6" s="44" t="s">
        <v>143</v>
      </c>
      <c r="D6" s="45" t="s">
        <v>149</v>
      </c>
      <c r="E6" s="45" t="s">
        <v>151</v>
      </c>
      <c r="F6" s="18">
        <v>50.5</v>
      </c>
      <c r="G6" s="18" t="s">
        <v>146</v>
      </c>
      <c r="H6" s="18">
        <v>3.7</v>
      </c>
      <c r="I6" s="130">
        <f>I5+646</f>
        <v>1746</v>
      </c>
      <c r="J6" s="58">
        <v>850</v>
      </c>
      <c r="K6" s="59">
        <v>1350</v>
      </c>
      <c r="L6" s="57" t="s">
        <v>147</v>
      </c>
      <c r="M6" s="59" t="s">
        <v>147</v>
      </c>
      <c r="N6" s="57">
        <f t="shared" ref="N6:N8" si="1">I6+400</f>
        <v>2146</v>
      </c>
      <c r="O6" s="4">
        <f t="shared" si="0"/>
        <v>3096</v>
      </c>
      <c r="P6" s="468" t="s">
        <v>152</v>
      </c>
      <c r="Q6" s="468"/>
      <c r="R6" s="468"/>
      <c r="S6" s="468"/>
      <c r="T6" s="468"/>
      <c r="U6" s="468"/>
      <c r="V6" s="468"/>
      <c r="W6" s="468"/>
      <c r="X6" s="468"/>
      <c r="Y6" s="469"/>
      <c r="Z6" s="8"/>
    </row>
    <row r="7" spans="1:34" s="3" customFormat="1" ht="29.5" thickBot="1" x14ac:dyDescent="0.4">
      <c r="A7" s="64">
        <f t="shared" ref="A7:A72" si="2">A6+1</f>
        <v>4</v>
      </c>
      <c r="B7" s="25" t="s">
        <v>87</v>
      </c>
      <c r="C7" s="44" t="s">
        <v>143</v>
      </c>
      <c r="D7" s="45" t="s">
        <v>153</v>
      </c>
      <c r="E7" s="45" t="s">
        <v>154</v>
      </c>
      <c r="F7" s="18">
        <v>38</v>
      </c>
      <c r="G7" s="18" t="s">
        <v>146</v>
      </c>
      <c r="H7" s="18">
        <v>2.4</v>
      </c>
      <c r="I7" s="130">
        <f>1301*I2</f>
        <v>1457.1200000000001</v>
      </c>
      <c r="J7" s="58">
        <v>850</v>
      </c>
      <c r="K7" s="59">
        <v>1350</v>
      </c>
      <c r="L7" s="57" t="s">
        <v>147</v>
      </c>
      <c r="M7" s="59" t="s">
        <v>147</v>
      </c>
      <c r="N7" s="57">
        <f t="shared" si="1"/>
        <v>1857.1200000000001</v>
      </c>
      <c r="O7" s="4">
        <f t="shared" si="0"/>
        <v>2807.12</v>
      </c>
      <c r="Z7" s="8"/>
    </row>
    <row r="8" spans="1:34" s="3" customFormat="1" ht="29.5" thickBot="1" x14ac:dyDescent="0.4">
      <c r="A8" s="64">
        <f t="shared" si="2"/>
        <v>5</v>
      </c>
      <c r="B8" s="25" t="s">
        <v>87</v>
      </c>
      <c r="C8" s="44" t="s">
        <v>143</v>
      </c>
      <c r="D8" s="45" t="s">
        <v>153</v>
      </c>
      <c r="E8" s="45" t="s">
        <v>155</v>
      </c>
      <c r="F8" s="18">
        <v>38</v>
      </c>
      <c r="G8" s="18" t="s">
        <v>146</v>
      </c>
      <c r="H8" s="18">
        <v>2.4</v>
      </c>
      <c r="I8" s="130">
        <f>I7+(1065*I2)</f>
        <v>2649.92</v>
      </c>
      <c r="J8" s="58">
        <v>850</v>
      </c>
      <c r="K8" s="59">
        <v>1350</v>
      </c>
      <c r="L8" s="57" t="s">
        <v>147</v>
      </c>
      <c r="M8" s="59" t="s">
        <v>147</v>
      </c>
      <c r="N8" s="57">
        <f t="shared" si="1"/>
        <v>3049.92</v>
      </c>
      <c r="O8" s="4">
        <f t="shared" si="0"/>
        <v>3999.92</v>
      </c>
      <c r="P8" s="470" t="s">
        <v>156</v>
      </c>
      <c r="Q8" s="470"/>
      <c r="R8" s="470"/>
      <c r="S8" s="470"/>
      <c r="T8" s="470"/>
      <c r="U8" s="470"/>
      <c r="V8" s="470"/>
      <c r="W8" s="470"/>
      <c r="X8" s="470"/>
      <c r="Y8" s="471"/>
      <c r="Z8" s="8"/>
    </row>
    <row r="9" spans="1:34" s="3" customFormat="1" ht="29.5" thickBot="1" x14ac:dyDescent="0.4">
      <c r="A9" s="64">
        <f t="shared" si="2"/>
        <v>6</v>
      </c>
      <c r="B9" s="25" t="s">
        <v>87</v>
      </c>
      <c r="C9" s="44" t="s">
        <v>143</v>
      </c>
      <c r="D9" s="45" t="s">
        <v>157</v>
      </c>
      <c r="E9" s="45" t="s">
        <v>158</v>
      </c>
      <c r="F9" s="18">
        <v>50</v>
      </c>
      <c r="G9" s="18" t="s">
        <v>146</v>
      </c>
      <c r="H9" s="18">
        <v>0.3</v>
      </c>
      <c r="I9" s="130">
        <v>1500</v>
      </c>
      <c r="J9" s="58">
        <v>850</v>
      </c>
      <c r="K9" s="59">
        <v>1350</v>
      </c>
      <c r="L9" s="57" t="s">
        <v>147</v>
      </c>
      <c r="M9" s="59" t="s">
        <v>147</v>
      </c>
      <c r="N9" s="57">
        <f>I9+400</f>
        <v>1900</v>
      </c>
      <c r="O9" s="4">
        <f t="shared" si="0"/>
        <v>2850</v>
      </c>
      <c r="P9" s="341"/>
      <c r="Q9" s="341"/>
      <c r="R9" s="341"/>
      <c r="S9" s="341"/>
      <c r="T9" s="341"/>
      <c r="U9" s="341"/>
      <c r="V9" s="341"/>
      <c r="W9" s="341"/>
      <c r="X9" s="341"/>
      <c r="Y9" s="341"/>
      <c r="Z9" s="8"/>
    </row>
    <row r="10" spans="1:34" s="3" customFormat="1" ht="29.5" thickBot="1" x14ac:dyDescent="0.4">
      <c r="A10" s="64">
        <f t="shared" si="2"/>
        <v>7</v>
      </c>
      <c r="B10" s="25" t="s">
        <v>87</v>
      </c>
      <c r="C10" s="44" t="s">
        <v>143</v>
      </c>
      <c r="D10" s="45" t="s">
        <v>157</v>
      </c>
      <c r="E10" s="45" t="s">
        <v>159</v>
      </c>
      <c r="F10" s="18">
        <v>50</v>
      </c>
      <c r="G10" s="18" t="s">
        <v>146</v>
      </c>
      <c r="H10" s="18">
        <v>0.3</v>
      </c>
      <c r="I10" s="130">
        <f>I9+1210</f>
        <v>2710</v>
      </c>
      <c r="J10" s="58">
        <v>850</v>
      </c>
      <c r="K10" s="59">
        <v>1350</v>
      </c>
      <c r="L10" s="57" t="s">
        <v>147</v>
      </c>
      <c r="M10" s="59" t="s">
        <v>147</v>
      </c>
      <c r="N10" s="57">
        <f>I10+400</f>
        <v>3110</v>
      </c>
      <c r="O10" s="4">
        <f t="shared" si="0"/>
        <v>4060</v>
      </c>
      <c r="P10" s="341"/>
      <c r="Q10" s="341"/>
      <c r="R10" s="341"/>
      <c r="S10" s="341"/>
      <c r="T10" s="341"/>
      <c r="U10" s="341"/>
      <c r="V10" s="341"/>
      <c r="W10" s="341"/>
      <c r="X10" s="341"/>
      <c r="Y10" s="341"/>
      <c r="Z10" s="8"/>
    </row>
    <row r="11" spans="1:34" s="3" customFormat="1" ht="29.5" thickBot="1" x14ac:dyDescent="0.4">
      <c r="A11" s="64">
        <f t="shared" si="2"/>
        <v>8</v>
      </c>
      <c r="B11" s="25" t="s">
        <v>87</v>
      </c>
      <c r="C11" s="44" t="s">
        <v>160</v>
      </c>
      <c r="D11" s="45" t="s">
        <v>161</v>
      </c>
      <c r="E11" s="45" t="s">
        <v>162</v>
      </c>
      <c r="F11" s="18">
        <v>61</v>
      </c>
      <c r="G11" s="18" t="s">
        <v>146</v>
      </c>
      <c r="H11" s="18">
        <v>2.5</v>
      </c>
      <c r="I11" s="131">
        <v>943</v>
      </c>
      <c r="J11" s="58">
        <v>850</v>
      </c>
      <c r="K11" s="59">
        <v>1350</v>
      </c>
      <c r="L11" s="57" t="s">
        <v>147</v>
      </c>
      <c r="M11" s="59" t="s">
        <v>147</v>
      </c>
      <c r="N11" s="57">
        <f>I11+400</f>
        <v>1343</v>
      </c>
      <c r="O11" s="4">
        <f t="shared" ref="O11" si="3">N11+950</f>
        <v>2293</v>
      </c>
      <c r="Z11" s="8"/>
    </row>
    <row r="12" spans="1:34" s="3" customFormat="1" ht="29.5" thickBot="1" x14ac:dyDescent="0.4">
      <c r="A12" s="64">
        <f t="shared" si="2"/>
        <v>9</v>
      </c>
      <c r="B12" s="25" t="s">
        <v>87</v>
      </c>
      <c r="C12" s="44" t="s">
        <v>160</v>
      </c>
      <c r="D12" s="45" t="s">
        <v>161</v>
      </c>
      <c r="E12" s="45" t="s">
        <v>163</v>
      </c>
      <c r="F12" s="18">
        <v>61</v>
      </c>
      <c r="G12" s="18" t="s">
        <v>146</v>
      </c>
      <c r="H12" s="18">
        <v>2.5</v>
      </c>
      <c r="I12" s="131">
        <f>I11+460</f>
        <v>1403</v>
      </c>
      <c r="J12" s="58">
        <v>850</v>
      </c>
      <c r="K12" s="59">
        <v>1350</v>
      </c>
      <c r="L12" s="57" t="s">
        <v>147</v>
      </c>
      <c r="M12" s="59" t="s">
        <v>147</v>
      </c>
      <c r="N12" s="57">
        <f t="shared" ref="N12:N27" si="4">I12+400</f>
        <v>1803</v>
      </c>
      <c r="O12" s="4">
        <f t="shared" ref="O12:O27" si="5">N12+950</f>
        <v>2753</v>
      </c>
      <c r="P12" s="468" t="s">
        <v>164</v>
      </c>
      <c r="Q12" s="468"/>
      <c r="R12" s="468"/>
      <c r="S12" s="468"/>
      <c r="T12" s="468"/>
      <c r="U12" s="468"/>
      <c r="V12" s="468"/>
      <c r="W12" s="468"/>
      <c r="X12" s="468"/>
      <c r="Y12" s="469"/>
      <c r="Z12" s="2"/>
    </row>
    <row r="13" spans="1:34" s="3" customFormat="1" ht="29.5" thickBot="1" x14ac:dyDescent="0.4">
      <c r="A13" s="64">
        <f t="shared" si="2"/>
        <v>10</v>
      </c>
      <c r="B13" s="25" t="s">
        <v>87</v>
      </c>
      <c r="C13" s="44" t="s">
        <v>160</v>
      </c>
      <c r="D13" s="45" t="s">
        <v>149</v>
      </c>
      <c r="E13" s="45" t="s">
        <v>165</v>
      </c>
      <c r="F13" s="18">
        <v>72.5</v>
      </c>
      <c r="G13" s="18" t="s">
        <v>146</v>
      </c>
      <c r="H13" s="18">
        <v>3.4</v>
      </c>
      <c r="I13" s="131">
        <v>1125</v>
      </c>
      <c r="J13" s="58">
        <v>850</v>
      </c>
      <c r="K13" s="59">
        <v>1350</v>
      </c>
      <c r="L13" s="57" t="s">
        <v>147</v>
      </c>
      <c r="M13" s="59" t="s">
        <v>147</v>
      </c>
      <c r="N13" s="57">
        <f t="shared" si="4"/>
        <v>1525</v>
      </c>
      <c r="O13" s="4">
        <f t="shared" si="5"/>
        <v>2475</v>
      </c>
      <c r="Y13" s="71"/>
    </row>
    <row r="14" spans="1:34" s="3" customFormat="1" ht="29.5" thickBot="1" x14ac:dyDescent="0.4">
      <c r="A14" s="64">
        <f t="shared" si="2"/>
        <v>11</v>
      </c>
      <c r="B14" s="25" t="s">
        <v>87</v>
      </c>
      <c r="C14" s="44" t="s">
        <v>160</v>
      </c>
      <c r="D14" s="45" t="s">
        <v>149</v>
      </c>
      <c r="E14" s="45" t="s">
        <v>166</v>
      </c>
      <c r="F14" s="18">
        <v>72.5</v>
      </c>
      <c r="G14" s="18" t="s">
        <v>146</v>
      </c>
      <c r="H14" s="18">
        <v>3.4</v>
      </c>
      <c r="I14" s="131">
        <f>I13+646</f>
        <v>1771</v>
      </c>
      <c r="J14" s="58">
        <v>850</v>
      </c>
      <c r="K14" s="59">
        <v>1350</v>
      </c>
      <c r="L14" s="57" t="s">
        <v>147</v>
      </c>
      <c r="M14" s="59" t="s">
        <v>147</v>
      </c>
      <c r="N14" s="57">
        <f t="shared" si="4"/>
        <v>2171</v>
      </c>
      <c r="O14" s="4">
        <f t="shared" si="5"/>
        <v>3121</v>
      </c>
      <c r="P14" s="472" t="s">
        <v>167</v>
      </c>
      <c r="Q14" s="472"/>
      <c r="R14" s="472"/>
      <c r="S14" s="472"/>
      <c r="T14" s="472"/>
      <c r="U14" s="472"/>
      <c r="V14" s="472"/>
      <c r="W14" s="472"/>
      <c r="X14" s="472"/>
    </row>
    <row r="15" spans="1:34" s="3" customFormat="1" ht="29" x14ac:dyDescent="0.35">
      <c r="A15" s="64">
        <f t="shared" si="2"/>
        <v>12</v>
      </c>
      <c r="B15" s="25" t="s">
        <v>87</v>
      </c>
      <c r="C15" s="44" t="s">
        <v>160</v>
      </c>
      <c r="D15" s="45" t="s">
        <v>144</v>
      </c>
      <c r="E15" s="45" t="s">
        <v>168</v>
      </c>
      <c r="F15" s="18">
        <v>80.5</v>
      </c>
      <c r="G15" s="18" t="s">
        <v>146</v>
      </c>
      <c r="H15" s="18">
        <v>3.0062500000000001</v>
      </c>
      <c r="I15" s="131">
        <f>3489*I2</f>
        <v>3907.6800000000003</v>
      </c>
      <c r="J15" s="58">
        <v>850</v>
      </c>
      <c r="K15" s="59">
        <v>1350</v>
      </c>
      <c r="L15" s="57" t="s">
        <v>147</v>
      </c>
      <c r="M15" s="59" t="s">
        <v>147</v>
      </c>
      <c r="N15" s="57">
        <f>I15+400</f>
        <v>4307.68</v>
      </c>
      <c r="O15" s="4">
        <f t="shared" si="5"/>
        <v>5257.68</v>
      </c>
      <c r="Q15" s="7"/>
      <c r="R15" s="7"/>
      <c r="S15" s="7"/>
      <c r="T15" s="7"/>
      <c r="U15" s="7"/>
      <c r="V15" s="7"/>
      <c r="W15" s="7"/>
      <c r="X15" s="7"/>
    </row>
    <row r="16" spans="1:34" s="3" customFormat="1" ht="29" x14ac:dyDescent="0.35">
      <c r="A16" s="64">
        <f t="shared" si="2"/>
        <v>13</v>
      </c>
      <c r="B16" s="25" t="s">
        <v>87</v>
      </c>
      <c r="C16" s="44" t="s">
        <v>160</v>
      </c>
      <c r="D16" s="45" t="s">
        <v>153</v>
      </c>
      <c r="E16" s="45" t="s">
        <v>169</v>
      </c>
      <c r="F16" s="18">
        <v>98</v>
      </c>
      <c r="G16" s="18" t="s">
        <v>146</v>
      </c>
      <c r="H16" s="18">
        <v>2.2708333333333335</v>
      </c>
      <c r="I16" s="131">
        <f>1478*I2</f>
        <v>1655.3600000000001</v>
      </c>
      <c r="J16" s="58">
        <v>850</v>
      </c>
      <c r="K16" s="59">
        <v>1350</v>
      </c>
      <c r="L16" s="57" t="s">
        <v>147</v>
      </c>
      <c r="M16" s="59" t="s">
        <v>147</v>
      </c>
      <c r="N16" s="57">
        <f t="shared" si="4"/>
        <v>2055.36</v>
      </c>
      <c r="O16" s="4">
        <f t="shared" si="5"/>
        <v>3005.36</v>
      </c>
      <c r="P16" s="3" t="s">
        <v>170</v>
      </c>
      <c r="Q16" s="335"/>
      <c r="R16" s="335"/>
      <c r="S16" s="335"/>
      <c r="T16" s="335"/>
      <c r="U16" s="335"/>
      <c r="V16" s="335"/>
      <c r="W16" s="335"/>
      <c r="X16" s="335"/>
      <c r="Y16" s="335"/>
    </row>
    <row r="17" spans="1:25" s="3" customFormat="1" ht="29" x14ac:dyDescent="0.35">
      <c r="A17" s="64">
        <f t="shared" si="2"/>
        <v>14</v>
      </c>
      <c r="B17" s="25" t="s">
        <v>87</v>
      </c>
      <c r="C17" s="44" t="s">
        <v>160</v>
      </c>
      <c r="D17" s="45" t="s">
        <v>153</v>
      </c>
      <c r="E17" s="45" t="s">
        <v>171</v>
      </c>
      <c r="F17" s="18">
        <v>98</v>
      </c>
      <c r="G17" s="18" t="s">
        <v>146</v>
      </c>
      <c r="H17" s="18">
        <v>2.2708333333333335</v>
      </c>
      <c r="I17" s="131">
        <f>I16+(1065*I2)</f>
        <v>2848.1600000000003</v>
      </c>
      <c r="J17" s="58">
        <v>850</v>
      </c>
      <c r="K17" s="59">
        <v>1350</v>
      </c>
      <c r="L17" s="57" t="s">
        <v>147</v>
      </c>
      <c r="M17" s="59" t="s">
        <v>147</v>
      </c>
      <c r="N17" s="57">
        <f t="shared" si="4"/>
        <v>3248.1600000000003</v>
      </c>
      <c r="O17" s="4">
        <f t="shared" si="5"/>
        <v>4198.16</v>
      </c>
      <c r="P17" s="335" t="s">
        <v>172</v>
      </c>
      <c r="Q17" s="7"/>
      <c r="R17" s="7"/>
      <c r="S17" s="7"/>
      <c r="T17" s="7"/>
      <c r="U17" s="7"/>
      <c r="V17" s="7"/>
      <c r="W17" s="7"/>
      <c r="X17" s="7"/>
      <c r="Y17" s="7"/>
    </row>
    <row r="18" spans="1:25" s="3" customFormat="1" ht="29" x14ac:dyDescent="0.35">
      <c r="A18" s="64">
        <f t="shared" si="2"/>
        <v>15</v>
      </c>
      <c r="B18" s="25" t="s">
        <v>87</v>
      </c>
      <c r="C18" s="44" t="s">
        <v>160</v>
      </c>
      <c r="D18" s="45" t="s">
        <v>153</v>
      </c>
      <c r="E18" s="45" t="s">
        <v>173</v>
      </c>
      <c r="F18" s="18">
        <v>60</v>
      </c>
      <c r="G18" s="18" t="s">
        <v>146</v>
      </c>
      <c r="H18" s="18">
        <v>2.2999999999999998</v>
      </c>
      <c r="I18" s="131">
        <f>1350*I2</f>
        <v>1512.0000000000002</v>
      </c>
      <c r="J18" s="58">
        <v>850</v>
      </c>
      <c r="K18" s="59">
        <v>1350</v>
      </c>
      <c r="L18" s="57" t="s">
        <v>147</v>
      </c>
      <c r="M18" s="59" t="s">
        <v>147</v>
      </c>
      <c r="N18" s="57">
        <f t="shared" si="4"/>
        <v>1912.0000000000002</v>
      </c>
      <c r="O18" s="4">
        <f t="shared" si="5"/>
        <v>2862</v>
      </c>
      <c r="P18" s="7"/>
      <c r="Q18" s="7"/>
      <c r="R18" s="7"/>
      <c r="S18" s="7"/>
      <c r="T18" s="7"/>
      <c r="U18" s="7"/>
      <c r="V18" s="7"/>
      <c r="W18" s="7"/>
      <c r="X18" s="7"/>
      <c r="Y18" s="7"/>
    </row>
    <row r="19" spans="1:25" s="3" customFormat="1" ht="29" x14ac:dyDescent="0.35">
      <c r="A19" s="64">
        <f t="shared" si="2"/>
        <v>16</v>
      </c>
      <c r="B19" s="25" t="s">
        <v>87</v>
      </c>
      <c r="C19" s="44" t="s">
        <v>160</v>
      </c>
      <c r="D19" s="45" t="s">
        <v>153</v>
      </c>
      <c r="E19" s="45" t="s">
        <v>174</v>
      </c>
      <c r="F19" s="18">
        <v>60</v>
      </c>
      <c r="G19" s="18" t="s">
        <v>146</v>
      </c>
      <c r="H19" s="18">
        <v>2.2999999999999998</v>
      </c>
      <c r="I19" s="131">
        <f>I18+(1065*I2)</f>
        <v>2704.8</v>
      </c>
      <c r="J19" s="58">
        <v>850</v>
      </c>
      <c r="K19" s="59">
        <v>1350</v>
      </c>
      <c r="L19" s="57" t="s">
        <v>147</v>
      </c>
      <c r="M19" s="59" t="s">
        <v>147</v>
      </c>
      <c r="N19" s="57">
        <f t="shared" si="4"/>
        <v>3104.8</v>
      </c>
      <c r="O19" s="4">
        <f t="shared" si="5"/>
        <v>4054.8</v>
      </c>
      <c r="P19" s="7"/>
      <c r="Q19" s="7"/>
      <c r="R19" s="7"/>
      <c r="S19" s="7"/>
      <c r="T19" s="7"/>
      <c r="U19" s="7"/>
      <c r="V19" s="7"/>
      <c r="W19" s="7"/>
      <c r="X19" s="7"/>
      <c r="Y19" s="7"/>
    </row>
    <row r="20" spans="1:25" s="3" customFormat="1" ht="29" x14ac:dyDescent="0.35">
      <c r="A20" s="64">
        <f t="shared" si="2"/>
        <v>17</v>
      </c>
      <c r="B20" s="25" t="s">
        <v>87</v>
      </c>
      <c r="C20" s="44" t="s">
        <v>160</v>
      </c>
      <c r="D20" s="45" t="s">
        <v>149</v>
      </c>
      <c r="E20" s="45" t="s">
        <v>175</v>
      </c>
      <c r="F20" s="18">
        <v>98.5</v>
      </c>
      <c r="G20" s="18" t="s">
        <v>146</v>
      </c>
      <c r="H20" s="18">
        <v>2.4819444444444447</v>
      </c>
      <c r="I20" s="131">
        <v>1295</v>
      </c>
      <c r="J20" s="58">
        <v>850</v>
      </c>
      <c r="K20" s="59">
        <v>1350</v>
      </c>
      <c r="L20" s="57" t="s">
        <v>147</v>
      </c>
      <c r="M20" s="59" t="s">
        <v>147</v>
      </c>
      <c r="N20" s="57">
        <f t="shared" si="4"/>
        <v>1695</v>
      </c>
      <c r="O20" s="4">
        <f t="shared" si="5"/>
        <v>2645</v>
      </c>
      <c r="P20" s="23"/>
      <c r="Q20" s="23"/>
      <c r="R20" s="23"/>
      <c r="S20" s="23"/>
      <c r="T20" s="23"/>
      <c r="U20" s="23"/>
      <c r="V20" s="23"/>
      <c r="W20" s="23"/>
      <c r="X20" s="23"/>
      <c r="Y20" s="23"/>
    </row>
    <row r="21" spans="1:25" s="3" customFormat="1" ht="29" x14ac:dyDescent="0.35">
      <c r="A21" s="64">
        <f t="shared" si="2"/>
        <v>18</v>
      </c>
      <c r="B21" s="25" t="s">
        <v>87</v>
      </c>
      <c r="C21" s="44" t="s">
        <v>160</v>
      </c>
      <c r="D21" s="45" t="s">
        <v>149</v>
      </c>
      <c r="E21" s="45" t="s">
        <v>176</v>
      </c>
      <c r="F21" s="18">
        <v>98.5</v>
      </c>
      <c r="G21" s="18" t="s">
        <v>146</v>
      </c>
      <c r="H21" s="18">
        <v>2.4819444444444447</v>
      </c>
      <c r="I21" s="131">
        <f>I20+646</f>
        <v>1941</v>
      </c>
      <c r="J21" s="58">
        <v>850</v>
      </c>
      <c r="K21" s="59">
        <v>1350</v>
      </c>
      <c r="L21" s="57" t="s">
        <v>147</v>
      </c>
      <c r="M21" s="59" t="s">
        <v>147</v>
      </c>
      <c r="N21" s="57">
        <f t="shared" si="4"/>
        <v>2341</v>
      </c>
      <c r="O21" s="4">
        <f t="shared" si="5"/>
        <v>3291</v>
      </c>
      <c r="P21" s="23"/>
      <c r="Q21" s="23"/>
      <c r="R21" s="23"/>
      <c r="S21" s="23"/>
      <c r="T21" s="23"/>
      <c r="U21" s="23"/>
      <c r="V21" s="23"/>
      <c r="W21" s="23"/>
      <c r="X21" s="23"/>
      <c r="Y21" s="23"/>
    </row>
    <row r="22" spans="1:25" s="3" customFormat="1" ht="29" x14ac:dyDescent="0.35">
      <c r="A22" s="64">
        <f t="shared" si="2"/>
        <v>19</v>
      </c>
      <c r="B22" s="25" t="s">
        <v>87</v>
      </c>
      <c r="C22" s="44" t="s">
        <v>160</v>
      </c>
      <c r="D22" s="45" t="s">
        <v>161</v>
      </c>
      <c r="E22" s="45" t="s">
        <v>177</v>
      </c>
      <c r="F22" s="18">
        <v>100</v>
      </c>
      <c r="G22" s="18" t="s">
        <v>146</v>
      </c>
      <c r="H22" s="18">
        <v>5.3666666666666671</v>
      </c>
      <c r="I22" s="131">
        <v>1898</v>
      </c>
      <c r="J22" s="58">
        <v>850</v>
      </c>
      <c r="K22" s="59">
        <v>1350</v>
      </c>
      <c r="L22" s="57" t="s">
        <v>147</v>
      </c>
      <c r="M22" s="59" t="s">
        <v>147</v>
      </c>
      <c r="N22" s="57">
        <f t="shared" si="4"/>
        <v>2298</v>
      </c>
      <c r="O22" s="4">
        <f t="shared" si="5"/>
        <v>3248</v>
      </c>
    </row>
    <row r="23" spans="1:25" s="3" customFormat="1" ht="29" x14ac:dyDescent="0.35">
      <c r="A23" s="64">
        <f t="shared" si="2"/>
        <v>20</v>
      </c>
      <c r="B23" s="25" t="s">
        <v>87</v>
      </c>
      <c r="C23" s="44" t="s">
        <v>160</v>
      </c>
      <c r="D23" s="45" t="s">
        <v>161</v>
      </c>
      <c r="E23" s="45" t="s">
        <v>178</v>
      </c>
      <c r="F23" s="18">
        <v>100</v>
      </c>
      <c r="G23" s="18" t="s">
        <v>146</v>
      </c>
      <c r="H23" s="18">
        <v>5.3666666666666671</v>
      </c>
      <c r="I23" s="131">
        <f>I22+460</f>
        <v>2358</v>
      </c>
      <c r="J23" s="58">
        <v>850</v>
      </c>
      <c r="K23" s="59">
        <v>1350</v>
      </c>
      <c r="L23" s="57" t="s">
        <v>147</v>
      </c>
      <c r="M23" s="59" t="s">
        <v>147</v>
      </c>
      <c r="N23" s="57">
        <f t="shared" si="4"/>
        <v>2758</v>
      </c>
      <c r="O23" s="4">
        <f t="shared" si="5"/>
        <v>3708</v>
      </c>
    </row>
    <row r="24" spans="1:25" s="3" customFormat="1" ht="29" x14ac:dyDescent="0.35">
      <c r="A24" s="64">
        <f t="shared" si="2"/>
        <v>21</v>
      </c>
      <c r="B24" s="25" t="s">
        <v>87</v>
      </c>
      <c r="C24" s="44" t="s">
        <v>179</v>
      </c>
      <c r="D24" s="45" t="s">
        <v>153</v>
      </c>
      <c r="E24" s="45" t="s">
        <v>180</v>
      </c>
      <c r="F24" s="18">
        <v>242</v>
      </c>
      <c r="G24" s="18" t="s">
        <v>146</v>
      </c>
      <c r="H24" s="18">
        <v>2.2999999999999998</v>
      </c>
      <c r="I24" s="130">
        <f>2280*I2</f>
        <v>2553.6000000000004</v>
      </c>
      <c r="J24" s="58">
        <v>850</v>
      </c>
      <c r="K24" s="59">
        <v>1350</v>
      </c>
      <c r="L24" s="57" t="s">
        <v>147</v>
      </c>
      <c r="M24" s="59" t="s">
        <v>147</v>
      </c>
      <c r="N24" s="57">
        <f t="shared" si="4"/>
        <v>2953.6000000000004</v>
      </c>
      <c r="O24" s="4">
        <f t="shared" si="5"/>
        <v>3903.6000000000004</v>
      </c>
    </row>
    <row r="25" spans="1:25" s="3" customFormat="1" ht="29" x14ac:dyDescent="0.35">
      <c r="A25" s="64">
        <f t="shared" si="2"/>
        <v>22</v>
      </c>
      <c r="B25" s="25" t="s">
        <v>87</v>
      </c>
      <c r="C25" s="44" t="s">
        <v>179</v>
      </c>
      <c r="D25" s="45" t="s">
        <v>153</v>
      </c>
      <c r="E25" s="45" t="s">
        <v>181</v>
      </c>
      <c r="F25" s="18">
        <v>242</v>
      </c>
      <c r="G25" s="18" t="s">
        <v>146</v>
      </c>
      <c r="H25" s="18">
        <v>2.2999999999999998</v>
      </c>
      <c r="I25" s="130">
        <f>I24+(1065*I2)</f>
        <v>3746.4000000000005</v>
      </c>
      <c r="J25" s="58">
        <v>850</v>
      </c>
      <c r="K25" s="59">
        <v>1350</v>
      </c>
      <c r="L25" s="57" t="s">
        <v>147</v>
      </c>
      <c r="M25" s="59" t="s">
        <v>147</v>
      </c>
      <c r="N25" s="57">
        <f t="shared" si="4"/>
        <v>4146.4000000000005</v>
      </c>
      <c r="O25" s="4">
        <f>N25+950</f>
        <v>5096.4000000000005</v>
      </c>
    </row>
    <row r="26" spans="1:25" s="3" customFormat="1" ht="29" x14ac:dyDescent="0.35">
      <c r="A26" s="64">
        <f t="shared" si="2"/>
        <v>23</v>
      </c>
      <c r="B26" s="25" t="s">
        <v>87</v>
      </c>
      <c r="C26" s="44" t="s">
        <v>179</v>
      </c>
      <c r="D26" s="45" t="s">
        <v>182</v>
      </c>
      <c r="E26" s="45" t="s">
        <v>183</v>
      </c>
      <c r="F26" s="18">
        <v>184</v>
      </c>
      <c r="G26" s="18" t="s">
        <v>146</v>
      </c>
      <c r="H26" s="18">
        <v>3.9166666666666665</v>
      </c>
      <c r="I26" s="130">
        <f>3400*I2</f>
        <v>3808.0000000000005</v>
      </c>
      <c r="J26" s="58">
        <v>850</v>
      </c>
      <c r="K26" s="59">
        <v>1350</v>
      </c>
      <c r="L26" s="57" t="s">
        <v>147</v>
      </c>
      <c r="M26" s="59" t="s">
        <v>147</v>
      </c>
      <c r="N26" s="57">
        <f t="shared" si="4"/>
        <v>4208</v>
      </c>
      <c r="O26" s="4">
        <f t="shared" si="5"/>
        <v>5158</v>
      </c>
    </row>
    <row r="27" spans="1:25" s="3" customFormat="1" ht="29" x14ac:dyDescent="0.35">
      <c r="A27" s="64">
        <f t="shared" si="2"/>
        <v>24</v>
      </c>
      <c r="B27" s="25" t="s">
        <v>87</v>
      </c>
      <c r="C27" s="44" t="s">
        <v>179</v>
      </c>
      <c r="D27" s="45" t="s">
        <v>182</v>
      </c>
      <c r="E27" s="45" t="s">
        <v>184</v>
      </c>
      <c r="F27" s="18">
        <v>184</v>
      </c>
      <c r="G27" s="18" t="s">
        <v>146</v>
      </c>
      <c r="H27" s="18">
        <v>3.9166666666666665</v>
      </c>
      <c r="I27" s="130">
        <f>I26+(250*I2)</f>
        <v>4088.0000000000005</v>
      </c>
      <c r="J27" s="58">
        <v>850</v>
      </c>
      <c r="K27" s="59">
        <v>1350</v>
      </c>
      <c r="L27" s="57" t="s">
        <v>147</v>
      </c>
      <c r="M27" s="59" t="s">
        <v>147</v>
      </c>
      <c r="N27" s="57">
        <f t="shared" si="4"/>
        <v>4488</v>
      </c>
      <c r="O27" s="4">
        <f t="shared" si="5"/>
        <v>5438</v>
      </c>
    </row>
    <row r="28" spans="1:25" s="3" customFormat="1" ht="29" x14ac:dyDescent="0.35">
      <c r="A28" s="64">
        <f t="shared" si="2"/>
        <v>25</v>
      </c>
      <c r="B28" s="25" t="s">
        <v>87</v>
      </c>
      <c r="C28" s="44" t="s">
        <v>179</v>
      </c>
      <c r="D28" s="45" t="s">
        <v>161</v>
      </c>
      <c r="E28" s="45" t="s">
        <v>185</v>
      </c>
      <c r="F28" s="18">
        <v>211</v>
      </c>
      <c r="G28" s="18" t="s">
        <v>146</v>
      </c>
      <c r="H28" s="18">
        <v>2.6</v>
      </c>
      <c r="I28" s="130">
        <v>1453</v>
      </c>
      <c r="J28" s="58">
        <v>850</v>
      </c>
      <c r="K28" s="59">
        <v>1350</v>
      </c>
      <c r="L28" s="57" t="s">
        <v>147</v>
      </c>
      <c r="M28" s="59" t="s">
        <v>147</v>
      </c>
      <c r="N28" s="57">
        <v>1720</v>
      </c>
      <c r="O28" s="4">
        <v>2670</v>
      </c>
    </row>
    <row r="29" spans="1:25" s="3" customFormat="1" ht="29" x14ac:dyDescent="0.35">
      <c r="A29" s="64">
        <f t="shared" si="2"/>
        <v>26</v>
      </c>
      <c r="B29" s="25" t="s">
        <v>87</v>
      </c>
      <c r="C29" s="44" t="s">
        <v>179</v>
      </c>
      <c r="D29" s="45" t="s">
        <v>161</v>
      </c>
      <c r="E29" s="45" t="s">
        <v>186</v>
      </c>
      <c r="F29" s="18">
        <v>211</v>
      </c>
      <c r="G29" s="18" t="s">
        <v>146</v>
      </c>
      <c r="H29" s="18">
        <v>2.6</v>
      </c>
      <c r="I29" s="130">
        <f>I28+460</f>
        <v>1913</v>
      </c>
      <c r="J29" s="58">
        <v>850</v>
      </c>
      <c r="K29" s="59">
        <v>1350</v>
      </c>
      <c r="L29" s="57" t="s">
        <v>147</v>
      </c>
      <c r="M29" s="59" t="s">
        <v>147</v>
      </c>
      <c r="N29" s="57">
        <f t="shared" ref="N29:N56" si="6">I29+400</f>
        <v>2313</v>
      </c>
      <c r="O29" s="4">
        <f>N29+950</f>
        <v>3263</v>
      </c>
    </row>
    <row r="30" spans="1:25" s="3" customFormat="1" ht="29" x14ac:dyDescent="0.35">
      <c r="A30" s="64">
        <f t="shared" si="2"/>
        <v>27</v>
      </c>
      <c r="B30" s="25" t="s">
        <v>87</v>
      </c>
      <c r="C30" s="44" t="s">
        <v>179</v>
      </c>
      <c r="D30" s="45" t="s">
        <v>149</v>
      </c>
      <c r="E30" s="45" t="s">
        <v>187</v>
      </c>
      <c r="F30" s="18">
        <v>225</v>
      </c>
      <c r="G30" s="18" t="s">
        <v>146</v>
      </c>
      <c r="H30" s="18">
        <v>2.2916666666666665</v>
      </c>
      <c r="I30" s="130">
        <v>1390</v>
      </c>
      <c r="J30" s="58">
        <v>850</v>
      </c>
      <c r="K30" s="59">
        <v>1350</v>
      </c>
      <c r="L30" s="57" t="s">
        <v>147</v>
      </c>
      <c r="M30" s="59" t="s">
        <v>147</v>
      </c>
      <c r="N30" s="57">
        <f t="shared" si="6"/>
        <v>1790</v>
      </c>
      <c r="O30" s="4">
        <f>N30+960</f>
        <v>2750</v>
      </c>
    </row>
    <row r="31" spans="1:25" s="3" customFormat="1" ht="29" x14ac:dyDescent="0.35">
      <c r="A31" s="64">
        <f t="shared" si="2"/>
        <v>28</v>
      </c>
      <c r="B31" s="25" t="s">
        <v>87</v>
      </c>
      <c r="C31" s="44" t="s">
        <v>179</v>
      </c>
      <c r="D31" s="45" t="s">
        <v>149</v>
      </c>
      <c r="E31" s="45" t="s">
        <v>188</v>
      </c>
      <c r="F31" s="18">
        <v>225</v>
      </c>
      <c r="G31" s="18" t="s">
        <v>146</v>
      </c>
      <c r="H31" s="18">
        <v>2.2916666666666665</v>
      </c>
      <c r="I31" s="130">
        <f>I30+646</f>
        <v>2036</v>
      </c>
      <c r="J31" s="58">
        <v>850</v>
      </c>
      <c r="K31" s="59">
        <v>1350</v>
      </c>
      <c r="L31" s="57" t="s">
        <v>147</v>
      </c>
      <c r="M31" s="59" t="s">
        <v>147</v>
      </c>
      <c r="N31" s="57">
        <f t="shared" si="6"/>
        <v>2436</v>
      </c>
      <c r="O31" s="4">
        <f t="shared" ref="O31:O57" si="7">N31+950</f>
        <v>3386</v>
      </c>
    </row>
    <row r="32" spans="1:25" s="3" customFormat="1" ht="29" x14ac:dyDescent="0.35">
      <c r="A32" s="64">
        <f t="shared" si="2"/>
        <v>29</v>
      </c>
      <c r="B32" s="25" t="s">
        <v>87</v>
      </c>
      <c r="C32" s="44" t="s">
        <v>179</v>
      </c>
      <c r="D32" s="45" t="s">
        <v>144</v>
      </c>
      <c r="E32" s="45" t="s">
        <v>189</v>
      </c>
      <c r="F32" s="18">
        <v>240</v>
      </c>
      <c r="G32" s="18" t="s">
        <v>146</v>
      </c>
      <c r="H32" s="18">
        <v>3.2208333333333332</v>
      </c>
      <c r="I32" s="130">
        <f>4635*I2</f>
        <v>5191.2000000000007</v>
      </c>
      <c r="J32" s="58">
        <v>850</v>
      </c>
      <c r="K32" s="59">
        <v>1350</v>
      </c>
      <c r="L32" s="57" t="s">
        <v>147</v>
      </c>
      <c r="M32" s="59" t="s">
        <v>147</v>
      </c>
      <c r="N32" s="57">
        <f t="shared" si="6"/>
        <v>5591.2000000000007</v>
      </c>
      <c r="O32" s="4">
        <f t="shared" si="7"/>
        <v>6541.2000000000007</v>
      </c>
    </row>
    <row r="33" spans="1:25" s="3" customFormat="1" ht="29" x14ac:dyDescent="0.35">
      <c r="A33" s="64">
        <f t="shared" si="2"/>
        <v>30</v>
      </c>
      <c r="B33" s="25" t="s">
        <v>87</v>
      </c>
      <c r="C33" s="44" t="s">
        <v>179</v>
      </c>
      <c r="D33" s="45" t="s">
        <v>190</v>
      </c>
      <c r="E33" s="45" t="s">
        <v>191</v>
      </c>
      <c r="F33" s="18">
        <v>241</v>
      </c>
      <c r="G33" s="18" t="s">
        <v>146</v>
      </c>
      <c r="H33" s="18">
        <v>0.9</v>
      </c>
      <c r="I33" s="130">
        <f>2580*I2</f>
        <v>2889.6000000000004</v>
      </c>
      <c r="J33" s="58">
        <v>850</v>
      </c>
      <c r="K33" s="59">
        <v>1350</v>
      </c>
      <c r="L33" s="57" t="s">
        <v>147</v>
      </c>
      <c r="M33" s="59" t="s">
        <v>147</v>
      </c>
      <c r="N33" s="57">
        <f t="shared" si="6"/>
        <v>3289.6000000000004</v>
      </c>
      <c r="O33" s="4">
        <f t="shared" si="7"/>
        <v>4239.6000000000004</v>
      </c>
    </row>
    <row r="34" spans="1:25" s="3" customFormat="1" ht="29" x14ac:dyDescent="0.35">
      <c r="A34" s="64">
        <f t="shared" si="2"/>
        <v>31</v>
      </c>
      <c r="B34" s="25" t="s">
        <v>87</v>
      </c>
      <c r="C34" s="44" t="s">
        <v>179</v>
      </c>
      <c r="D34" s="45" t="s">
        <v>190</v>
      </c>
      <c r="E34" s="45" t="s">
        <v>192</v>
      </c>
      <c r="F34" s="18">
        <v>241</v>
      </c>
      <c r="G34" s="18" t="s">
        <v>146</v>
      </c>
      <c r="H34" s="18">
        <v>0.9</v>
      </c>
      <c r="I34" s="130">
        <f>I33+(645*I2)</f>
        <v>3612.0000000000005</v>
      </c>
      <c r="J34" s="58">
        <v>850</v>
      </c>
      <c r="K34" s="59">
        <v>1350</v>
      </c>
      <c r="L34" s="57" t="s">
        <v>147</v>
      </c>
      <c r="M34" s="59" t="s">
        <v>147</v>
      </c>
      <c r="N34" s="57">
        <f t="shared" si="6"/>
        <v>4012.0000000000005</v>
      </c>
      <c r="O34" s="4">
        <f t="shared" si="7"/>
        <v>4962</v>
      </c>
    </row>
    <row r="35" spans="1:25" s="3" customFormat="1" x14ac:dyDescent="0.35">
      <c r="A35" s="64">
        <f t="shared" si="2"/>
        <v>32</v>
      </c>
      <c r="B35" s="25" t="s">
        <v>88</v>
      </c>
      <c r="C35" s="44" t="s">
        <v>143</v>
      </c>
      <c r="D35" s="45" t="s">
        <v>161</v>
      </c>
      <c r="E35" s="45" t="s">
        <v>193</v>
      </c>
      <c r="F35" s="18">
        <v>30</v>
      </c>
      <c r="G35" s="18">
        <v>32</v>
      </c>
      <c r="H35" s="18">
        <v>2.6583333333333332</v>
      </c>
      <c r="I35" s="131">
        <v>1653</v>
      </c>
      <c r="J35" s="58">
        <v>850</v>
      </c>
      <c r="K35" s="59">
        <v>1350</v>
      </c>
      <c r="L35" s="57" t="s">
        <v>147</v>
      </c>
      <c r="M35" s="59" t="s">
        <v>147</v>
      </c>
      <c r="N35" s="57">
        <f t="shared" si="6"/>
        <v>2053</v>
      </c>
      <c r="O35" s="4">
        <f t="shared" si="7"/>
        <v>3003</v>
      </c>
      <c r="P35" s="23"/>
      <c r="Q35" s="23"/>
      <c r="R35" s="23"/>
      <c r="S35" s="23"/>
      <c r="T35" s="23"/>
      <c r="U35" s="23"/>
      <c r="V35" s="23"/>
      <c r="W35" s="23"/>
      <c r="X35" s="23"/>
      <c r="Y35" s="23"/>
    </row>
    <row r="36" spans="1:25" s="3" customFormat="1" x14ac:dyDescent="0.35">
      <c r="A36" s="64">
        <f t="shared" si="2"/>
        <v>33</v>
      </c>
      <c r="B36" s="25" t="s">
        <v>88</v>
      </c>
      <c r="C36" s="44" t="s">
        <v>143</v>
      </c>
      <c r="D36" s="45" t="s">
        <v>161</v>
      </c>
      <c r="E36" s="45" t="s">
        <v>194</v>
      </c>
      <c r="F36" s="18">
        <v>30</v>
      </c>
      <c r="G36" s="18">
        <v>32</v>
      </c>
      <c r="H36" s="18">
        <v>2.6583333333333332</v>
      </c>
      <c r="I36" s="131">
        <f>I35+460</f>
        <v>2113</v>
      </c>
      <c r="J36" s="58">
        <v>850</v>
      </c>
      <c r="K36" s="59">
        <v>1350</v>
      </c>
      <c r="L36" s="57" t="s">
        <v>147</v>
      </c>
      <c r="M36" s="59" t="s">
        <v>147</v>
      </c>
      <c r="N36" s="57">
        <f t="shared" si="6"/>
        <v>2513</v>
      </c>
      <c r="O36" s="4">
        <f t="shared" si="7"/>
        <v>3463</v>
      </c>
      <c r="P36" s="23"/>
      <c r="Q36" s="23"/>
      <c r="R36" s="23"/>
      <c r="S36" s="23"/>
      <c r="T36" s="23"/>
      <c r="U36" s="23"/>
      <c r="V36" s="23"/>
      <c r="W36" s="23"/>
      <c r="X36" s="23"/>
      <c r="Y36" s="23"/>
    </row>
    <row r="37" spans="1:25" s="3" customFormat="1" x14ac:dyDescent="0.35">
      <c r="A37" s="64">
        <f t="shared" si="2"/>
        <v>34</v>
      </c>
      <c r="B37" s="25" t="s">
        <v>88</v>
      </c>
      <c r="C37" s="44" t="s">
        <v>143</v>
      </c>
      <c r="D37" s="45" t="s">
        <v>149</v>
      </c>
      <c r="E37" s="45" t="s">
        <v>195</v>
      </c>
      <c r="F37" s="18">
        <v>58</v>
      </c>
      <c r="G37" s="18">
        <v>44</v>
      </c>
      <c r="H37" s="18">
        <v>4.7340277777777775</v>
      </c>
      <c r="I37" s="131">
        <v>1530</v>
      </c>
      <c r="J37" s="58">
        <v>850</v>
      </c>
      <c r="K37" s="59">
        <v>1350</v>
      </c>
      <c r="L37" s="57" t="s">
        <v>147</v>
      </c>
      <c r="M37" s="59" t="s">
        <v>147</v>
      </c>
      <c r="N37" s="57">
        <f t="shared" si="6"/>
        <v>1930</v>
      </c>
      <c r="O37" s="4">
        <f t="shared" si="7"/>
        <v>2880</v>
      </c>
      <c r="P37" s="23"/>
      <c r="Q37" s="23"/>
      <c r="R37" s="23"/>
      <c r="S37" s="23"/>
      <c r="T37" s="23"/>
      <c r="U37" s="23"/>
      <c r="V37" s="23"/>
      <c r="W37" s="23"/>
      <c r="X37" s="23"/>
      <c r="Y37" s="23"/>
    </row>
    <row r="38" spans="1:25" s="3" customFormat="1" ht="29" x14ac:dyDescent="0.35">
      <c r="A38" s="64">
        <f t="shared" si="2"/>
        <v>35</v>
      </c>
      <c r="B38" s="25" t="s">
        <v>88</v>
      </c>
      <c r="C38" s="44" t="s">
        <v>143</v>
      </c>
      <c r="D38" s="45" t="s">
        <v>149</v>
      </c>
      <c r="E38" s="45" t="s">
        <v>196</v>
      </c>
      <c r="F38" s="18">
        <v>58</v>
      </c>
      <c r="G38" s="18">
        <v>44</v>
      </c>
      <c r="H38" s="18">
        <v>4.7340277777777775</v>
      </c>
      <c r="I38" s="131">
        <f>I37+646</f>
        <v>2176</v>
      </c>
      <c r="J38" s="58">
        <v>850</v>
      </c>
      <c r="K38" s="59">
        <v>1350</v>
      </c>
      <c r="L38" s="57" t="s">
        <v>147</v>
      </c>
      <c r="M38" s="59" t="s">
        <v>147</v>
      </c>
      <c r="N38" s="57">
        <f t="shared" si="6"/>
        <v>2576</v>
      </c>
      <c r="O38" s="4">
        <f t="shared" si="7"/>
        <v>3526</v>
      </c>
      <c r="P38" s="23"/>
      <c r="Q38" s="23"/>
      <c r="R38" s="23"/>
      <c r="S38" s="23"/>
      <c r="T38" s="23"/>
      <c r="U38" s="23"/>
      <c r="V38" s="23"/>
      <c r="W38" s="23"/>
      <c r="X38" s="23"/>
      <c r="Y38" s="23"/>
    </row>
    <row r="39" spans="1:25" s="3" customFormat="1" x14ac:dyDescent="0.35">
      <c r="A39" s="64">
        <f t="shared" si="2"/>
        <v>36</v>
      </c>
      <c r="B39" s="25" t="s">
        <v>88</v>
      </c>
      <c r="C39" s="44" t="s">
        <v>143</v>
      </c>
      <c r="D39" s="45" t="s">
        <v>153</v>
      </c>
      <c r="E39" s="45" t="s">
        <v>197</v>
      </c>
      <c r="F39" s="18">
        <v>36</v>
      </c>
      <c r="G39" s="18">
        <v>5.0999999999999996</v>
      </c>
      <c r="H39" s="18">
        <v>2</v>
      </c>
      <c r="I39" s="131">
        <f>1718*I2</f>
        <v>1924.16</v>
      </c>
      <c r="J39" s="58">
        <v>850</v>
      </c>
      <c r="K39" s="59">
        <v>1350</v>
      </c>
      <c r="L39" s="57" t="s">
        <v>147</v>
      </c>
      <c r="M39" s="59" t="s">
        <v>147</v>
      </c>
      <c r="N39" s="57">
        <f t="shared" si="6"/>
        <v>2324.16</v>
      </c>
      <c r="O39" s="4">
        <f t="shared" si="7"/>
        <v>3274.16</v>
      </c>
      <c r="P39" s="23"/>
      <c r="Q39" s="23"/>
      <c r="R39" s="23"/>
      <c r="S39" s="23"/>
      <c r="T39" s="23"/>
      <c r="U39" s="23"/>
      <c r="V39" s="23"/>
      <c r="W39" s="23"/>
      <c r="X39" s="23"/>
      <c r="Y39" s="23"/>
    </row>
    <row r="40" spans="1:25" s="3" customFormat="1" x14ac:dyDescent="0.35">
      <c r="A40" s="64">
        <f t="shared" si="2"/>
        <v>37</v>
      </c>
      <c r="B40" s="25" t="s">
        <v>88</v>
      </c>
      <c r="C40" s="44" t="s">
        <v>143</v>
      </c>
      <c r="D40" s="45" t="s">
        <v>153</v>
      </c>
      <c r="E40" s="45" t="s">
        <v>198</v>
      </c>
      <c r="F40" s="18">
        <v>36</v>
      </c>
      <c r="G40" s="18">
        <v>5.0999999999999996</v>
      </c>
      <c r="H40" s="18">
        <v>2</v>
      </c>
      <c r="I40" s="131">
        <f>I39+(1065*I2)</f>
        <v>3116.96</v>
      </c>
      <c r="J40" s="58">
        <v>850</v>
      </c>
      <c r="K40" s="59">
        <v>1350</v>
      </c>
      <c r="L40" s="57" t="s">
        <v>147</v>
      </c>
      <c r="M40" s="59" t="s">
        <v>147</v>
      </c>
      <c r="N40" s="57">
        <f t="shared" si="6"/>
        <v>3516.96</v>
      </c>
      <c r="O40" s="4">
        <f t="shared" si="7"/>
        <v>4466.96</v>
      </c>
      <c r="P40" s="23"/>
      <c r="Q40" s="23"/>
      <c r="R40" s="23"/>
      <c r="S40" s="23"/>
      <c r="T40" s="23"/>
      <c r="U40" s="23"/>
      <c r="V40" s="23"/>
      <c r="W40" s="23"/>
      <c r="X40" s="23"/>
      <c r="Y40" s="23"/>
    </row>
    <row r="41" spans="1:25" s="3" customFormat="1" x14ac:dyDescent="0.35">
      <c r="A41" s="64">
        <f t="shared" si="2"/>
        <v>38</v>
      </c>
      <c r="B41" s="25" t="s">
        <v>88</v>
      </c>
      <c r="C41" s="44" t="s">
        <v>160</v>
      </c>
      <c r="D41" s="45" t="s">
        <v>144</v>
      </c>
      <c r="E41" s="45" t="s">
        <v>199</v>
      </c>
      <c r="F41" s="18">
        <v>120</v>
      </c>
      <c r="G41" s="18">
        <v>28</v>
      </c>
      <c r="H41" s="18">
        <v>3</v>
      </c>
      <c r="I41" s="130">
        <f>4909*I2</f>
        <v>5498.0800000000008</v>
      </c>
      <c r="J41" s="58">
        <v>850</v>
      </c>
      <c r="K41" s="59">
        <v>1350</v>
      </c>
      <c r="L41" s="57" t="s">
        <v>147</v>
      </c>
      <c r="M41" s="59" t="s">
        <v>147</v>
      </c>
      <c r="N41" s="57">
        <f>I41+400</f>
        <v>5898.0800000000008</v>
      </c>
      <c r="O41" s="4">
        <f>N41+950</f>
        <v>6848.0800000000008</v>
      </c>
      <c r="P41" s="23"/>
      <c r="Q41" s="23"/>
      <c r="R41" s="23"/>
      <c r="S41" s="23"/>
      <c r="T41" s="23"/>
      <c r="U41" s="23"/>
      <c r="V41" s="23"/>
      <c r="W41" s="23"/>
      <c r="X41" s="23"/>
      <c r="Y41" s="23"/>
    </row>
    <row r="42" spans="1:25" s="3" customFormat="1" x14ac:dyDescent="0.35">
      <c r="A42" s="64">
        <f t="shared" si="2"/>
        <v>39</v>
      </c>
      <c r="B42" s="25" t="s">
        <v>89</v>
      </c>
      <c r="C42" s="44" t="s">
        <v>200</v>
      </c>
      <c r="D42" s="45" t="s">
        <v>157</v>
      </c>
      <c r="E42" s="45" t="s">
        <v>201</v>
      </c>
      <c r="F42" s="18" t="s">
        <v>146</v>
      </c>
      <c r="G42" s="18">
        <v>147</v>
      </c>
      <c r="H42" s="18">
        <v>0.28055555555555556</v>
      </c>
      <c r="I42" s="131">
        <v>623</v>
      </c>
      <c r="J42" s="58">
        <v>850</v>
      </c>
      <c r="K42" s="59">
        <v>1350</v>
      </c>
      <c r="L42" s="57" t="s">
        <v>147</v>
      </c>
      <c r="M42" s="59" t="s">
        <v>147</v>
      </c>
      <c r="N42" s="57">
        <f>I42+400</f>
        <v>1023</v>
      </c>
      <c r="O42" s="4">
        <f>N42+950</f>
        <v>1973</v>
      </c>
      <c r="P42" s="23"/>
      <c r="Q42" s="23"/>
      <c r="R42" s="23"/>
      <c r="S42" s="23"/>
      <c r="T42" s="23"/>
      <c r="U42" s="23"/>
      <c r="V42" s="23"/>
      <c r="W42" s="23"/>
      <c r="X42" s="23"/>
      <c r="Y42" s="23"/>
    </row>
    <row r="43" spans="1:25" s="3" customFormat="1" ht="29" x14ac:dyDescent="0.35">
      <c r="A43" s="64">
        <f t="shared" si="2"/>
        <v>40</v>
      </c>
      <c r="B43" s="25" t="s">
        <v>89</v>
      </c>
      <c r="C43" s="44" t="s">
        <v>200</v>
      </c>
      <c r="D43" s="45" t="s">
        <v>157</v>
      </c>
      <c r="E43" s="45" t="s">
        <v>202</v>
      </c>
      <c r="F43" s="18" t="s">
        <v>146</v>
      </c>
      <c r="G43" s="18">
        <v>147</v>
      </c>
      <c r="H43" s="18">
        <v>0.28055555555555556</v>
      </c>
      <c r="I43" s="131">
        <f>I42+1210</f>
        <v>1833</v>
      </c>
      <c r="J43" s="58">
        <v>850</v>
      </c>
      <c r="K43" s="59">
        <v>1350</v>
      </c>
      <c r="L43" s="57" t="s">
        <v>147</v>
      </c>
      <c r="M43" s="59" t="s">
        <v>147</v>
      </c>
      <c r="N43" s="57">
        <f>I43+400</f>
        <v>2233</v>
      </c>
      <c r="O43" s="4">
        <f t="shared" si="7"/>
        <v>3183</v>
      </c>
      <c r="P43" s="23"/>
      <c r="Q43" s="23"/>
      <c r="R43" s="23"/>
      <c r="S43" s="23"/>
      <c r="T43" s="23"/>
      <c r="U43" s="23"/>
      <c r="V43" s="23"/>
      <c r="W43" s="23"/>
      <c r="X43" s="23"/>
      <c r="Y43" s="23"/>
    </row>
    <row r="44" spans="1:25" s="3" customFormat="1" x14ac:dyDescent="0.35">
      <c r="A44" s="64">
        <f t="shared" si="2"/>
        <v>41</v>
      </c>
      <c r="B44" s="25" t="s">
        <v>89</v>
      </c>
      <c r="C44" s="44" t="s">
        <v>160</v>
      </c>
      <c r="D44" s="45" t="s">
        <v>161</v>
      </c>
      <c r="E44" s="45" t="s">
        <v>203</v>
      </c>
      <c r="F44" s="18" t="s">
        <v>146</v>
      </c>
      <c r="G44" s="18">
        <v>61</v>
      </c>
      <c r="H44" s="18">
        <v>0.2</v>
      </c>
      <c r="I44" s="131">
        <v>1209</v>
      </c>
      <c r="J44" s="58">
        <v>850</v>
      </c>
      <c r="K44" s="59">
        <v>1350</v>
      </c>
      <c r="L44" s="57" t="s">
        <v>147</v>
      </c>
      <c r="M44" s="59" t="s">
        <v>147</v>
      </c>
      <c r="N44" s="57">
        <f t="shared" si="6"/>
        <v>1609</v>
      </c>
      <c r="O44" s="4">
        <f t="shared" si="7"/>
        <v>2559</v>
      </c>
      <c r="P44" s="23"/>
      <c r="Q44" s="23"/>
      <c r="R44" s="23"/>
      <c r="S44" s="23"/>
      <c r="T44" s="23"/>
      <c r="U44" s="23"/>
      <c r="V44" s="23"/>
      <c r="W44" s="23"/>
      <c r="X44" s="23"/>
      <c r="Y44" s="23"/>
    </row>
    <row r="45" spans="1:25" s="3" customFormat="1" ht="29" x14ac:dyDescent="0.35">
      <c r="A45" s="64">
        <f t="shared" si="2"/>
        <v>42</v>
      </c>
      <c r="B45" s="25" t="s">
        <v>89</v>
      </c>
      <c r="C45" s="44" t="s">
        <v>160</v>
      </c>
      <c r="D45" s="45" t="s">
        <v>161</v>
      </c>
      <c r="E45" s="45" t="s">
        <v>204</v>
      </c>
      <c r="F45" s="18" t="s">
        <v>146</v>
      </c>
      <c r="G45" s="18">
        <v>61</v>
      </c>
      <c r="H45" s="18">
        <v>0.2</v>
      </c>
      <c r="I45" s="131">
        <f>I44+460</f>
        <v>1669</v>
      </c>
      <c r="J45" s="58">
        <v>850</v>
      </c>
      <c r="K45" s="59">
        <v>1350</v>
      </c>
      <c r="L45" s="57" t="s">
        <v>147</v>
      </c>
      <c r="M45" s="59" t="s">
        <v>147</v>
      </c>
      <c r="N45" s="57">
        <f t="shared" si="6"/>
        <v>2069</v>
      </c>
      <c r="O45" s="4">
        <f t="shared" si="7"/>
        <v>3019</v>
      </c>
      <c r="P45" s="23"/>
      <c r="Q45" s="23"/>
      <c r="R45" s="23"/>
      <c r="S45" s="23"/>
      <c r="T45" s="23"/>
      <c r="U45" s="23"/>
      <c r="V45" s="23"/>
      <c r="W45" s="23"/>
      <c r="X45" s="23"/>
      <c r="Y45" s="23"/>
    </row>
    <row r="46" spans="1:25" s="3" customFormat="1" x14ac:dyDescent="0.35">
      <c r="A46" s="64">
        <f t="shared" si="2"/>
        <v>43</v>
      </c>
      <c r="B46" s="25" t="s">
        <v>89</v>
      </c>
      <c r="C46" s="44" t="s">
        <v>179</v>
      </c>
      <c r="D46" s="45" t="s">
        <v>157</v>
      </c>
      <c r="E46" s="45" t="s">
        <v>205</v>
      </c>
      <c r="F46" s="18" t="s">
        <v>146</v>
      </c>
      <c r="G46" s="18">
        <v>240</v>
      </c>
      <c r="H46" s="18">
        <v>2.4416666666666669</v>
      </c>
      <c r="I46" s="131">
        <v>713</v>
      </c>
      <c r="J46" s="58">
        <v>850</v>
      </c>
      <c r="K46" s="59">
        <v>1350</v>
      </c>
      <c r="L46" s="57" t="s">
        <v>147</v>
      </c>
      <c r="M46" s="59" t="s">
        <v>147</v>
      </c>
      <c r="N46" s="57">
        <f t="shared" si="6"/>
        <v>1113</v>
      </c>
      <c r="O46" s="4">
        <f t="shared" si="7"/>
        <v>2063</v>
      </c>
      <c r="P46" s="23"/>
      <c r="Q46" s="23"/>
      <c r="R46" s="23"/>
      <c r="S46" s="23"/>
      <c r="T46" s="23"/>
      <c r="U46" s="23"/>
      <c r="V46" s="23"/>
      <c r="W46" s="23"/>
      <c r="X46" s="23"/>
      <c r="Y46" s="23"/>
    </row>
    <row r="47" spans="1:25" s="3" customFormat="1" ht="29" x14ac:dyDescent="0.35">
      <c r="A47" s="64">
        <f t="shared" si="2"/>
        <v>44</v>
      </c>
      <c r="B47" s="25" t="s">
        <v>89</v>
      </c>
      <c r="C47" s="44" t="s">
        <v>179</v>
      </c>
      <c r="D47" s="45" t="s">
        <v>157</v>
      </c>
      <c r="E47" s="45" t="s">
        <v>206</v>
      </c>
      <c r="F47" s="18" t="s">
        <v>146</v>
      </c>
      <c r="G47" s="18">
        <v>240</v>
      </c>
      <c r="H47" s="18">
        <v>2.4416666666666669</v>
      </c>
      <c r="I47" s="131">
        <f>I46+1210</f>
        <v>1923</v>
      </c>
      <c r="J47" s="58">
        <v>850</v>
      </c>
      <c r="K47" s="59">
        <v>1350</v>
      </c>
      <c r="L47" s="57" t="s">
        <v>147</v>
      </c>
      <c r="M47" s="59" t="s">
        <v>147</v>
      </c>
      <c r="N47" s="57">
        <f t="shared" si="6"/>
        <v>2323</v>
      </c>
      <c r="O47" s="4">
        <f t="shared" si="7"/>
        <v>3273</v>
      </c>
      <c r="P47" s="23"/>
      <c r="Q47" s="23"/>
      <c r="R47" s="23"/>
      <c r="S47" s="23"/>
      <c r="T47" s="23"/>
      <c r="U47" s="23"/>
      <c r="V47" s="23"/>
      <c r="W47" s="23"/>
      <c r="X47" s="23"/>
      <c r="Y47" s="23"/>
    </row>
    <row r="48" spans="1:25" s="3" customFormat="1" x14ac:dyDescent="0.35">
      <c r="A48" s="64">
        <f t="shared" si="2"/>
        <v>45</v>
      </c>
      <c r="B48" s="25" t="s">
        <v>89</v>
      </c>
      <c r="C48" s="44" t="s">
        <v>179</v>
      </c>
      <c r="D48" s="45" t="s">
        <v>153</v>
      </c>
      <c r="E48" s="45" t="s">
        <v>207</v>
      </c>
      <c r="F48" s="18" t="s">
        <v>146</v>
      </c>
      <c r="G48" s="18">
        <v>271</v>
      </c>
      <c r="H48" s="18">
        <v>0.16666666666666666</v>
      </c>
      <c r="I48" s="131">
        <f>1098*I2</f>
        <v>1229.7600000000002</v>
      </c>
      <c r="J48" s="58">
        <v>850</v>
      </c>
      <c r="K48" s="59">
        <v>1350</v>
      </c>
      <c r="L48" s="57" t="s">
        <v>147</v>
      </c>
      <c r="M48" s="59" t="s">
        <v>147</v>
      </c>
      <c r="N48" s="57">
        <f t="shared" si="6"/>
        <v>1629.7600000000002</v>
      </c>
      <c r="O48" s="4">
        <f t="shared" si="7"/>
        <v>2579.7600000000002</v>
      </c>
      <c r="P48" s="23"/>
      <c r="Q48" s="23"/>
      <c r="R48" s="23"/>
      <c r="S48" s="23"/>
      <c r="T48" s="23"/>
      <c r="U48" s="23"/>
      <c r="V48" s="23"/>
      <c r="W48" s="23"/>
      <c r="X48" s="23"/>
      <c r="Y48" s="23"/>
    </row>
    <row r="49" spans="1:25" s="3" customFormat="1" x14ac:dyDescent="0.35">
      <c r="A49" s="64">
        <f t="shared" si="2"/>
        <v>46</v>
      </c>
      <c r="B49" s="25" t="s">
        <v>89</v>
      </c>
      <c r="C49" s="44" t="s">
        <v>179</v>
      </c>
      <c r="D49" s="45" t="s">
        <v>153</v>
      </c>
      <c r="E49" s="45" t="s">
        <v>208</v>
      </c>
      <c r="F49" s="18" t="s">
        <v>146</v>
      </c>
      <c r="G49" s="18">
        <v>271</v>
      </c>
      <c r="H49" s="18">
        <v>0.16666666666666666</v>
      </c>
      <c r="I49" s="131">
        <f>I48+(1065*I2)</f>
        <v>2422.5600000000004</v>
      </c>
      <c r="J49" s="58">
        <v>850</v>
      </c>
      <c r="K49" s="59">
        <v>1350</v>
      </c>
      <c r="L49" s="57" t="s">
        <v>147</v>
      </c>
      <c r="M49" s="59" t="s">
        <v>147</v>
      </c>
      <c r="N49" s="57">
        <f t="shared" si="6"/>
        <v>2822.5600000000004</v>
      </c>
      <c r="O49" s="4">
        <f t="shared" si="7"/>
        <v>3772.5600000000004</v>
      </c>
      <c r="P49" s="23"/>
      <c r="Q49" s="23"/>
      <c r="R49" s="23"/>
      <c r="S49" s="23"/>
      <c r="T49" s="23"/>
      <c r="U49" s="23"/>
      <c r="V49" s="23"/>
      <c r="W49" s="23"/>
      <c r="X49" s="23"/>
      <c r="Y49" s="23"/>
    </row>
    <row r="50" spans="1:25" s="3" customFormat="1" x14ac:dyDescent="0.35">
      <c r="A50" s="64">
        <f t="shared" si="2"/>
        <v>47</v>
      </c>
      <c r="B50" s="25" t="s">
        <v>89</v>
      </c>
      <c r="C50" s="44" t="s">
        <v>179</v>
      </c>
      <c r="D50" s="45" t="s">
        <v>161</v>
      </c>
      <c r="E50" s="45" t="s">
        <v>209</v>
      </c>
      <c r="F50" s="18" t="s">
        <v>146</v>
      </c>
      <c r="G50" s="18">
        <v>211</v>
      </c>
      <c r="H50" s="18">
        <v>0.2</v>
      </c>
      <c r="I50" s="131">
        <v>1579</v>
      </c>
      <c r="J50" s="58">
        <v>850</v>
      </c>
      <c r="K50" s="59">
        <v>1350</v>
      </c>
      <c r="L50" s="57" t="s">
        <v>147</v>
      </c>
      <c r="M50" s="59" t="s">
        <v>147</v>
      </c>
      <c r="N50" s="57">
        <f t="shared" si="6"/>
        <v>1979</v>
      </c>
      <c r="O50" s="4">
        <f t="shared" si="7"/>
        <v>2929</v>
      </c>
      <c r="P50" s="23"/>
      <c r="Q50" s="23"/>
      <c r="R50" s="23"/>
      <c r="S50" s="23"/>
      <c r="T50" s="23"/>
      <c r="U50" s="23"/>
      <c r="V50" s="23"/>
      <c r="W50" s="23"/>
      <c r="X50" s="23"/>
      <c r="Y50" s="23"/>
    </row>
    <row r="51" spans="1:25" s="3" customFormat="1" x14ac:dyDescent="0.35">
      <c r="A51" s="64">
        <f t="shared" si="2"/>
        <v>48</v>
      </c>
      <c r="B51" s="25" t="s">
        <v>89</v>
      </c>
      <c r="C51" s="44" t="s">
        <v>179</v>
      </c>
      <c r="D51" s="45" t="s">
        <v>161</v>
      </c>
      <c r="E51" s="45" t="s">
        <v>210</v>
      </c>
      <c r="F51" s="18" t="s">
        <v>146</v>
      </c>
      <c r="G51" s="18">
        <v>211</v>
      </c>
      <c r="H51" s="18">
        <v>0.2</v>
      </c>
      <c r="I51" s="131">
        <f>I50+460</f>
        <v>2039</v>
      </c>
      <c r="J51" s="58">
        <v>850</v>
      </c>
      <c r="K51" s="59">
        <v>1350</v>
      </c>
      <c r="L51" s="57" t="s">
        <v>147</v>
      </c>
      <c r="M51" s="59" t="s">
        <v>147</v>
      </c>
      <c r="N51" s="57">
        <f t="shared" si="6"/>
        <v>2439</v>
      </c>
      <c r="O51" s="4">
        <f t="shared" si="7"/>
        <v>3389</v>
      </c>
      <c r="P51" s="23"/>
      <c r="Q51" s="23"/>
      <c r="R51" s="23"/>
      <c r="S51" s="23"/>
      <c r="T51" s="23"/>
      <c r="U51" s="23"/>
      <c r="V51" s="23"/>
      <c r="W51" s="23"/>
      <c r="X51" s="23"/>
      <c r="Y51" s="23"/>
    </row>
    <row r="52" spans="1:25" s="3" customFormat="1" x14ac:dyDescent="0.35">
      <c r="A52" s="64">
        <f t="shared" si="2"/>
        <v>49</v>
      </c>
      <c r="B52" s="25" t="s">
        <v>89</v>
      </c>
      <c r="C52" s="44" t="s">
        <v>179</v>
      </c>
      <c r="D52" s="45" t="s">
        <v>149</v>
      </c>
      <c r="E52" s="45" t="s">
        <v>211</v>
      </c>
      <c r="F52" s="18" t="s">
        <v>146</v>
      </c>
      <c r="G52" s="18">
        <v>153</v>
      </c>
      <c r="H52" s="18">
        <v>0.17083333333333331</v>
      </c>
      <c r="I52" s="131">
        <v>942</v>
      </c>
      <c r="J52" s="58">
        <v>850</v>
      </c>
      <c r="K52" s="59">
        <v>1350</v>
      </c>
      <c r="L52" s="57" t="s">
        <v>147</v>
      </c>
      <c r="M52" s="59" t="s">
        <v>147</v>
      </c>
      <c r="N52" s="57">
        <f t="shared" si="6"/>
        <v>1342</v>
      </c>
      <c r="O52" s="4">
        <f t="shared" si="7"/>
        <v>2292</v>
      </c>
      <c r="P52" s="23"/>
      <c r="Q52" s="23"/>
      <c r="R52" s="23"/>
      <c r="S52" s="23"/>
      <c r="T52" s="23"/>
      <c r="U52" s="23"/>
      <c r="V52" s="23"/>
      <c r="W52" s="23"/>
      <c r="X52" s="23"/>
      <c r="Y52" s="23"/>
    </row>
    <row r="53" spans="1:25" s="3" customFormat="1" ht="29" x14ac:dyDescent="0.35">
      <c r="A53" s="64">
        <f t="shared" si="2"/>
        <v>50</v>
      </c>
      <c r="B53" s="25" t="s">
        <v>89</v>
      </c>
      <c r="C53" s="44" t="s">
        <v>179</v>
      </c>
      <c r="D53" s="45" t="s">
        <v>149</v>
      </c>
      <c r="E53" s="45" t="s">
        <v>212</v>
      </c>
      <c r="F53" s="18" t="s">
        <v>146</v>
      </c>
      <c r="G53" s="18">
        <v>153</v>
      </c>
      <c r="H53" s="18">
        <v>0.17083333333333331</v>
      </c>
      <c r="I53" s="131">
        <f>I52+646</f>
        <v>1588</v>
      </c>
      <c r="J53" s="58">
        <v>850</v>
      </c>
      <c r="K53" s="59">
        <v>1350</v>
      </c>
      <c r="L53" s="57" t="s">
        <v>147</v>
      </c>
      <c r="M53" s="59" t="s">
        <v>147</v>
      </c>
      <c r="N53" s="57">
        <f t="shared" ref="N53" si="8">I53+400</f>
        <v>1988</v>
      </c>
      <c r="O53" s="4">
        <f t="shared" ref="O53" si="9">N53+950</f>
        <v>2938</v>
      </c>
      <c r="P53" s="23"/>
      <c r="Q53" s="23"/>
      <c r="R53" s="23"/>
      <c r="S53" s="23"/>
      <c r="T53" s="23"/>
      <c r="U53" s="23"/>
      <c r="V53" s="23"/>
      <c r="W53" s="23"/>
      <c r="X53" s="23"/>
      <c r="Y53" s="23"/>
    </row>
    <row r="54" spans="1:25" s="3" customFormat="1" x14ac:dyDescent="0.35">
      <c r="A54" s="64">
        <f t="shared" si="2"/>
        <v>51</v>
      </c>
      <c r="B54" s="25" t="s">
        <v>89</v>
      </c>
      <c r="C54" s="44" t="s">
        <v>160</v>
      </c>
      <c r="D54" s="45" t="s">
        <v>153</v>
      </c>
      <c r="E54" s="45" t="s">
        <v>213</v>
      </c>
      <c r="F54" s="18" t="s">
        <v>146</v>
      </c>
      <c r="G54" s="18">
        <v>98</v>
      </c>
      <c r="H54" s="18">
        <v>0.11666666666666665</v>
      </c>
      <c r="I54" s="130">
        <f>923*I2</f>
        <v>1033.76</v>
      </c>
      <c r="J54" s="58">
        <v>850</v>
      </c>
      <c r="K54" s="59">
        <v>1350</v>
      </c>
      <c r="L54" s="57" t="s">
        <v>147</v>
      </c>
      <c r="M54" s="59" t="s">
        <v>147</v>
      </c>
      <c r="N54" s="57">
        <f>I54+400</f>
        <v>1433.76</v>
      </c>
      <c r="O54" s="4">
        <f>N54+950</f>
        <v>2383.7600000000002</v>
      </c>
      <c r="P54" s="23"/>
      <c r="Q54" s="23"/>
      <c r="R54" s="23"/>
      <c r="S54" s="23"/>
      <c r="T54" s="23"/>
      <c r="U54" s="23"/>
      <c r="V54" s="23"/>
      <c r="W54" s="23"/>
      <c r="X54" s="23"/>
      <c r="Y54" s="23"/>
    </row>
    <row r="55" spans="1:25" s="3" customFormat="1" x14ac:dyDescent="0.35">
      <c r="A55" s="64">
        <f t="shared" si="2"/>
        <v>52</v>
      </c>
      <c r="B55" s="25" t="s">
        <v>89</v>
      </c>
      <c r="C55" s="44" t="s">
        <v>160</v>
      </c>
      <c r="D55" s="45" t="s">
        <v>153</v>
      </c>
      <c r="E55" s="45" t="s">
        <v>214</v>
      </c>
      <c r="F55" s="18" t="s">
        <v>146</v>
      </c>
      <c r="G55" s="18">
        <v>98</v>
      </c>
      <c r="H55" s="18">
        <v>0.11666666666666665</v>
      </c>
      <c r="I55" s="130">
        <f>I54+(1065*I2)</f>
        <v>2226.5600000000004</v>
      </c>
      <c r="J55" s="58">
        <v>850</v>
      </c>
      <c r="K55" s="59">
        <v>1350</v>
      </c>
      <c r="L55" s="57" t="s">
        <v>147</v>
      </c>
      <c r="M55" s="59" t="s">
        <v>147</v>
      </c>
      <c r="N55" s="57">
        <f>I55+400</f>
        <v>2626.5600000000004</v>
      </c>
      <c r="O55" s="4">
        <f>N55+950</f>
        <v>3576.5600000000004</v>
      </c>
      <c r="P55" s="23"/>
      <c r="Q55" s="23"/>
      <c r="R55" s="23"/>
      <c r="S55" s="23"/>
      <c r="T55" s="23"/>
      <c r="U55" s="23"/>
      <c r="V55" s="23"/>
      <c r="W55" s="23"/>
      <c r="X55" s="23"/>
      <c r="Y55" s="23"/>
    </row>
    <row r="56" spans="1:25" s="3" customFormat="1" ht="43.5" x14ac:dyDescent="0.35">
      <c r="A56" s="64">
        <f t="shared" si="2"/>
        <v>53</v>
      </c>
      <c r="B56" s="25" t="s">
        <v>90</v>
      </c>
      <c r="C56" s="44" t="s">
        <v>143</v>
      </c>
      <c r="D56" s="45" t="s">
        <v>144</v>
      </c>
      <c r="E56" s="45" t="s">
        <v>215</v>
      </c>
      <c r="F56" s="18">
        <v>26</v>
      </c>
      <c r="G56" s="18" t="s">
        <v>146</v>
      </c>
      <c r="H56" s="18">
        <v>3.4125000000000001</v>
      </c>
      <c r="I56" s="130">
        <f>6075*I2</f>
        <v>6804.0000000000009</v>
      </c>
      <c r="J56" s="58">
        <v>1750</v>
      </c>
      <c r="K56" s="59">
        <v>2150</v>
      </c>
      <c r="L56" s="58">
        <v>1750</v>
      </c>
      <c r="M56" s="59">
        <v>4000</v>
      </c>
      <c r="N56" s="57">
        <f t="shared" si="6"/>
        <v>7204.0000000000009</v>
      </c>
      <c r="O56" s="4">
        <f t="shared" si="7"/>
        <v>8154.0000000000009</v>
      </c>
      <c r="P56" s="23"/>
      <c r="Q56" s="23"/>
      <c r="R56" s="23"/>
      <c r="S56" s="23"/>
      <c r="T56" s="23"/>
      <c r="U56" s="23"/>
      <c r="V56" s="23"/>
      <c r="W56" s="23"/>
      <c r="X56" s="23"/>
      <c r="Y56" s="23"/>
    </row>
    <row r="57" spans="1:25" s="3" customFormat="1" ht="43.5" x14ac:dyDescent="0.35">
      <c r="A57" s="64">
        <f t="shared" si="2"/>
        <v>54</v>
      </c>
      <c r="B57" s="25" t="s">
        <v>90</v>
      </c>
      <c r="C57" s="44" t="s">
        <v>143</v>
      </c>
      <c r="D57" s="45" t="s">
        <v>149</v>
      </c>
      <c r="E57" s="45" t="s">
        <v>216</v>
      </c>
      <c r="F57" s="18">
        <v>46.5</v>
      </c>
      <c r="G57" s="18" t="s">
        <v>146</v>
      </c>
      <c r="H57" s="18">
        <v>5.6166666666666671</v>
      </c>
      <c r="I57" s="130">
        <v>2850</v>
      </c>
      <c r="J57" s="58">
        <v>1750</v>
      </c>
      <c r="K57" s="59">
        <v>2150</v>
      </c>
      <c r="L57" s="58">
        <v>1750</v>
      </c>
      <c r="M57" s="59">
        <v>4000</v>
      </c>
      <c r="N57" s="57">
        <f t="shared" ref="N57:N84" si="10">I57+400</f>
        <v>3250</v>
      </c>
      <c r="O57" s="4">
        <f t="shared" si="7"/>
        <v>4200</v>
      </c>
      <c r="P57" s="23"/>
      <c r="Q57" s="23"/>
      <c r="R57" s="23"/>
      <c r="S57" s="23"/>
      <c r="T57" s="23"/>
      <c r="U57" s="23"/>
      <c r="V57" s="23"/>
      <c r="W57" s="23"/>
      <c r="X57" s="23"/>
      <c r="Y57" s="23"/>
    </row>
    <row r="58" spans="1:25" s="3" customFormat="1" ht="43.5" x14ac:dyDescent="0.35">
      <c r="A58" s="64">
        <f t="shared" si="2"/>
        <v>55</v>
      </c>
      <c r="B58" s="25" t="s">
        <v>90</v>
      </c>
      <c r="C58" s="44" t="s">
        <v>143</v>
      </c>
      <c r="D58" s="45" t="s">
        <v>149</v>
      </c>
      <c r="E58" s="45" t="s">
        <v>217</v>
      </c>
      <c r="F58" s="18">
        <v>46.5</v>
      </c>
      <c r="G58" s="18" t="s">
        <v>146</v>
      </c>
      <c r="H58" s="18">
        <v>5.6166666666666671</v>
      </c>
      <c r="I58" s="130">
        <f>I57+646</f>
        <v>3496</v>
      </c>
      <c r="J58" s="58">
        <v>1750</v>
      </c>
      <c r="K58" s="59">
        <v>2150</v>
      </c>
      <c r="L58" s="58">
        <v>1750</v>
      </c>
      <c r="M58" s="59">
        <v>4000</v>
      </c>
      <c r="N58" s="57">
        <f t="shared" si="10"/>
        <v>3896</v>
      </c>
      <c r="O58" s="4">
        <f t="shared" ref="O58:O86" si="11">N58+950</f>
        <v>4846</v>
      </c>
      <c r="P58" s="23"/>
      <c r="Q58" s="23"/>
      <c r="R58" s="23"/>
      <c r="S58" s="23"/>
      <c r="T58" s="23"/>
      <c r="U58" s="23"/>
      <c r="V58" s="23"/>
      <c r="W58" s="23"/>
      <c r="X58" s="23"/>
      <c r="Y58" s="23"/>
    </row>
    <row r="59" spans="1:25" s="3" customFormat="1" ht="43.5" x14ac:dyDescent="0.35">
      <c r="A59" s="64">
        <f t="shared" si="2"/>
        <v>56</v>
      </c>
      <c r="B59" s="25" t="s">
        <v>90</v>
      </c>
      <c r="C59" s="44" t="s">
        <v>143</v>
      </c>
      <c r="D59" s="45" t="s">
        <v>157</v>
      </c>
      <c r="E59" s="45" t="s">
        <v>218</v>
      </c>
      <c r="F59" s="18">
        <v>50</v>
      </c>
      <c r="G59" s="18" t="s">
        <v>146</v>
      </c>
      <c r="H59" s="18">
        <v>5</v>
      </c>
      <c r="I59" s="130">
        <v>3060</v>
      </c>
      <c r="J59" s="58">
        <v>1750</v>
      </c>
      <c r="K59" s="59">
        <v>2150</v>
      </c>
      <c r="L59" s="58">
        <v>1750</v>
      </c>
      <c r="M59" s="59">
        <v>4000</v>
      </c>
      <c r="N59" s="57">
        <f t="shared" si="10"/>
        <v>3460</v>
      </c>
      <c r="O59" s="4">
        <f t="shared" si="11"/>
        <v>4410</v>
      </c>
      <c r="P59" s="23"/>
      <c r="Q59" s="23"/>
      <c r="R59" s="23"/>
      <c r="S59" s="23"/>
      <c r="T59" s="23"/>
      <c r="U59" s="23"/>
      <c r="V59" s="23"/>
      <c r="W59" s="23"/>
      <c r="X59" s="23"/>
      <c r="Y59" s="23"/>
    </row>
    <row r="60" spans="1:25" s="3" customFormat="1" ht="43.5" x14ac:dyDescent="0.35">
      <c r="A60" s="64">
        <f t="shared" si="2"/>
        <v>57</v>
      </c>
      <c r="B60" s="25" t="s">
        <v>90</v>
      </c>
      <c r="C60" s="44" t="s">
        <v>143</v>
      </c>
      <c r="D60" s="45" t="s">
        <v>157</v>
      </c>
      <c r="E60" s="45" t="s">
        <v>219</v>
      </c>
      <c r="F60" s="18">
        <v>50</v>
      </c>
      <c r="G60" s="18" t="s">
        <v>146</v>
      </c>
      <c r="H60" s="18">
        <v>5</v>
      </c>
      <c r="I60" s="130">
        <f>I59+1587</f>
        <v>4647</v>
      </c>
      <c r="J60" s="58">
        <v>1750</v>
      </c>
      <c r="K60" s="59">
        <v>2150</v>
      </c>
      <c r="L60" s="58">
        <v>1750</v>
      </c>
      <c r="M60" s="59">
        <v>4000</v>
      </c>
      <c r="N60" s="57">
        <f t="shared" si="10"/>
        <v>5047</v>
      </c>
      <c r="O60" s="4">
        <f t="shared" si="11"/>
        <v>5997</v>
      </c>
      <c r="P60" s="23"/>
      <c r="Q60" s="23"/>
      <c r="R60" s="23"/>
      <c r="S60" s="23"/>
      <c r="T60" s="23"/>
      <c r="U60" s="23"/>
      <c r="V60" s="23"/>
      <c r="W60" s="23"/>
      <c r="X60" s="23"/>
      <c r="Y60" s="23"/>
    </row>
    <row r="61" spans="1:25" s="3" customFormat="1" ht="43.5" x14ac:dyDescent="0.35">
      <c r="A61" s="64">
        <f t="shared" si="2"/>
        <v>58</v>
      </c>
      <c r="B61" s="25" t="s">
        <v>90</v>
      </c>
      <c r="C61" s="44" t="s">
        <v>143</v>
      </c>
      <c r="D61" s="45"/>
      <c r="E61" s="45"/>
      <c r="F61" s="18"/>
      <c r="G61" s="18"/>
      <c r="H61" s="18"/>
      <c r="I61" s="130"/>
      <c r="J61" s="58"/>
      <c r="K61" s="59"/>
      <c r="L61" s="58"/>
      <c r="M61" s="59"/>
      <c r="N61" s="57"/>
      <c r="O61" s="4"/>
      <c r="P61" s="23"/>
      <c r="Q61" s="23"/>
      <c r="R61" s="23"/>
      <c r="S61" s="23"/>
      <c r="T61" s="23"/>
      <c r="U61" s="23"/>
      <c r="V61" s="23"/>
      <c r="W61" s="23"/>
      <c r="X61" s="23"/>
      <c r="Y61" s="23"/>
    </row>
    <row r="62" spans="1:25" s="3" customFormat="1" ht="43.5" x14ac:dyDescent="0.35">
      <c r="A62" s="64">
        <f t="shared" si="2"/>
        <v>59</v>
      </c>
      <c r="B62" s="25" t="s">
        <v>90</v>
      </c>
      <c r="C62" s="44" t="s">
        <v>143</v>
      </c>
      <c r="D62" s="45"/>
      <c r="E62" s="45"/>
      <c r="F62" s="18"/>
      <c r="G62" s="18"/>
      <c r="H62" s="18"/>
      <c r="I62" s="130"/>
      <c r="J62" s="58"/>
      <c r="K62" s="59"/>
      <c r="L62" s="58"/>
      <c r="M62" s="59"/>
      <c r="N62" s="57"/>
      <c r="O62" s="4"/>
      <c r="P62" s="23"/>
      <c r="Q62" s="23"/>
      <c r="R62" s="23"/>
      <c r="S62" s="23"/>
      <c r="T62" s="23"/>
      <c r="U62" s="23"/>
      <c r="V62" s="23"/>
      <c r="W62" s="23"/>
      <c r="X62" s="23"/>
      <c r="Y62" s="23"/>
    </row>
    <row r="63" spans="1:25" s="3" customFormat="1" ht="43.5" x14ac:dyDescent="0.35">
      <c r="A63" s="64">
        <f t="shared" si="2"/>
        <v>60</v>
      </c>
      <c r="B63" s="25" t="s">
        <v>90</v>
      </c>
      <c r="C63" s="44" t="s">
        <v>143</v>
      </c>
      <c r="D63" s="45" t="s">
        <v>153</v>
      </c>
      <c r="E63" s="45" t="s">
        <v>220</v>
      </c>
      <c r="F63" s="18">
        <v>55.5</v>
      </c>
      <c r="G63" s="18" t="s">
        <v>146</v>
      </c>
      <c r="H63" s="18">
        <v>3.0166666666666671</v>
      </c>
      <c r="I63" s="130">
        <f>3107*I2</f>
        <v>3479.84</v>
      </c>
      <c r="J63" s="58">
        <v>1750</v>
      </c>
      <c r="K63" s="59">
        <v>2150</v>
      </c>
      <c r="L63" s="58">
        <v>1750</v>
      </c>
      <c r="M63" s="59">
        <v>4000</v>
      </c>
      <c r="N63" s="57">
        <f t="shared" si="10"/>
        <v>3879.84</v>
      </c>
      <c r="O63" s="4">
        <f t="shared" si="11"/>
        <v>4829.84</v>
      </c>
      <c r="P63" s="23"/>
      <c r="Q63" s="23"/>
      <c r="R63" s="23"/>
      <c r="S63" s="23"/>
      <c r="T63" s="23"/>
      <c r="U63" s="23"/>
      <c r="V63" s="23"/>
      <c r="W63" s="23"/>
      <c r="X63" s="23"/>
      <c r="Y63" s="23"/>
    </row>
    <row r="64" spans="1:25" s="3" customFormat="1" ht="43.5" x14ac:dyDescent="0.35">
      <c r="A64" s="64">
        <f t="shared" si="2"/>
        <v>61</v>
      </c>
      <c r="B64" s="25" t="s">
        <v>90</v>
      </c>
      <c r="C64" s="44" t="s">
        <v>143</v>
      </c>
      <c r="D64" s="45" t="s">
        <v>153</v>
      </c>
      <c r="E64" s="45" t="s">
        <v>221</v>
      </c>
      <c r="F64" s="18">
        <v>55.5</v>
      </c>
      <c r="G64" s="18" t="s">
        <v>146</v>
      </c>
      <c r="H64" s="18">
        <v>3.0166666666666671</v>
      </c>
      <c r="I64" s="130">
        <f>I63+(1065*I2)</f>
        <v>4672.6400000000003</v>
      </c>
      <c r="J64" s="58">
        <v>1750</v>
      </c>
      <c r="K64" s="59">
        <v>2150</v>
      </c>
      <c r="L64" s="58">
        <v>1750</v>
      </c>
      <c r="M64" s="59">
        <v>4000</v>
      </c>
      <c r="N64" s="57">
        <f t="shared" si="10"/>
        <v>5072.6400000000003</v>
      </c>
      <c r="O64" s="4">
        <f t="shared" si="11"/>
        <v>6022.64</v>
      </c>
      <c r="P64" s="23"/>
      <c r="Q64" s="23"/>
      <c r="R64" s="23"/>
      <c r="S64" s="23"/>
      <c r="T64" s="23"/>
      <c r="U64" s="23"/>
      <c r="V64" s="23"/>
      <c r="W64" s="23"/>
      <c r="X64" s="23"/>
      <c r="Y64" s="23"/>
    </row>
    <row r="65" spans="1:34" s="3" customFormat="1" ht="43.5" x14ac:dyDescent="0.35">
      <c r="A65" s="64">
        <f t="shared" si="2"/>
        <v>62</v>
      </c>
      <c r="B65" s="25" t="s">
        <v>90</v>
      </c>
      <c r="C65" s="44" t="s">
        <v>143</v>
      </c>
      <c r="D65" s="45" t="s">
        <v>161</v>
      </c>
      <c r="E65" s="45" t="s">
        <v>222</v>
      </c>
      <c r="F65" s="18">
        <v>59</v>
      </c>
      <c r="G65" s="18" t="s">
        <v>146</v>
      </c>
      <c r="H65" s="18">
        <v>4</v>
      </c>
      <c r="I65" s="130">
        <v>2650</v>
      </c>
      <c r="J65" s="58">
        <v>1750</v>
      </c>
      <c r="K65" s="59">
        <v>2150</v>
      </c>
      <c r="L65" s="58">
        <v>1750</v>
      </c>
      <c r="M65" s="59">
        <v>4000</v>
      </c>
      <c r="N65" s="57">
        <f t="shared" si="10"/>
        <v>3050</v>
      </c>
      <c r="O65" s="4">
        <f t="shared" si="11"/>
        <v>4000</v>
      </c>
      <c r="P65" s="23"/>
      <c r="Q65" s="23"/>
      <c r="R65" s="23"/>
      <c r="S65" s="23"/>
      <c r="T65" s="23"/>
      <c r="U65" s="23"/>
      <c r="V65" s="23"/>
      <c r="W65" s="23"/>
      <c r="X65" s="23"/>
      <c r="Y65" s="23"/>
    </row>
    <row r="66" spans="1:34" s="3" customFormat="1" ht="43.5" x14ac:dyDescent="0.35">
      <c r="A66" s="64">
        <f t="shared" si="2"/>
        <v>63</v>
      </c>
      <c r="B66" s="25" t="s">
        <v>90</v>
      </c>
      <c r="C66" s="44" t="s">
        <v>143</v>
      </c>
      <c r="D66" s="45" t="s">
        <v>161</v>
      </c>
      <c r="E66" s="45" t="s">
        <v>223</v>
      </c>
      <c r="F66" s="18">
        <v>59</v>
      </c>
      <c r="G66" s="18" t="s">
        <v>146</v>
      </c>
      <c r="H66" s="18">
        <v>4</v>
      </c>
      <c r="I66" s="130">
        <f>I65+460</f>
        <v>3110</v>
      </c>
      <c r="J66" s="58">
        <v>1750</v>
      </c>
      <c r="K66" s="59">
        <v>2150</v>
      </c>
      <c r="L66" s="58">
        <v>1750</v>
      </c>
      <c r="M66" s="59">
        <v>4000</v>
      </c>
      <c r="N66" s="57">
        <f t="shared" si="10"/>
        <v>3510</v>
      </c>
      <c r="O66" s="4">
        <f t="shared" si="11"/>
        <v>4460</v>
      </c>
      <c r="P66" s="23"/>
      <c r="Q66" s="23"/>
      <c r="R66" s="23"/>
      <c r="S66" s="23"/>
      <c r="T66" s="23"/>
      <c r="U66" s="23"/>
      <c r="V66" s="23"/>
      <c r="W66" s="23"/>
      <c r="X66" s="23"/>
      <c r="Y66" s="23"/>
    </row>
    <row r="67" spans="1:34" s="3" customFormat="1" ht="43.5" x14ac:dyDescent="0.35">
      <c r="A67" s="64">
        <f t="shared" si="2"/>
        <v>64</v>
      </c>
      <c r="B67" s="25" t="s">
        <v>90</v>
      </c>
      <c r="C67" s="44" t="s">
        <v>160</v>
      </c>
      <c r="D67" s="45" t="s">
        <v>182</v>
      </c>
      <c r="E67" s="45" t="s">
        <v>224</v>
      </c>
      <c r="F67" s="18">
        <v>88</v>
      </c>
      <c r="G67" s="18" t="s">
        <v>146</v>
      </c>
      <c r="H67" s="18">
        <v>3.2562500000000001</v>
      </c>
      <c r="I67" s="130">
        <f>4080*I2</f>
        <v>4569.6000000000004</v>
      </c>
      <c r="J67" s="58">
        <v>1750</v>
      </c>
      <c r="K67" s="59">
        <v>2150</v>
      </c>
      <c r="L67" s="58">
        <v>1750</v>
      </c>
      <c r="M67" s="59">
        <v>4000</v>
      </c>
      <c r="N67" s="57">
        <f>I67+400</f>
        <v>4969.6000000000004</v>
      </c>
      <c r="O67" s="4">
        <f>N67+950</f>
        <v>5919.6</v>
      </c>
      <c r="P67" s="23"/>
      <c r="Q67" s="23"/>
      <c r="R67" s="23"/>
      <c r="S67" s="23"/>
      <c r="T67" s="23"/>
      <c r="U67" s="23"/>
      <c r="V67" s="23"/>
      <c r="W67" s="23"/>
      <c r="X67" s="23"/>
      <c r="Y67" s="23"/>
    </row>
    <row r="68" spans="1:34" s="3" customFormat="1" ht="43.5" x14ac:dyDescent="0.35">
      <c r="A68" s="64">
        <f t="shared" si="2"/>
        <v>65</v>
      </c>
      <c r="B68" s="25" t="s">
        <v>90</v>
      </c>
      <c r="C68" s="44" t="s">
        <v>160</v>
      </c>
      <c r="D68" s="45" t="s">
        <v>182</v>
      </c>
      <c r="E68" s="45" t="s">
        <v>225</v>
      </c>
      <c r="F68" s="18">
        <v>88</v>
      </c>
      <c r="G68" s="18" t="s">
        <v>146</v>
      </c>
      <c r="H68" s="18">
        <v>3.2562500000000001</v>
      </c>
      <c r="I68" s="130">
        <f>I67+(250*I2)</f>
        <v>4849.6000000000004</v>
      </c>
      <c r="J68" s="58">
        <v>1750</v>
      </c>
      <c r="K68" s="59">
        <v>2150</v>
      </c>
      <c r="L68" s="58">
        <v>1750</v>
      </c>
      <c r="M68" s="59">
        <v>4000</v>
      </c>
      <c r="N68" s="57">
        <f t="shared" si="10"/>
        <v>5249.6</v>
      </c>
      <c r="O68" s="4">
        <f t="shared" si="11"/>
        <v>6199.6</v>
      </c>
      <c r="P68" s="23"/>
      <c r="Q68" s="23"/>
      <c r="R68" s="23"/>
      <c r="S68" s="23"/>
      <c r="T68" s="23"/>
      <c r="U68" s="23"/>
      <c r="V68" s="23"/>
      <c r="W68" s="23"/>
      <c r="X68" s="23"/>
      <c r="Y68" s="23"/>
    </row>
    <row r="69" spans="1:34" s="3" customFormat="1" ht="43.5" x14ac:dyDescent="0.35">
      <c r="A69" s="64">
        <f t="shared" si="2"/>
        <v>66</v>
      </c>
      <c r="B69" s="25" t="s">
        <v>90</v>
      </c>
      <c r="C69" s="44" t="s">
        <v>160</v>
      </c>
      <c r="D69" s="45" t="s">
        <v>153</v>
      </c>
      <c r="E69" s="45" t="s">
        <v>226</v>
      </c>
      <c r="F69" s="18">
        <v>92</v>
      </c>
      <c r="G69" s="19" t="s">
        <v>146</v>
      </c>
      <c r="H69" s="19">
        <v>3.0208333333333335</v>
      </c>
      <c r="I69" s="130">
        <f>3646*I2</f>
        <v>4083.5200000000004</v>
      </c>
      <c r="J69" s="58">
        <v>1750</v>
      </c>
      <c r="K69" s="59">
        <v>2150</v>
      </c>
      <c r="L69" s="58">
        <v>1750</v>
      </c>
      <c r="M69" s="59">
        <v>4000</v>
      </c>
      <c r="N69" s="57">
        <f t="shared" si="10"/>
        <v>4483.5200000000004</v>
      </c>
      <c r="O69" s="4">
        <f t="shared" si="11"/>
        <v>5433.52</v>
      </c>
    </row>
    <row r="70" spans="1:34" s="3" customFormat="1" ht="43.5" x14ac:dyDescent="0.35">
      <c r="A70" s="64">
        <f t="shared" si="2"/>
        <v>67</v>
      </c>
      <c r="B70" s="25" t="s">
        <v>90</v>
      </c>
      <c r="C70" s="44" t="s">
        <v>160</v>
      </c>
      <c r="D70" s="45" t="s">
        <v>153</v>
      </c>
      <c r="E70" s="45" t="s">
        <v>227</v>
      </c>
      <c r="F70" s="18">
        <v>92</v>
      </c>
      <c r="G70" s="19" t="s">
        <v>146</v>
      </c>
      <c r="H70" s="19">
        <v>3.0208333333333335</v>
      </c>
      <c r="I70" s="130">
        <f>I69+(1065*I2)</f>
        <v>5276.3200000000006</v>
      </c>
      <c r="J70" s="58">
        <v>1750</v>
      </c>
      <c r="K70" s="59">
        <v>2150</v>
      </c>
      <c r="L70" s="58">
        <v>1750</v>
      </c>
      <c r="M70" s="59">
        <v>4000</v>
      </c>
      <c r="N70" s="57">
        <f t="shared" si="10"/>
        <v>5676.3200000000006</v>
      </c>
      <c r="O70" s="4">
        <f t="shared" si="11"/>
        <v>6626.3200000000006</v>
      </c>
    </row>
    <row r="71" spans="1:34" s="3" customFormat="1" ht="43.5" x14ac:dyDescent="0.35">
      <c r="A71" s="64">
        <f t="shared" si="2"/>
        <v>68</v>
      </c>
      <c r="B71" s="25" t="s">
        <v>90</v>
      </c>
      <c r="C71" s="44" t="s">
        <v>160</v>
      </c>
      <c r="D71" s="45" t="s">
        <v>149</v>
      </c>
      <c r="E71" s="45" t="s">
        <v>228</v>
      </c>
      <c r="F71" s="18">
        <v>99</v>
      </c>
      <c r="G71" s="18" t="s">
        <v>146</v>
      </c>
      <c r="H71" s="18">
        <v>7.3312499999999998</v>
      </c>
      <c r="I71" s="130">
        <v>3550</v>
      </c>
      <c r="J71" s="58">
        <v>1750</v>
      </c>
      <c r="K71" s="59">
        <v>2150</v>
      </c>
      <c r="L71" s="58">
        <v>1750</v>
      </c>
      <c r="M71" s="59">
        <v>4000</v>
      </c>
      <c r="N71" s="57">
        <f t="shared" si="10"/>
        <v>3950</v>
      </c>
      <c r="O71" s="4">
        <f t="shared" si="11"/>
        <v>4900</v>
      </c>
      <c r="P71" s="7"/>
      <c r="Q71" s="7"/>
      <c r="R71" s="7"/>
      <c r="S71" s="7"/>
      <c r="T71" s="7"/>
      <c r="U71" s="7"/>
      <c r="V71" s="7"/>
      <c r="W71" s="7"/>
      <c r="X71" s="7"/>
      <c r="Y71" s="7"/>
      <c r="AA71" s="21"/>
      <c r="AB71" s="21"/>
      <c r="AC71" s="21"/>
      <c r="AD71" s="21"/>
    </row>
    <row r="72" spans="1:34" s="3" customFormat="1" ht="43.5" x14ac:dyDescent="0.35">
      <c r="A72" s="64">
        <f t="shared" si="2"/>
        <v>69</v>
      </c>
      <c r="B72" s="25" t="s">
        <v>90</v>
      </c>
      <c r="C72" s="44" t="s">
        <v>160</v>
      </c>
      <c r="D72" s="45" t="s">
        <v>149</v>
      </c>
      <c r="E72" s="45" t="s">
        <v>229</v>
      </c>
      <c r="F72" s="18">
        <v>99</v>
      </c>
      <c r="G72" s="18" t="s">
        <v>146</v>
      </c>
      <c r="H72" s="18">
        <v>7.3312499999999998</v>
      </c>
      <c r="I72" s="130">
        <f>I71+646</f>
        <v>4196</v>
      </c>
      <c r="J72" s="58">
        <v>1750</v>
      </c>
      <c r="K72" s="59">
        <v>2150</v>
      </c>
      <c r="L72" s="58">
        <v>1750</v>
      </c>
      <c r="M72" s="59">
        <v>4000</v>
      </c>
      <c r="N72" s="57">
        <f t="shared" si="10"/>
        <v>4596</v>
      </c>
      <c r="O72" s="4">
        <f t="shared" si="11"/>
        <v>5546</v>
      </c>
      <c r="P72" s="7"/>
      <c r="Q72" s="7"/>
      <c r="R72" s="7"/>
      <c r="S72" s="7"/>
      <c r="T72" s="7"/>
      <c r="U72" s="7"/>
      <c r="V72" s="7"/>
      <c r="W72" s="7"/>
      <c r="X72" s="7"/>
      <c r="Y72" s="7"/>
      <c r="AA72" s="21"/>
      <c r="AB72" s="21"/>
      <c r="AC72" s="21"/>
      <c r="AD72" s="21"/>
    </row>
    <row r="73" spans="1:34" s="3" customFormat="1" ht="43.5" x14ac:dyDescent="0.35">
      <c r="A73" s="64">
        <f t="shared" ref="A73:A136" si="12">A72+1</f>
        <v>70</v>
      </c>
      <c r="B73" s="25" t="s">
        <v>90</v>
      </c>
      <c r="C73" s="44" t="s">
        <v>160</v>
      </c>
      <c r="D73" s="45" t="s">
        <v>161</v>
      </c>
      <c r="E73" s="45" t="s">
        <v>230</v>
      </c>
      <c r="F73" s="18">
        <v>100</v>
      </c>
      <c r="G73" s="18" t="s">
        <v>146</v>
      </c>
      <c r="H73" s="18">
        <v>4.6833333333333336</v>
      </c>
      <c r="I73" s="130">
        <v>3400</v>
      </c>
      <c r="J73" s="58">
        <v>1750</v>
      </c>
      <c r="K73" s="59">
        <v>2150</v>
      </c>
      <c r="L73" s="58">
        <v>1750</v>
      </c>
      <c r="M73" s="59">
        <v>4000</v>
      </c>
      <c r="N73" s="57">
        <f t="shared" si="10"/>
        <v>3800</v>
      </c>
      <c r="O73" s="4">
        <f t="shared" si="11"/>
        <v>4750</v>
      </c>
      <c r="AA73" s="21"/>
      <c r="AB73" s="21"/>
      <c r="AC73" s="21"/>
      <c r="AD73" s="21"/>
    </row>
    <row r="74" spans="1:34" s="3" customFormat="1" ht="43.5" x14ac:dyDescent="0.35">
      <c r="A74" s="64">
        <f t="shared" si="12"/>
        <v>71</v>
      </c>
      <c r="B74" s="25" t="s">
        <v>90</v>
      </c>
      <c r="C74" s="44" t="s">
        <v>160</v>
      </c>
      <c r="D74" s="45" t="s">
        <v>161</v>
      </c>
      <c r="E74" s="45" t="s">
        <v>231</v>
      </c>
      <c r="F74" s="18">
        <v>100</v>
      </c>
      <c r="G74" s="18" t="s">
        <v>146</v>
      </c>
      <c r="H74" s="18">
        <v>4.6833333333333336</v>
      </c>
      <c r="I74" s="130">
        <f>I73+460</f>
        <v>3860</v>
      </c>
      <c r="J74" s="58">
        <v>1750</v>
      </c>
      <c r="K74" s="59">
        <v>2150</v>
      </c>
      <c r="L74" s="58">
        <v>1750</v>
      </c>
      <c r="M74" s="59">
        <v>4000</v>
      </c>
      <c r="N74" s="57">
        <f t="shared" si="10"/>
        <v>4260</v>
      </c>
      <c r="O74" s="4">
        <f t="shared" si="11"/>
        <v>5210</v>
      </c>
      <c r="AA74" s="21"/>
      <c r="AB74" s="21"/>
      <c r="AC74" s="21"/>
      <c r="AD74" s="21"/>
    </row>
    <row r="75" spans="1:34" s="3" customFormat="1" ht="43.5" x14ac:dyDescent="0.35">
      <c r="A75" s="64">
        <f t="shared" si="12"/>
        <v>72</v>
      </c>
      <c r="B75" s="25" t="s">
        <v>90</v>
      </c>
      <c r="C75" s="44" t="s">
        <v>160</v>
      </c>
      <c r="D75" s="45" t="s">
        <v>144</v>
      </c>
      <c r="E75" s="45" t="s">
        <v>232</v>
      </c>
      <c r="F75" s="18">
        <v>80.5</v>
      </c>
      <c r="G75" s="18" t="s">
        <v>146</v>
      </c>
      <c r="H75" s="18">
        <v>3</v>
      </c>
      <c r="I75" s="130">
        <f>6651*I2</f>
        <v>7449.1200000000008</v>
      </c>
      <c r="J75" s="58">
        <v>1750</v>
      </c>
      <c r="K75" s="59">
        <v>2150</v>
      </c>
      <c r="L75" s="58">
        <v>1750</v>
      </c>
      <c r="M75" s="59">
        <v>4000</v>
      </c>
      <c r="N75" s="57">
        <f>I75+400</f>
        <v>7849.1200000000008</v>
      </c>
      <c r="O75" s="4">
        <f t="shared" si="11"/>
        <v>8799.1200000000008</v>
      </c>
      <c r="AA75" s="21"/>
      <c r="AB75" s="21"/>
      <c r="AC75" s="21"/>
      <c r="AD75" s="21"/>
    </row>
    <row r="76" spans="1:34" s="21" customFormat="1" ht="43.5" x14ac:dyDescent="0.35">
      <c r="A76" s="64">
        <f t="shared" si="12"/>
        <v>73</v>
      </c>
      <c r="B76" s="25" t="s">
        <v>90</v>
      </c>
      <c r="C76" s="44" t="s">
        <v>179</v>
      </c>
      <c r="D76" s="45" t="s">
        <v>182</v>
      </c>
      <c r="E76" s="45" t="s">
        <v>233</v>
      </c>
      <c r="F76" s="18">
        <v>132</v>
      </c>
      <c r="G76" s="18" t="s">
        <v>146</v>
      </c>
      <c r="H76" s="18">
        <v>3.3118055555555554</v>
      </c>
      <c r="I76" s="130">
        <f>4320*I2</f>
        <v>4838.4000000000005</v>
      </c>
      <c r="J76" s="58">
        <v>1750</v>
      </c>
      <c r="K76" s="59">
        <v>2150</v>
      </c>
      <c r="L76" s="58">
        <v>1750</v>
      </c>
      <c r="M76" s="59">
        <v>4000</v>
      </c>
      <c r="N76" s="57">
        <f t="shared" si="10"/>
        <v>5238.4000000000005</v>
      </c>
      <c r="O76" s="4">
        <f t="shared" si="11"/>
        <v>6188.4000000000005</v>
      </c>
      <c r="AH76" s="3"/>
    </row>
    <row r="77" spans="1:34" s="21" customFormat="1" ht="43.5" x14ac:dyDescent="0.35">
      <c r="A77" s="64">
        <f t="shared" si="12"/>
        <v>74</v>
      </c>
      <c r="B77" s="25" t="s">
        <v>90</v>
      </c>
      <c r="C77" s="44" t="s">
        <v>179</v>
      </c>
      <c r="D77" s="45" t="s">
        <v>182</v>
      </c>
      <c r="E77" s="45" t="s">
        <v>234</v>
      </c>
      <c r="F77" s="18">
        <v>132</v>
      </c>
      <c r="G77" s="18" t="s">
        <v>146</v>
      </c>
      <c r="H77" s="18">
        <v>3.3118055555555554</v>
      </c>
      <c r="I77" s="130">
        <f>I76+(250*I2)</f>
        <v>5118.4000000000005</v>
      </c>
      <c r="J77" s="58">
        <v>1750</v>
      </c>
      <c r="K77" s="59">
        <v>2150</v>
      </c>
      <c r="L77" s="58">
        <v>1750</v>
      </c>
      <c r="M77" s="59">
        <v>4000</v>
      </c>
      <c r="N77" s="57">
        <f t="shared" si="10"/>
        <v>5518.4000000000005</v>
      </c>
      <c r="O77" s="4">
        <f t="shared" si="11"/>
        <v>6468.4000000000005</v>
      </c>
      <c r="AH77" s="3"/>
    </row>
    <row r="78" spans="1:34" s="21" customFormat="1" ht="43.5" x14ac:dyDescent="0.35">
      <c r="A78" s="64">
        <f t="shared" si="12"/>
        <v>75</v>
      </c>
      <c r="B78" s="25" t="s">
        <v>90</v>
      </c>
      <c r="C78" s="44" t="s">
        <v>179</v>
      </c>
      <c r="D78" s="45" t="s">
        <v>153</v>
      </c>
      <c r="E78" s="45" t="s">
        <v>235</v>
      </c>
      <c r="F78" s="18">
        <v>170</v>
      </c>
      <c r="G78" s="18" t="s">
        <v>146</v>
      </c>
      <c r="H78" s="18">
        <v>3.0583333333333336</v>
      </c>
      <c r="I78" s="130">
        <f>4345*I2</f>
        <v>4866.4000000000005</v>
      </c>
      <c r="J78" s="58">
        <v>1750</v>
      </c>
      <c r="K78" s="59">
        <v>2150</v>
      </c>
      <c r="L78" s="58">
        <v>1750</v>
      </c>
      <c r="M78" s="59">
        <v>4000</v>
      </c>
      <c r="N78" s="57">
        <f t="shared" si="10"/>
        <v>5266.4000000000005</v>
      </c>
      <c r="O78" s="4">
        <f t="shared" si="11"/>
        <v>6216.4000000000005</v>
      </c>
    </row>
    <row r="79" spans="1:34" s="21" customFormat="1" ht="43.5" x14ac:dyDescent="0.35">
      <c r="A79" s="64">
        <f t="shared" si="12"/>
        <v>76</v>
      </c>
      <c r="B79" s="25" t="s">
        <v>90</v>
      </c>
      <c r="C79" s="44" t="s">
        <v>179</v>
      </c>
      <c r="D79" s="45" t="s">
        <v>153</v>
      </c>
      <c r="E79" s="45" t="s">
        <v>236</v>
      </c>
      <c r="F79" s="18">
        <v>170</v>
      </c>
      <c r="G79" s="18" t="s">
        <v>146</v>
      </c>
      <c r="H79" s="18">
        <v>3.0583333333333336</v>
      </c>
      <c r="I79" s="130">
        <f>I78+(1065*I2)</f>
        <v>6059.2000000000007</v>
      </c>
      <c r="J79" s="58">
        <v>1750</v>
      </c>
      <c r="K79" s="59">
        <v>2150</v>
      </c>
      <c r="L79" s="58">
        <v>1750</v>
      </c>
      <c r="M79" s="59">
        <v>4000</v>
      </c>
      <c r="N79" s="57">
        <f t="shared" si="10"/>
        <v>6459.2000000000007</v>
      </c>
      <c r="O79" s="4">
        <f t="shared" si="11"/>
        <v>7409.2000000000007</v>
      </c>
    </row>
    <row r="80" spans="1:34" s="21" customFormat="1" ht="43.5" x14ac:dyDescent="0.35">
      <c r="A80" s="64">
        <f t="shared" si="12"/>
        <v>77</v>
      </c>
      <c r="B80" s="25" t="s">
        <v>90</v>
      </c>
      <c r="C80" s="44" t="s">
        <v>179</v>
      </c>
      <c r="D80" s="45" t="s">
        <v>161</v>
      </c>
      <c r="E80" s="45" t="s">
        <v>237</v>
      </c>
      <c r="F80" s="18">
        <v>200</v>
      </c>
      <c r="G80" s="18" t="s">
        <v>146</v>
      </c>
      <c r="H80" s="18">
        <v>3.8909722222222225</v>
      </c>
      <c r="I80" s="130">
        <v>3804</v>
      </c>
      <c r="J80" s="58">
        <v>1750</v>
      </c>
      <c r="K80" s="59">
        <v>2150</v>
      </c>
      <c r="L80" s="58">
        <v>1750</v>
      </c>
      <c r="M80" s="59">
        <v>4000</v>
      </c>
      <c r="N80" s="57">
        <f t="shared" si="10"/>
        <v>4204</v>
      </c>
      <c r="O80" s="4">
        <f t="shared" si="11"/>
        <v>5154</v>
      </c>
    </row>
    <row r="81" spans="1:34" s="21" customFormat="1" ht="43.5" x14ac:dyDescent="0.35">
      <c r="A81" s="64">
        <f t="shared" si="12"/>
        <v>78</v>
      </c>
      <c r="B81" s="25" t="s">
        <v>90</v>
      </c>
      <c r="C81" s="44" t="s">
        <v>179</v>
      </c>
      <c r="D81" s="45" t="s">
        <v>161</v>
      </c>
      <c r="E81" s="45" t="s">
        <v>238</v>
      </c>
      <c r="F81" s="18">
        <v>200</v>
      </c>
      <c r="G81" s="18" t="s">
        <v>146</v>
      </c>
      <c r="H81" s="18">
        <v>3.8909722222222225</v>
      </c>
      <c r="I81" s="130">
        <f>I80+460</f>
        <v>4264</v>
      </c>
      <c r="J81" s="58">
        <v>1750</v>
      </c>
      <c r="K81" s="59">
        <v>2150</v>
      </c>
      <c r="L81" s="58">
        <v>1750</v>
      </c>
      <c r="M81" s="59">
        <v>4000</v>
      </c>
      <c r="N81" s="57">
        <f t="shared" si="10"/>
        <v>4664</v>
      </c>
      <c r="O81" s="4">
        <f t="shared" si="11"/>
        <v>5614</v>
      </c>
    </row>
    <row r="82" spans="1:34" s="21" customFormat="1" ht="43.5" x14ac:dyDescent="0.35">
      <c r="A82" s="64">
        <f t="shared" si="12"/>
        <v>79</v>
      </c>
      <c r="B82" s="25" t="s">
        <v>90</v>
      </c>
      <c r="C82" s="44" t="s">
        <v>179</v>
      </c>
      <c r="D82" s="45" t="s">
        <v>144</v>
      </c>
      <c r="E82" s="45" t="s">
        <v>239</v>
      </c>
      <c r="F82" s="18">
        <v>220</v>
      </c>
      <c r="G82" s="18" t="s">
        <v>146</v>
      </c>
      <c r="H82" s="18">
        <v>3.8027777777777776</v>
      </c>
      <c r="I82" s="130">
        <f>7952*I2</f>
        <v>8906.2400000000016</v>
      </c>
      <c r="J82" s="58">
        <v>1750</v>
      </c>
      <c r="K82" s="59">
        <v>2150</v>
      </c>
      <c r="L82" s="58">
        <v>1750</v>
      </c>
      <c r="M82" s="59">
        <v>4000</v>
      </c>
      <c r="N82" s="57">
        <f t="shared" si="10"/>
        <v>9306.2400000000016</v>
      </c>
      <c r="O82" s="4">
        <f t="shared" si="11"/>
        <v>10256.240000000002</v>
      </c>
    </row>
    <row r="83" spans="1:34" ht="29" x14ac:dyDescent="0.35">
      <c r="A83" s="64">
        <f t="shared" si="12"/>
        <v>80</v>
      </c>
      <c r="B83" s="25" t="s">
        <v>91</v>
      </c>
      <c r="C83" s="44" t="s">
        <v>143</v>
      </c>
      <c r="D83" s="45" t="s">
        <v>144</v>
      </c>
      <c r="E83" s="45" t="s">
        <v>240</v>
      </c>
      <c r="F83" s="18">
        <v>36</v>
      </c>
      <c r="G83" s="18">
        <v>4.8</v>
      </c>
      <c r="H83" s="18">
        <v>3.4125000000000001</v>
      </c>
      <c r="I83" s="130">
        <f>6390*I2</f>
        <v>7156.8000000000011</v>
      </c>
      <c r="J83" s="58">
        <v>1750</v>
      </c>
      <c r="K83" s="59">
        <v>2150</v>
      </c>
      <c r="L83" s="58">
        <v>1750</v>
      </c>
      <c r="M83" s="59">
        <v>4000</v>
      </c>
      <c r="N83" s="57">
        <f t="shared" si="10"/>
        <v>7556.8000000000011</v>
      </c>
      <c r="O83" s="4">
        <f t="shared" si="11"/>
        <v>8506.8000000000011</v>
      </c>
      <c r="P83" s="21"/>
      <c r="Q83" s="21"/>
      <c r="R83" s="21"/>
      <c r="S83" s="21"/>
      <c r="T83" s="21"/>
      <c r="U83" s="21"/>
      <c r="V83" s="21"/>
      <c r="W83" s="21"/>
      <c r="X83" s="21"/>
      <c r="Y83" s="21"/>
      <c r="Z83" s="21"/>
      <c r="AH83" s="21"/>
    </row>
    <row r="84" spans="1:34" ht="29" x14ac:dyDescent="0.35">
      <c r="A84" s="64">
        <f t="shared" si="12"/>
        <v>81</v>
      </c>
      <c r="B84" s="25" t="s">
        <v>91</v>
      </c>
      <c r="C84" s="44" t="s">
        <v>143</v>
      </c>
      <c r="D84" s="45" t="s">
        <v>161</v>
      </c>
      <c r="E84" s="45" t="s">
        <v>241</v>
      </c>
      <c r="F84" s="18">
        <v>37.5</v>
      </c>
      <c r="G84" s="18">
        <v>32</v>
      </c>
      <c r="H84" s="18">
        <v>4.7875000000000005</v>
      </c>
      <c r="I84" s="130">
        <v>4150</v>
      </c>
      <c r="J84" s="58">
        <v>1750</v>
      </c>
      <c r="K84" s="59">
        <v>2150</v>
      </c>
      <c r="L84" s="58">
        <v>1750</v>
      </c>
      <c r="M84" s="59">
        <v>4000</v>
      </c>
      <c r="N84" s="57">
        <f t="shared" si="10"/>
        <v>4550</v>
      </c>
      <c r="O84" s="4">
        <f t="shared" si="11"/>
        <v>5500</v>
      </c>
      <c r="P84" s="21"/>
      <c r="Q84" s="21"/>
      <c r="R84" s="21"/>
      <c r="S84" s="21"/>
      <c r="T84" s="21"/>
      <c r="U84" s="21"/>
      <c r="V84" s="21"/>
      <c r="W84" s="21"/>
      <c r="X84" s="21"/>
      <c r="Y84" s="21"/>
      <c r="Z84" s="21"/>
      <c r="AH84" s="21"/>
    </row>
    <row r="85" spans="1:34" ht="29" x14ac:dyDescent="0.35">
      <c r="A85" s="64">
        <f t="shared" si="12"/>
        <v>82</v>
      </c>
      <c r="B85" s="25" t="s">
        <v>91</v>
      </c>
      <c r="C85" s="44" t="s">
        <v>143</v>
      </c>
      <c r="D85" s="45" t="s">
        <v>161</v>
      </c>
      <c r="E85" s="45" t="s">
        <v>242</v>
      </c>
      <c r="F85" s="18">
        <v>37.5</v>
      </c>
      <c r="G85" s="18">
        <v>32</v>
      </c>
      <c r="H85" s="18">
        <v>4.7875000000000005</v>
      </c>
      <c r="I85" s="130">
        <f>I84+460</f>
        <v>4610</v>
      </c>
      <c r="J85" s="58">
        <v>1750</v>
      </c>
      <c r="K85" s="59">
        <v>2150</v>
      </c>
      <c r="L85" s="58">
        <v>1750</v>
      </c>
      <c r="M85" s="59">
        <v>4000</v>
      </c>
      <c r="N85" s="57">
        <f t="shared" ref="N85:N100" si="13">I85+400</f>
        <v>5010</v>
      </c>
      <c r="O85" s="4">
        <f t="shared" si="11"/>
        <v>5960</v>
      </c>
      <c r="P85" s="21"/>
      <c r="Q85" s="21"/>
      <c r="R85" s="21"/>
      <c r="S85" s="21"/>
      <c r="T85" s="21"/>
      <c r="U85" s="21"/>
      <c r="V85" s="21"/>
      <c r="W85" s="21"/>
      <c r="X85" s="21"/>
      <c r="Y85" s="21"/>
      <c r="Z85" s="21"/>
      <c r="AH85" s="21"/>
    </row>
    <row r="86" spans="1:34" ht="29" x14ac:dyDescent="0.35">
      <c r="A86" s="64">
        <f t="shared" si="12"/>
        <v>83</v>
      </c>
      <c r="B86" s="25" t="s">
        <v>91</v>
      </c>
      <c r="C86" s="44" t="s">
        <v>143</v>
      </c>
      <c r="D86" s="45" t="s">
        <v>153</v>
      </c>
      <c r="E86" s="45" t="s">
        <v>243</v>
      </c>
      <c r="F86" s="18">
        <v>36</v>
      </c>
      <c r="G86" s="18">
        <v>34.299999999999997</v>
      </c>
      <c r="H86" s="18">
        <v>3</v>
      </c>
      <c r="I86" s="130">
        <f>5050*I2</f>
        <v>5656.0000000000009</v>
      </c>
      <c r="J86" s="58">
        <v>1750</v>
      </c>
      <c r="K86" s="59">
        <v>2150</v>
      </c>
      <c r="L86" s="58">
        <v>1750</v>
      </c>
      <c r="M86" s="59">
        <v>4000</v>
      </c>
      <c r="N86" s="57">
        <f t="shared" si="13"/>
        <v>6056.0000000000009</v>
      </c>
      <c r="O86" s="4">
        <f t="shared" si="11"/>
        <v>7006.0000000000009</v>
      </c>
      <c r="P86" s="21"/>
      <c r="Q86" s="21"/>
      <c r="R86" s="21"/>
      <c r="S86" s="21"/>
      <c r="T86" s="21"/>
      <c r="U86" s="21"/>
      <c r="V86" s="21"/>
      <c r="W86" s="21"/>
      <c r="X86" s="21"/>
      <c r="Y86" s="21"/>
      <c r="Z86" s="21"/>
      <c r="AH86" s="21"/>
    </row>
    <row r="87" spans="1:34" ht="29" x14ac:dyDescent="0.35">
      <c r="A87" s="64">
        <f t="shared" si="12"/>
        <v>84</v>
      </c>
      <c r="B87" s="25" t="s">
        <v>91</v>
      </c>
      <c r="C87" s="44" t="s">
        <v>143</v>
      </c>
      <c r="D87" s="45" t="s">
        <v>153</v>
      </c>
      <c r="E87" s="45" t="s">
        <v>244</v>
      </c>
      <c r="F87" s="18">
        <v>36</v>
      </c>
      <c r="G87" s="18">
        <v>34.299999999999997</v>
      </c>
      <c r="H87" s="18">
        <v>3</v>
      </c>
      <c r="I87" s="130">
        <f>I86+(1065*I2)</f>
        <v>6848.8000000000011</v>
      </c>
      <c r="J87" s="58">
        <v>1750</v>
      </c>
      <c r="K87" s="59">
        <v>2150</v>
      </c>
      <c r="L87" s="58">
        <v>1750</v>
      </c>
      <c r="M87" s="59">
        <v>4000</v>
      </c>
      <c r="N87" s="57">
        <f t="shared" si="13"/>
        <v>7248.8000000000011</v>
      </c>
      <c r="O87" s="4">
        <f t="shared" ref="O87:O100" si="14">N87+950</f>
        <v>8198.8000000000011</v>
      </c>
      <c r="P87" s="21"/>
      <c r="Q87" s="21"/>
      <c r="R87" s="21"/>
      <c r="S87" s="21"/>
      <c r="T87" s="21"/>
      <c r="U87" s="21"/>
      <c r="V87" s="21"/>
      <c r="W87" s="21"/>
      <c r="X87" s="21"/>
      <c r="Y87" s="21"/>
      <c r="Z87" s="21"/>
      <c r="AH87" s="21"/>
    </row>
    <row r="88" spans="1:34" ht="29" x14ac:dyDescent="0.35">
      <c r="A88" s="64">
        <f t="shared" si="12"/>
        <v>85</v>
      </c>
      <c r="B88" s="25" t="s">
        <v>91</v>
      </c>
      <c r="C88" s="44" t="s">
        <v>143</v>
      </c>
      <c r="D88" s="45" t="s">
        <v>182</v>
      </c>
      <c r="E88" s="45" t="s">
        <v>245</v>
      </c>
      <c r="F88" s="18">
        <v>57</v>
      </c>
      <c r="G88" s="18">
        <v>24</v>
      </c>
      <c r="H88" s="18">
        <v>3.4583333333333335</v>
      </c>
      <c r="I88" s="130">
        <f>4870*I2</f>
        <v>5454.4000000000005</v>
      </c>
      <c r="J88" s="58">
        <v>1750</v>
      </c>
      <c r="K88" s="59">
        <v>2150</v>
      </c>
      <c r="L88" s="58">
        <v>1750</v>
      </c>
      <c r="M88" s="59">
        <v>4000</v>
      </c>
      <c r="N88" s="57">
        <f t="shared" si="13"/>
        <v>5854.4000000000005</v>
      </c>
      <c r="O88" s="4">
        <f t="shared" si="14"/>
        <v>6804.4000000000005</v>
      </c>
      <c r="P88" s="21"/>
      <c r="Q88" s="21"/>
      <c r="R88" s="21"/>
      <c r="S88" s="21"/>
      <c r="T88" s="21"/>
      <c r="U88" s="21"/>
      <c r="V88" s="21"/>
      <c r="W88" s="21"/>
      <c r="X88" s="21"/>
      <c r="Y88" s="21"/>
      <c r="Z88" s="21"/>
      <c r="AH88" s="21"/>
    </row>
    <row r="89" spans="1:34" ht="29" x14ac:dyDescent="0.35">
      <c r="A89" s="64">
        <f t="shared" si="12"/>
        <v>86</v>
      </c>
      <c r="B89" s="25" t="s">
        <v>91</v>
      </c>
      <c r="C89" s="44" t="s">
        <v>143</v>
      </c>
      <c r="D89" s="45" t="s">
        <v>182</v>
      </c>
      <c r="E89" s="45" t="s">
        <v>246</v>
      </c>
      <c r="F89" s="18">
        <v>57</v>
      </c>
      <c r="G89" s="18">
        <v>24</v>
      </c>
      <c r="H89" s="18">
        <v>3.4583333333333335</v>
      </c>
      <c r="I89" s="130">
        <f>I88+(250*I2)</f>
        <v>5734.4000000000005</v>
      </c>
      <c r="J89" s="58">
        <v>1750</v>
      </c>
      <c r="K89" s="59">
        <v>2150</v>
      </c>
      <c r="L89" s="58">
        <v>1750</v>
      </c>
      <c r="M89" s="59">
        <v>4000</v>
      </c>
      <c r="N89" s="57">
        <f t="shared" si="13"/>
        <v>6134.4000000000005</v>
      </c>
      <c r="O89" s="4">
        <f t="shared" si="14"/>
        <v>7084.4000000000005</v>
      </c>
      <c r="P89" s="21"/>
      <c r="Q89" s="21"/>
      <c r="R89" s="21"/>
      <c r="S89" s="21"/>
      <c r="T89" s="21"/>
      <c r="U89" s="21"/>
      <c r="V89" s="21"/>
      <c r="W89" s="21"/>
      <c r="X89" s="21"/>
      <c r="Y89" s="21"/>
      <c r="Z89" s="21"/>
      <c r="AH89" s="21"/>
    </row>
    <row r="90" spans="1:34" ht="29" x14ac:dyDescent="0.35">
      <c r="A90" s="64">
        <f t="shared" si="12"/>
        <v>87</v>
      </c>
      <c r="B90" s="25" t="s">
        <v>91</v>
      </c>
      <c r="C90" s="44" t="s">
        <v>143</v>
      </c>
      <c r="D90" s="45" t="s">
        <v>149</v>
      </c>
      <c r="E90" s="45" t="s">
        <v>247</v>
      </c>
      <c r="F90" s="18">
        <v>58</v>
      </c>
      <c r="G90" s="18">
        <v>44</v>
      </c>
      <c r="H90" s="18">
        <v>11.8125</v>
      </c>
      <c r="I90" s="130">
        <v>4800</v>
      </c>
      <c r="J90" s="58">
        <v>1750</v>
      </c>
      <c r="K90" s="59">
        <v>2150</v>
      </c>
      <c r="L90" s="58">
        <v>1750</v>
      </c>
      <c r="M90" s="59">
        <v>4000</v>
      </c>
      <c r="N90" s="57">
        <f t="shared" si="13"/>
        <v>5200</v>
      </c>
      <c r="O90" s="4">
        <f t="shared" si="14"/>
        <v>6150</v>
      </c>
      <c r="P90" s="21"/>
      <c r="Q90" s="21"/>
      <c r="R90" s="21"/>
      <c r="S90" s="21"/>
      <c r="T90" s="21"/>
      <c r="U90" s="21"/>
      <c r="V90" s="21"/>
      <c r="W90" s="21"/>
      <c r="X90" s="21"/>
      <c r="Y90" s="21"/>
      <c r="Z90" s="21"/>
      <c r="AH90" s="21"/>
    </row>
    <row r="91" spans="1:34" ht="29" x14ac:dyDescent="0.35">
      <c r="A91" s="64">
        <f t="shared" si="12"/>
        <v>88</v>
      </c>
      <c r="B91" s="25" t="s">
        <v>91</v>
      </c>
      <c r="C91" s="44" t="s">
        <v>143</v>
      </c>
      <c r="D91" s="45" t="s">
        <v>149</v>
      </c>
      <c r="E91" s="45" t="s">
        <v>248</v>
      </c>
      <c r="F91" s="18">
        <v>58</v>
      </c>
      <c r="G91" s="18">
        <v>44</v>
      </c>
      <c r="H91" s="18">
        <v>11.8125</v>
      </c>
      <c r="I91" s="130">
        <f>I90+646</f>
        <v>5446</v>
      </c>
      <c r="J91" s="58">
        <v>1750</v>
      </c>
      <c r="K91" s="59">
        <v>2150</v>
      </c>
      <c r="L91" s="58">
        <v>1750</v>
      </c>
      <c r="M91" s="59">
        <v>4000</v>
      </c>
      <c r="N91" s="57">
        <f t="shared" si="13"/>
        <v>5846</v>
      </c>
      <c r="O91" s="4">
        <f t="shared" si="14"/>
        <v>6796</v>
      </c>
      <c r="P91" s="21"/>
      <c r="Q91" s="21"/>
      <c r="R91" s="21"/>
      <c r="S91" s="21"/>
      <c r="T91" s="21"/>
      <c r="U91" s="21"/>
      <c r="V91" s="21"/>
      <c r="W91" s="21"/>
      <c r="X91" s="21"/>
      <c r="Y91" s="21"/>
      <c r="Z91" s="21"/>
      <c r="AH91" s="21"/>
    </row>
    <row r="92" spans="1:34" ht="29" x14ac:dyDescent="0.35">
      <c r="A92" s="64">
        <f t="shared" si="12"/>
        <v>89</v>
      </c>
      <c r="B92" s="25" t="s">
        <v>91</v>
      </c>
      <c r="C92" s="44" t="s">
        <v>143</v>
      </c>
      <c r="D92" s="45" t="s">
        <v>157</v>
      </c>
      <c r="E92" s="45" t="s">
        <v>249</v>
      </c>
      <c r="F92" s="18">
        <v>48</v>
      </c>
      <c r="G92" s="18">
        <v>38</v>
      </c>
      <c r="H92" s="18">
        <v>7.9</v>
      </c>
      <c r="I92" s="130">
        <v>2550</v>
      </c>
      <c r="J92" s="58">
        <v>1750</v>
      </c>
      <c r="K92" s="59">
        <v>2150</v>
      </c>
      <c r="L92" s="58">
        <v>1750</v>
      </c>
      <c r="M92" s="59">
        <v>4000</v>
      </c>
      <c r="N92" s="57">
        <f>I92+400</f>
        <v>2950</v>
      </c>
      <c r="O92" s="4">
        <f t="shared" ref="O92:O93" si="15">N92+950</f>
        <v>3900</v>
      </c>
      <c r="P92" s="21"/>
      <c r="Q92" s="21"/>
      <c r="R92" s="21"/>
      <c r="S92" s="21"/>
      <c r="T92" s="21"/>
      <c r="U92" s="21"/>
      <c r="V92" s="21"/>
      <c r="W92" s="21"/>
      <c r="X92" s="21"/>
      <c r="Y92" s="21"/>
      <c r="Z92" s="21"/>
      <c r="AH92" s="21"/>
    </row>
    <row r="93" spans="1:34" ht="29" x14ac:dyDescent="0.35">
      <c r="A93" s="64">
        <f t="shared" si="12"/>
        <v>90</v>
      </c>
      <c r="B93" s="25" t="s">
        <v>91</v>
      </c>
      <c r="C93" s="44" t="s">
        <v>143</v>
      </c>
      <c r="D93" s="45" t="s">
        <v>157</v>
      </c>
      <c r="E93" s="45" t="s">
        <v>250</v>
      </c>
      <c r="F93" s="18">
        <v>48</v>
      </c>
      <c r="G93" s="18">
        <v>38</v>
      </c>
      <c r="H93" s="18">
        <v>7.9</v>
      </c>
      <c r="I93" s="130">
        <f>I92+1210</f>
        <v>3760</v>
      </c>
      <c r="J93" s="58">
        <v>1750</v>
      </c>
      <c r="K93" s="59">
        <v>2150</v>
      </c>
      <c r="L93" s="58">
        <v>1750</v>
      </c>
      <c r="M93" s="59">
        <v>4000</v>
      </c>
      <c r="N93" s="57">
        <f t="shared" ref="N93" si="16">I93+400</f>
        <v>4160</v>
      </c>
      <c r="O93" s="4">
        <f t="shared" si="15"/>
        <v>5110</v>
      </c>
      <c r="P93" s="21"/>
      <c r="Q93" s="21"/>
      <c r="R93" s="21"/>
      <c r="S93" s="21"/>
      <c r="T93" s="21"/>
      <c r="U93" s="21"/>
      <c r="V93" s="21"/>
      <c r="W93" s="21"/>
      <c r="X93" s="21"/>
      <c r="Y93" s="21"/>
      <c r="Z93" s="21"/>
      <c r="AH93" s="21"/>
    </row>
    <row r="94" spans="1:34" ht="29" x14ac:dyDescent="0.35">
      <c r="A94" s="64">
        <f t="shared" si="12"/>
        <v>91</v>
      </c>
      <c r="B94" s="25" t="s">
        <v>91</v>
      </c>
      <c r="C94" s="44" t="s">
        <v>160</v>
      </c>
      <c r="D94" s="45" t="s">
        <v>144</v>
      </c>
      <c r="E94" s="45" t="s">
        <v>251</v>
      </c>
      <c r="F94" s="18">
        <v>70</v>
      </c>
      <c r="G94" s="18">
        <v>42</v>
      </c>
      <c r="H94" s="18">
        <v>3.0791666666666671</v>
      </c>
      <c r="I94" s="130">
        <f>10619*I2</f>
        <v>11893.28</v>
      </c>
      <c r="J94" s="58">
        <v>1750</v>
      </c>
      <c r="K94" s="59">
        <v>2150</v>
      </c>
      <c r="L94" s="58">
        <v>1750</v>
      </c>
      <c r="M94" s="59">
        <v>4000</v>
      </c>
      <c r="N94" s="57">
        <f t="shared" si="13"/>
        <v>12293.28</v>
      </c>
      <c r="O94" s="4">
        <f t="shared" si="14"/>
        <v>13243.28</v>
      </c>
      <c r="P94" s="21"/>
      <c r="Q94" s="21"/>
      <c r="R94" s="21"/>
      <c r="S94" s="21"/>
      <c r="T94" s="21"/>
      <c r="U94" s="21"/>
      <c r="V94" s="21"/>
      <c r="W94" s="21"/>
      <c r="X94" s="21"/>
      <c r="Y94" s="21"/>
      <c r="Z94" s="21"/>
      <c r="AH94" s="21"/>
    </row>
    <row r="95" spans="1:34" ht="29" x14ac:dyDescent="0.35">
      <c r="A95" s="64">
        <f t="shared" si="12"/>
        <v>92</v>
      </c>
      <c r="B95" s="25" t="s">
        <v>91</v>
      </c>
      <c r="C95" s="44" t="s">
        <v>160</v>
      </c>
      <c r="D95" s="45" t="s">
        <v>161</v>
      </c>
      <c r="E95" s="45" t="s">
        <v>252</v>
      </c>
      <c r="F95" s="18">
        <v>100</v>
      </c>
      <c r="G95" s="18">
        <v>40</v>
      </c>
      <c r="H95" s="18">
        <v>5.8</v>
      </c>
      <c r="I95" s="130">
        <v>5800</v>
      </c>
      <c r="J95" s="58">
        <v>1750</v>
      </c>
      <c r="K95" s="59">
        <v>2150</v>
      </c>
      <c r="L95" s="58">
        <v>1750</v>
      </c>
      <c r="M95" s="59">
        <v>4000</v>
      </c>
      <c r="N95" s="57">
        <f t="shared" si="13"/>
        <v>6200</v>
      </c>
      <c r="O95" s="4">
        <f t="shared" si="14"/>
        <v>7150</v>
      </c>
      <c r="P95" s="21"/>
      <c r="Q95" s="21"/>
      <c r="R95" s="21"/>
      <c r="S95" s="21"/>
      <c r="T95" s="21"/>
      <c r="U95" s="21"/>
      <c r="V95" s="21"/>
      <c r="W95" s="21"/>
      <c r="X95" s="21"/>
      <c r="Y95" s="21"/>
      <c r="Z95" s="21"/>
      <c r="AH95" s="21"/>
    </row>
    <row r="96" spans="1:34" ht="29" x14ac:dyDescent="0.35">
      <c r="A96" s="64">
        <f t="shared" si="12"/>
        <v>93</v>
      </c>
      <c r="B96" s="25" t="s">
        <v>91</v>
      </c>
      <c r="C96" s="44" t="s">
        <v>160</v>
      </c>
      <c r="D96" s="45" t="s">
        <v>161</v>
      </c>
      <c r="E96" s="45" t="s">
        <v>253</v>
      </c>
      <c r="F96" s="18">
        <v>100</v>
      </c>
      <c r="G96" s="18">
        <v>40</v>
      </c>
      <c r="H96" s="18">
        <v>5.8</v>
      </c>
      <c r="I96" s="130">
        <f>I95+460</f>
        <v>6260</v>
      </c>
      <c r="J96" s="58">
        <v>1750</v>
      </c>
      <c r="K96" s="59">
        <v>2150</v>
      </c>
      <c r="L96" s="58">
        <v>1750</v>
      </c>
      <c r="M96" s="59">
        <v>4000</v>
      </c>
      <c r="N96" s="57">
        <f t="shared" si="13"/>
        <v>6660</v>
      </c>
      <c r="O96" s="4">
        <f t="shared" si="14"/>
        <v>7610</v>
      </c>
      <c r="P96" s="21"/>
      <c r="Q96" s="21"/>
      <c r="R96" s="21"/>
      <c r="S96" s="21"/>
      <c r="T96" s="21"/>
      <c r="U96" s="21"/>
      <c r="V96" s="21"/>
      <c r="W96" s="21"/>
      <c r="X96" s="21"/>
      <c r="Y96" s="21"/>
      <c r="Z96" s="21"/>
      <c r="AH96" s="21"/>
    </row>
    <row r="97" spans="1:34" ht="29" x14ac:dyDescent="0.35">
      <c r="A97" s="64">
        <f t="shared" si="12"/>
        <v>94</v>
      </c>
      <c r="B97" s="25" t="s">
        <v>91</v>
      </c>
      <c r="C97" s="44" t="s">
        <v>160</v>
      </c>
      <c r="D97" s="45" t="s">
        <v>182</v>
      </c>
      <c r="E97" s="45" t="s">
        <v>254</v>
      </c>
      <c r="F97" s="18">
        <v>102</v>
      </c>
      <c r="G97" s="18">
        <v>42.9</v>
      </c>
      <c r="H97" s="18">
        <v>3.2495833333333333</v>
      </c>
      <c r="I97" s="130">
        <f>5810*I2</f>
        <v>6507.2000000000007</v>
      </c>
      <c r="J97" s="58">
        <v>1750</v>
      </c>
      <c r="K97" s="59">
        <v>2150</v>
      </c>
      <c r="L97" s="58">
        <v>1750</v>
      </c>
      <c r="M97" s="59">
        <v>4000</v>
      </c>
      <c r="N97" s="57">
        <f t="shared" si="13"/>
        <v>6907.2000000000007</v>
      </c>
      <c r="O97" s="4">
        <f t="shared" si="14"/>
        <v>7857.2000000000007</v>
      </c>
      <c r="P97" s="21"/>
      <c r="Q97" s="21"/>
      <c r="R97" s="340">
        <f>I98-I97</f>
        <v>280</v>
      </c>
      <c r="S97" s="21"/>
      <c r="T97" s="21"/>
      <c r="U97" s="21"/>
      <c r="V97" s="21"/>
      <c r="W97" s="21"/>
      <c r="X97" s="21"/>
      <c r="Y97" s="21"/>
      <c r="Z97" s="21"/>
      <c r="AH97" s="21"/>
    </row>
    <row r="98" spans="1:34" ht="29" x14ac:dyDescent="0.35">
      <c r="A98" s="64">
        <f t="shared" si="12"/>
        <v>95</v>
      </c>
      <c r="B98" s="25" t="s">
        <v>91</v>
      </c>
      <c r="C98" s="44" t="s">
        <v>160</v>
      </c>
      <c r="D98" s="45" t="s">
        <v>182</v>
      </c>
      <c r="E98" s="45" t="s">
        <v>255</v>
      </c>
      <c r="F98" s="18">
        <v>102</v>
      </c>
      <c r="G98" s="18">
        <v>42.9</v>
      </c>
      <c r="H98" s="18">
        <v>3.2495833333333333</v>
      </c>
      <c r="I98" s="130">
        <f>I97+(250*I2)</f>
        <v>6787.2000000000007</v>
      </c>
      <c r="J98" s="58">
        <v>1750</v>
      </c>
      <c r="K98" s="59">
        <v>2150</v>
      </c>
      <c r="L98" s="58">
        <v>1750</v>
      </c>
      <c r="M98" s="59">
        <v>4000</v>
      </c>
      <c r="N98" s="57">
        <f t="shared" si="13"/>
        <v>7187.2000000000007</v>
      </c>
      <c r="O98" s="4">
        <f t="shared" si="14"/>
        <v>8137.2000000000007</v>
      </c>
      <c r="P98" s="21"/>
      <c r="Q98" s="21"/>
      <c r="R98" s="21"/>
      <c r="S98" s="21"/>
      <c r="T98" s="21"/>
      <c r="U98" s="21"/>
      <c r="V98" s="21"/>
      <c r="W98" s="21"/>
      <c r="X98" s="21"/>
      <c r="Y98" s="21"/>
      <c r="Z98" s="21"/>
      <c r="AH98" s="21"/>
    </row>
    <row r="99" spans="1:34" ht="29" x14ac:dyDescent="0.35">
      <c r="A99" s="64">
        <f t="shared" si="12"/>
        <v>96</v>
      </c>
      <c r="B99" s="25" t="s">
        <v>91</v>
      </c>
      <c r="C99" s="44" t="s">
        <v>160</v>
      </c>
      <c r="D99" s="45" t="s">
        <v>153</v>
      </c>
      <c r="E99" s="45" t="s">
        <v>256</v>
      </c>
      <c r="F99" s="18">
        <v>110</v>
      </c>
      <c r="G99" s="18">
        <v>16.8</v>
      </c>
      <c r="H99" s="18">
        <v>2.2999999999999998</v>
      </c>
      <c r="I99" s="130">
        <f>6175*I2</f>
        <v>6916.0000000000009</v>
      </c>
      <c r="J99" s="58">
        <v>1750</v>
      </c>
      <c r="K99" s="59">
        <v>2150</v>
      </c>
      <c r="L99" s="58">
        <v>1750</v>
      </c>
      <c r="M99" s="59">
        <v>4000</v>
      </c>
      <c r="N99" s="57">
        <f t="shared" si="13"/>
        <v>7316.0000000000009</v>
      </c>
      <c r="O99" s="4">
        <f t="shared" si="14"/>
        <v>8266</v>
      </c>
      <c r="P99" s="21"/>
      <c r="Q99" s="21"/>
      <c r="R99" s="21"/>
      <c r="S99" s="21"/>
      <c r="T99" s="21"/>
      <c r="U99" s="21"/>
      <c r="V99" s="21"/>
      <c r="W99" s="21"/>
      <c r="X99" s="21"/>
      <c r="Y99" s="21"/>
      <c r="Z99" s="21"/>
      <c r="AH99" s="21"/>
    </row>
    <row r="100" spans="1:34" ht="29" x14ac:dyDescent="0.35">
      <c r="A100" s="64">
        <f t="shared" si="12"/>
        <v>97</v>
      </c>
      <c r="B100" s="25" t="s">
        <v>91</v>
      </c>
      <c r="C100" s="44" t="s">
        <v>160</v>
      </c>
      <c r="D100" s="45" t="s">
        <v>153</v>
      </c>
      <c r="E100" s="45" t="s">
        <v>257</v>
      </c>
      <c r="F100" s="18">
        <v>110</v>
      </c>
      <c r="G100" s="18">
        <v>16.8</v>
      </c>
      <c r="H100" s="18">
        <v>2.2999999999999998</v>
      </c>
      <c r="I100" s="130">
        <f>I99+(1065*I2)</f>
        <v>8108.8000000000011</v>
      </c>
      <c r="J100" s="58">
        <v>1750</v>
      </c>
      <c r="K100" s="59">
        <v>2150</v>
      </c>
      <c r="L100" s="58">
        <v>1750</v>
      </c>
      <c r="M100" s="59">
        <v>4000</v>
      </c>
      <c r="N100" s="57">
        <f t="shared" si="13"/>
        <v>8508.8000000000011</v>
      </c>
      <c r="O100" s="4">
        <f t="shared" si="14"/>
        <v>9458.8000000000011</v>
      </c>
      <c r="P100" s="21"/>
      <c r="Q100" s="21"/>
      <c r="R100" s="21"/>
      <c r="S100" s="21"/>
      <c r="T100" s="21"/>
      <c r="U100" s="21"/>
      <c r="V100" s="21"/>
      <c r="W100" s="21"/>
      <c r="X100" s="21"/>
      <c r="Y100" s="21"/>
      <c r="Z100" s="21"/>
      <c r="AH100" s="21"/>
    </row>
    <row r="101" spans="1:34" ht="29" x14ac:dyDescent="0.35">
      <c r="A101" s="64">
        <f t="shared" si="12"/>
        <v>98</v>
      </c>
      <c r="B101" s="25" t="s">
        <v>91</v>
      </c>
      <c r="C101" s="44" t="s">
        <v>179</v>
      </c>
      <c r="D101" s="45" t="s">
        <v>144</v>
      </c>
      <c r="E101" s="45" t="s">
        <v>258</v>
      </c>
      <c r="F101" s="18">
        <v>120</v>
      </c>
      <c r="G101" s="18">
        <v>28</v>
      </c>
      <c r="H101" s="18">
        <v>3.4</v>
      </c>
      <c r="I101" s="130">
        <f>11069*I2</f>
        <v>12397.28</v>
      </c>
      <c r="J101" s="58">
        <v>1750</v>
      </c>
      <c r="K101" s="59">
        <v>2150</v>
      </c>
      <c r="L101" s="58">
        <v>1750</v>
      </c>
      <c r="M101" s="59">
        <v>4000</v>
      </c>
      <c r="N101" s="57">
        <f>I101+400</f>
        <v>12797.28</v>
      </c>
      <c r="O101" s="4">
        <f>N101+950</f>
        <v>13747.28</v>
      </c>
      <c r="P101" s="21"/>
      <c r="Q101" s="21"/>
      <c r="R101" s="21"/>
      <c r="S101" s="21"/>
      <c r="T101" s="21"/>
      <c r="U101" s="21"/>
      <c r="V101" s="21"/>
      <c r="W101" s="21"/>
      <c r="X101" s="21"/>
      <c r="Y101" s="21"/>
      <c r="Z101" s="21"/>
      <c r="AH101" s="21"/>
    </row>
    <row r="102" spans="1:34" x14ac:dyDescent="0.35">
      <c r="A102" s="64">
        <f t="shared" si="12"/>
        <v>99</v>
      </c>
      <c r="B102" s="9" t="s">
        <v>92</v>
      </c>
      <c r="C102" s="44" t="s">
        <v>143</v>
      </c>
      <c r="D102" s="45" t="s">
        <v>153</v>
      </c>
      <c r="E102" s="45" t="s">
        <v>259</v>
      </c>
      <c r="F102" s="18" t="s">
        <v>146</v>
      </c>
      <c r="G102" s="18">
        <v>34.299999999999997</v>
      </c>
      <c r="H102" s="18">
        <v>2</v>
      </c>
      <c r="I102" s="131">
        <f>2741*I2</f>
        <v>3069.92</v>
      </c>
      <c r="J102" s="58">
        <v>1750</v>
      </c>
      <c r="K102" s="59">
        <v>2150</v>
      </c>
      <c r="L102" s="58">
        <v>1750</v>
      </c>
      <c r="M102" s="59">
        <v>4000</v>
      </c>
      <c r="N102" s="57">
        <f t="shared" ref="N102:N117" si="17">I102+J102</f>
        <v>4819.92</v>
      </c>
      <c r="O102" s="4">
        <f t="shared" ref="O102:O117" si="18">I102+K102</f>
        <v>5219.92</v>
      </c>
    </row>
    <row r="103" spans="1:34" x14ac:dyDescent="0.35">
      <c r="A103" s="64">
        <f t="shared" si="12"/>
        <v>100</v>
      </c>
      <c r="B103" s="9" t="s">
        <v>92</v>
      </c>
      <c r="C103" s="44" t="s">
        <v>143</v>
      </c>
      <c r="D103" s="45" t="s">
        <v>161</v>
      </c>
      <c r="E103" s="45" t="s">
        <v>260</v>
      </c>
      <c r="F103" s="18" t="s">
        <v>146</v>
      </c>
      <c r="G103" s="18">
        <v>48</v>
      </c>
      <c r="H103" s="18">
        <v>5</v>
      </c>
      <c r="I103" s="130">
        <v>2350</v>
      </c>
      <c r="J103" s="58">
        <v>1750</v>
      </c>
      <c r="K103" s="59">
        <v>2150</v>
      </c>
      <c r="L103" s="58">
        <v>1750</v>
      </c>
      <c r="M103" s="59">
        <v>4000</v>
      </c>
      <c r="N103" s="57">
        <f t="shared" si="17"/>
        <v>4100</v>
      </c>
      <c r="O103" s="4">
        <f t="shared" si="18"/>
        <v>4500</v>
      </c>
    </row>
    <row r="104" spans="1:34" x14ac:dyDescent="0.35">
      <c r="A104" s="64">
        <f t="shared" si="12"/>
        <v>101</v>
      </c>
      <c r="B104" s="9" t="s">
        <v>92</v>
      </c>
      <c r="C104" s="44" t="s">
        <v>160</v>
      </c>
      <c r="D104" s="45" t="s">
        <v>144</v>
      </c>
      <c r="E104" s="45" t="s">
        <v>261</v>
      </c>
      <c r="F104" s="18" t="s">
        <v>146</v>
      </c>
      <c r="G104" s="18">
        <v>64</v>
      </c>
      <c r="H104" s="18">
        <v>5</v>
      </c>
      <c r="I104" s="130">
        <f>5482*I2</f>
        <v>6139.84</v>
      </c>
      <c r="J104" s="58">
        <v>1750</v>
      </c>
      <c r="K104" s="59">
        <v>2150</v>
      </c>
      <c r="L104" s="58">
        <v>1750</v>
      </c>
      <c r="M104" s="59">
        <v>4000</v>
      </c>
      <c r="N104" s="57">
        <f>I104+J104</f>
        <v>7889.84</v>
      </c>
      <c r="O104" s="4">
        <f>I104+K104</f>
        <v>8289.84</v>
      </c>
    </row>
    <row r="105" spans="1:34" s="3" customFormat="1" ht="29" x14ac:dyDescent="0.35">
      <c r="A105" s="64">
        <f t="shared" si="12"/>
        <v>102</v>
      </c>
      <c r="B105" s="11" t="s">
        <v>262</v>
      </c>
      <c r="C105" s="44" t="s">
        <v>146</v>
      </c>
      <c r="D105" s="45" t="s">
        <v>263</v>
      </c>
      <c r="E105" s="45" t="s">
        <v>264</v>
      </c>
      <c r="F105" s="18" t="s">
        <v>146</v>
      </c>
      <c r="G105" s="18" t="s">
        <v>146</v>
      </c>
      <c r="H105" s="18" t="s">
        <v>146</v>
      </c>
      <c r="I105" s="130">
        <v>90.3</v>
      </c>
      <c r="J105" s="58">
        <v>0</v>
      </c>
      <c r="K105" s="59">
        <v>0</v>
      </c>
      <c r="L105" s="57" t="s">
        <v>147</v>
      </c>
      <c r="M105" s="59" t="s">
        <v>147</v>
      </c>
      <c r="N105" s="57">
        <f>I105+J105</f>
        <v>90.3</v>
      </c>
      <c r="O105" s="4">
        <f t="shared" si="18"/>
        <v>90.3</v>
      </c>
      <c r="P105" s="473"/>
      <c r="Q105" s="473"/>
      <c r="R105" s="473"/>
      <c r="S105" s="473"/>
      <c r="T105" s="473"/>
      <c r="U105" s="473"/>
      <c r="V105" s="473"/>
      <c r="W105" s="473"/>
      <c r="X105" s="473"/>
      <c r="Y105" s="473"/>
      <c r="AH105"/>
    </row>
    <row r="106" spans="1:34" s="3" customFormat="1" ht="29" x14ac:dyDescent="0.35">
      <c r="A106" s="64">
        <f t="shared" si="12"/>
        <v>103</v>
      </c>
      <c r="B106" s="11" t="s">
        <v>262</v>
      </c>
      <c r="C106" s="44" t="s">
        <v>146</v>
      </c>
      <c r="D106" s="45" t="s">
        <v>265</v>
      </c>
      <c r="E106" s="45" t="s">
        <v>266</v>
      </c>
      <c r="F106" s="18" t="s">
        <v>146</v>
      </c>
      <c r="G106" s="18" t="s">
        <v>146</v>
      </c>
      <c r="H106" s="18" t="s">
        <v>146</v>
      </c>
      <c r="I106" s="130">
        <v>22.5</v>
      </c>
      <c r="J106" s="58">
        <v>0</v>
      </c>
      <c r="K106" s="59">
        <v>0</v>
      </c>
      <c r="L106" s="57" t="s">
        <v>147</v>
      </c>
      <c r="M106" s="59" t="s">
        <v>147</v>
      </c>
      <c r="N106" s="57">
        <f t="shared" ref="N106:N108" si="19">I106+J106</f>
        <v>22.5</v>
      </c>
      <c r="O106" s="4">
        <f t="shared" ref="O106:O108" si="20">I106+K106</f>
        <v>22.5</v>
      </c>
      <c r="P106" s="463"/>
      <c r="Q106" s="463"/>
      <c r="R106" s="463"/>
      <c r="S106" s="463"/>
      <c r="T106" s="463"/>
      <c r="U106" s="463"/>
      <c r="V106" s="463"/>
      <c r="W106" s="463"/>
      <c r="X106" s="463"/>
      <c r="Y106" s="463"/>
      <c r="AH106"/>
    </row>
    <row r="107" spans="1:34" s="3" customFormat="1" ht="29" x14ac:dyDescent="0.35">
      <c r="A107" s="64">
        <f t="shared" si="12"/>
        <v>104</v>
      </c>
      <c r="B107" s="11" t="s">
        <v>262</v>
      </c>
      <c r="C107" s="44" t="s">
        <v>146</v>
      </c>
      <c r="D107" s="45" t="s">
        <v>265</v>
      </c>
      <c r="E107" s="45" t="s">
        <v>267</v>
      </c>
      <c r="F107" s="18" t="s">
        <v>146</v>
      </c>
      <c r="G107" s="18" t="s">
        <v>146</v>
      </c>
      <c r="H107" s="18" t="s">
        <v>146</v>
      </c>
      <c r="I107" s="130">
        <v>22</v>
      </c>
      <c r="J107" s="58">
        <v>0</v>
      </c>
      <c r="K107" s="59">
        <v>0</v>
      </c>
      <c r="L107" s="57" t="s">
        <v>147</v>
      </c>
      <c r="M107" s="59" t="s">
        <v>147</v>
      </c>
      <c r="N107" s="57">
        <f t="shared" si="19"/>
        <v>22</v>
      </c>
      <c r="O107" s="4">
        <f t="shared" si="20"/>
        <v>22</v>
      </c>
      <c r="P107" s="463"/>
      <c r="Q107" s="463"/>
      <c r="R107" s="463"/>
      <c r="S107" s="463"/>
      <c r="T107" s="463"/>
      <c r="U107" s="463"/>
      <c r="V107" s="463"/>
      <c r="W107" s="463"/>
      <c r="X107" s="463"/>
      <c r="Y107" s="463"/>
      <c r="AH107"/>
    </row>
    <row r="108" spans="1:34" s="3" customFormat="1" ht="29" x14ac:dyDescent="0.35">
      <c r="A108" s="64">
        <f t="shared" si="12"/>
        <v>105</v>
      </c>
      <c r="B108" s="11" t="s">
        <v>262</v>
      </c>
      <c r="C108" s="44" t="s">
        <v>146</v>
      </c>
      <c r="D108" s="45" t="s">
        <v>161</v>
      </c>
      <c r="E108" s="45" t="s">
        <v>268</v>
      </c>
      <c r="F108" s="18" t="s">
        <v>146</v>
      </c>
      <c r="G108" s="18" t="s">
        <v>146</v>
      </c>
      <c r="H108" s="18" t="s">
        <v>146</v>
      </c>
      <c r="I108" s="130">
        <v>23</v>
      </c>
      <c r="J108" s="58">
        <v>0</v>
      </c>
      <c r="K108" s="59">
        <v>0</v>
      </c>
      <c r="L108" s="57" t="s">
        <v>147</v>
      </c>
      <c r="M108" s="59" t="s">
        <v>147</v>
      </c>
      <c r="N108" s="57">
        <f t="shared" si="19"/>
        <v>23</v>
      </c>
      <c r="O108" s="4">
        <f t="shared" si="20"/>
        <v>23</v>
      </c>
      <c r="P108" s="463"/>
      <c r="Q108" s="463"/>
      <c r="R108" s="463"/>
      <c r="S108" s="463"/>
      <c r="T108" s="463"/>
      <c r="U108" s="463"/>
      <c r="V108" s="463"/>
      <c r="W108" s="463"/>
      <c r="X108" s="463"/>
      <c r="Y108" s="463"/>
      <c r="AH108"/>
    </row>
    <row r="109" spans="1:34" s="3" customFormat="1" ht="29" x14ac:dyDescent="0.35">
      <c r="A109" s="64">
        <f t="shared" si="12"/>
        <v>106</v>
      </c>
      <c r="B109" s="10" t="s">
        <v>94</v>
      </c>
      <c r="C109" s="44" t="s">
        <v>146</v>
      </c>
      <c r="D109" s="45" t="s">
        <v>269</v>
      </c>
      <c r="E109" s="45" t="s">
        <v>270</v>
      </c>
      <c r="F109" s="18" t="s">
        <v>146</v>
      </c>
      <c r="G109" s="18" t="s">
        <v>146</v>
      </c>
      <c r="H109" s="18" t="s">
        <v>146</v>
      </c>
      <c r="I109" s="130">
        <v>1595</v>
      </c>
      <c r="J109" s="58">
        <v>200</v>
      </c>
      <c r="K109" s="59">
        <v>400</v>
      </c>
      <c r="L109" s="57" t="s">
        <v>147</v>
      </c>
      <c r="M109" s="59" t="s">
        <v>147</v>
      </c>
      <c r="N109" s="57">
        <f t="shared" si="17"/>
        <v>1795</v>
      </c>
      <c r="O109" s="4">
        <f t="shared" si="18"/>
        <v>1995</v>
      </c>
      <c r="P109" s="463"/>
      <c r="Q109" s="463"/>
      <c r="R109" s="463"/>
      <c r="S109" s="463"/>
      <c r="T109" s="463"/>
      <c r="U109" s="463"/>
      <c r="V109" s="463"/>
      <c r="W109" s="463"/>
      <c r="X109" s="463"/>
      <c r="Y109" s="463"/>
    </row>
    <row r="110" spans="1:34" s="3" customFormat="1" ht="29" x14ac:dyDescent="0.35">
      <c r="A110" s="64">
        <f t="shared" si="12"/>
        <v>107</v>
      </c>
      <c r="B110" s="10" t="s">
        <v>94</v>
      </c>
      <c r="C110" s="44" t="s">
        <v>146</v>
      </c>
      <c r="D110" s="45" t="s">
        <v>271</v>
      </c>
      <c r="E110" s="45" t="s">
        <v>272</v>
      </c>
      <c r="F110" s="18" t="s">
        <v>146</v>
      </c>
      <c r="G110" s="18" t="s">
        <v>146</v>
      </c>
      <c r="H110" s="18" t="s">
        <v>146</v>
      </c>
      <c r="I110" s="130">
        <v>2977</v>
      </c>
      <c r="J110" s="58">
        <v>200</v>
      </c>
      <c r="K110" s="59">
        <v>400</v>
      </c>
      <c r="L110" s="57" t="s">
        <v>147</v>
      </c>
      <c r="M110" s="59" t="s">
        <v>147</v>
      </c>
      <c r="N110" s="57">
        <f t="shared" si="17"/>
        <v>3177</v>
      </c>
      <c r="O110" s="4">
        <f t="shared" si="18"/>
        <v>3377</v>
      </c>
      <c r="P110" s="7"/>
      <c r="Q110" s="7"/>
      <c r="R110" s="7"/>
      <c r="S110" s="7"/>
      <c r="T110" s="7"/>
      <c r="U110" s="7"/>
      <c r="V110" s="7"/>
      <c r="W110" s="7"/>
      <c r="X110" s="7"/>
      <c r="Y110" s="7"/>
    </row>
    <row r="111" spans="1:34" s="3" customFormat="1" ht="29" x14ac:dyDescent="0.35">
      <c r="A111" s="64">
        <f t="shared" si="12"/>
        <v>108</v>
      </c>
      <c r="B111" s="10" t="s">
        <v>94</v>
      </c>
      <c r="C111" s="44" t="s">
        <v>146</v>
      </c>
      <c r="D111" s="45" t="s">
        <v>269</v>
      </c>
      <c r="E111" s="45" t="s">
        <v>273</v>
      </c>
      <c r="F111" s="18" t="s">
        <v>146</v>
      </c>
      <c r="G111" s="18" t="s">
        <v>146</v>
      </c>
      <c r="H111" s="18" t="s">
        <v>146</v>
      </c>
      <c r="I111" s="130">
        <v>2375</v>
      </c>
      <c r="J111" s="58">
        <v>200</v>
      </c>
      <c r="K111" s="59">
        <v>400</v>
      </c>
      <c r="L111" s="57" t="s">
        <v>147</v>
      </c>
      <c r="M111" s="59" t="s">
        <v>147</v>
      </c>
      <c r="N111" s="57">
        <f t="shared" si="17"/>
        <v>2575</v>
      </c>
      <c r="O111" s="4">
        <f t="shared" si="18"/>
        <v>2775</v>
      </c>
      <c r="P111" s="7"/>
      <c r="Q111" s="7"/>
      <c r="R111" s="7"/>
      <c r="S111" s="7"/>
      <c r="T111" s="7"/>
      <c r="U111" s="7"/>
      <c r="V111" s="7"/>
      <c r="W111" s="7"/>
      <c r="X111" s="7"/>
      <c r="Y111" s="7"/>
    </row>
    <row r="112" spans="1:34" s="3" customFormat="1" ht="29" x14ac:dyDescent="0.35">
      <c r="A112" s="64">
        <f t="shared" si="12"/>
        <v>109</v>
      </c>
      <c r="B112" s="10" t="s">
        <v>94</v>
      </c>
      <c r="C112" s="44" t="s">
        <v>146</v>
      </c>
      <c r="D112" s="45" t="s">
        <v>271</v>
      </c>
      <c r="E112" s="45" t="s">
        <v>274</v>
      </c>
      <c r="F112" s="18" t="s">
        <v>146</v>
      </c>
      <c r="G112" s="18" t="s">
        <v>146</v>
      </c>
      <c r="H112" s="18" t="s">
        <v>146</v>
      </c>
      <c r="I112" s="130">
        <v>3478</v>
      </c>
      <c r="J112" s="58">
        <v>200</v>
      </c>
      <c r="K112" s="59">
        <v>400</v>
      </c>
      <c r="L112" s="57" t="s">
        <v>147</v>
      </c>
      <c r="M112" s="59" t="s">
        <v>147</v>
      </c>
      <c r="N112" s="57">
        <f t="shared" si="17"/>
        <v>3678</v>
      </c>
      <c r="O112" s="4">
        <f t="shared" si="18"/>
        <v>3878</v>
      </c>
      <c r="P112" s="7"/>
      <c r="Q112" s="7"/>
      <c r="R112" s="7"/>
      <c r="S112" s="7"/>
      <c r="T112" s="7"/>
      <c r="U112" s="7"/>
      <c r="V112" s="7"/>
      <c r="W112" s="7"/>
      <c r="X112" s="7"/>
      <c r="Y112" s="7"/>
    </row>
    <row r="113" spans="1:25" s="3" customFormat="1" ht="29" x14ac:dyDescent="0.35">
      <c r="A113" s="64">
        <f t="shared" si="12"/>
        <v>110</v>
      </c>
      <c r="B113" s="10" t="s">
        <v>94</v>
      </c>
      <c r="C113" s="44" t="s">
        <v>146</v>
      </c>
      <c r="D113" s="45" t="s">
        <v>269</v>
      </c>
      <c r="E113" s="45" t="s">
        <v>275</v>
      </c>
      <c r="F113" s="18" t="s">
        <v>146</v>
      </c>
      <c r="G113" s="18" t="s">
        <v>146</v>
      </c>
      <c r="H113" s="18" t="s">
        <v>146</v>
      </c>
      <c r="I113" s="130">
        <v>2805</v>
      </c>
      <c r="J113" s="58">
        <v>200</v>
      </c>
      <c r="K113" s="59">
        <v>400</v>
      </c>
      <c r="L113" s="57" t="s">
        <v>147</v>
      </c>
      <c r="M113" s="59" t="s">
        <v>147</v>
      </c>
      <c r="N113" s="57">
        <f t="shared" si="17"/>
        <v>3005</v>
      </c>
      <c r="O113" s="4">
        <f t="shared" si="18"/>
        <v>3205</v>
      </c>
      <c r="P113" s="7"/>
      <c r="Q113" s="7"/>
      <c r="R113" s="7"/>
      <c r="S113" s="7"/>
      <c r="T113" s="7"/>
      <c r="U113" s="7"/>
      <c r="V113" s="7"/>
      <c r="W113" s="7"/>
      <c r="X113" s="7"/>
      <c r="Y113" s="7"/>
    </row>
    <row r="114" spans="1:25" s="3" customFormat="1" ht="29" x14ac:dyDescent="0.35">
      <c r="A114" s="64">
        <f t="shared" si="12"/>
        <v>111</v>
      </c>
      <c r="B114" s="10" t="s">
        <v>94</v>
      </c>
      <c r="C114" s="44" t="s">
        <v>146</v>
      </c>
      <c r="D114" s="45" t="s">
        <v>271</v>
      </c>
      <c r="E114" s="45" t="s">
        <v>276</v>
      </c>
      <c r="F114" s="18" t="s">
        <v>146</v>
      </c>
      <c r="G114" s="18" t="s">
        <v>146</v>
      </c>
      <c r="H114" s="18" t="s">
        <v>146</v>
      </c>
      <c r="I114" s="130">
        <v>2899</v>
      </c>
      <c r="J114" s="58">
        <v>200</v>
      </c>
      <c r="K114" s="59">
        <v>400</v>
      </c>
      <c r="L114" s="57" t="s">
        <v>147</v>
      </c>
      <c r="M114" s="59" t="s">
        <v>147</v>
      </c>
      <c r="N114" s="57">
        <f t="shared" si="17"/>
        <v>3099</v>
      </c>
      <c r="O114" s="4">
        <f t="shared" si="18"/>
        <v>3299</v>
      </c>
      <c r="P114" s="7"/>
      <c r="Q114" s="7"/>
      <c r="R114" s="7"/>
      <c r="S114" s="7"/>
      <c r="T114" s="7"/>
      <c r="U114" s="7"/>
      <c r="V114" s="7"/>
      <c r="W114" s="7"/>
      <c r="X114" s="7"/>
      <c r="Y114" s="7"/>
    </row>
    <row r="115" spans="1:25" s="3" customFormat="1" ht="29" x14ac:dyDescent="0.35">
      <c r="A115" s="64">
        <f t="shared" si="12"/>
        <v>112</v>
      </c>
      <c r="B115" s="10" t="s">
        <v>94</v>
      </c>
      <c r="C115" s="44" t="s">
        <v>146</v>
      </c>
      <c r="D115" s="45" t="s">
        <v>277</v>
      </c>
      <c r="E115" s="45" t="s">
        <v>278</v>
      </c>
      <c r="F115" s="18" t="s">
        <v>146</v>
      </c>
      <c r="G115" s="18" t="s">
        <v>146</v>
      </c>
      <c r="H115" s="18" t="s">
        <v>146</v>
      </c>
      <c r="I115" s="130">
        <v>489</v>
      </c>
      <c r="J115" s="58">
        <v>200</v>
      </c>
      <c r="K115" s="59">
        <v>400</v>
      </c>
      <c r="L115" s="57" t="s">
        <v>147</v>
      </c>
      <c r="M115" s="59" t="s">
        <v>147</v>
      </c>
      <c r="N115" s="57">
        <f>I115+J115</f>
        <v>689</v>
      </c>
      <c r="O115" s="4">
        <f t="shared" si="18"/>
        <v>889</v>
      </c>
      <c r="P115" s="7"/>
      <c r="Q115" s="7"/>
      <c r="R115" s="7"/>
      <c r="S115" s="7"/>
      <c r="T115" s="7"/>
      <c r="U115" s="7"/>
      <c r="V115" s="7"/>
      <c r="W115" s="7"/>
      <c r="X115" s="7"/>
      <c r="Y115" s="7"/>
    </row>
    <row r="116" spans="1:25" s="3" customFormat="1" ht="29" x14ac:dyDescent="0.35">
      <c r="A116" s="64">
        <f t="shared" si="12"/>
        <v>113</v>
      </c>
      <c r="B116" s="10" t="s">
        <v>94</v>
      </c>
      <c r="C116" s="44" t="s">
        <v>146</v>
      </c>
      <c r="D116" s="45" t="s">
        <v>279</v>
      </c>
      <c r="E116" s="45" t="s">
        <v>280</v>
      </c>
      <c r="F116" s="18" t="s">
        <v>146</v>
      </c>
      <c r="G116" s="18" t="s">
        <v>146</v>
      </c>
      <c r="H116" s="18" t="s">
        <v>146</v>
      </c>
      <c r="I116" s="130">
        <v>427</v>
      </c>
      <c r="J116" s="58">
        <v>200</v>
      </c>
      <c r="K116" s="59">
        <v>400</v>
      </c>
      <c r="L116" s="57" t="s">
        <v>147</v>
      </c>
      <c r="M116" s="59" t="s">
        <v>147</v>
      </c>
      <c r="N116" s="57">
        <f t="shared" si="17"/>
        <v>627</v>
      </c>
      <c r="O116" s="4">
        <f t="shared" si="18"/>
        <v>827</v>
      </c>
      <c r="P116" s="463"/>
      <c r="Q116" s="463"/>
      <c r="R116" s="463"/>
      <c r="S116" s="463"/>
      <c r="T116" s="463"/>
      <c r="U116" s="463"/>
      <c r="V116" s="463"/>
      <c r="W116" s="463"/>
      <c r="X116" s="463"/>
      <c r="Y116" s="463"/>
    </row>
    <row r="117" spans="1:25" s="3" customFormat="1" ht="29" x14ac:dyDescent="0.35">
      <c r="A117" s="64">
        <f t="shared" si="12"/>
        <v>114</v>
      </c>
      <c r="B117" s="10" t="s">
        <v>94</v>
      </c>
      <c r="C117" s="44" t="s">
        <v>146</v>
      </c>
      <c r="D117" s="45" t="s">
        <v>161</v>
      </c>
      <c r="E117" s="45" t="s">
        <v>281</v>
      </c>
      <c r="F117" s="18" t="s">
        <v>146</v>
      </c>
      <c r="G117" s="18" t="s">
        <v>146</v>
      </c>
      <c r="H117" s="18" t="s">
        <v>146</v>
      </c>
      <c r="I117" s="130">
        <v>460</v>
      </c>
      <c r="J117" s="58">
        <v>200</v>
      </c>
      <c r="K117" s="59">
        <v>400</v>
      </c>
      <c r="L117" s="57" t="s">
        <v>147</v>
      </c>
      <c r="M117" s="59" t="s">
        <v>147</v>
      </c>
      <c r="N117" s="57">
        <f t="shared" si="17"/>
        <v>660</v>
      </c>
      <c r="O117" s="4">
        <f t="shared" si="18"/>
        <v>860</v>
      </c>
      <c r="P117" s="7"/>
      <c r="Q117" s="7"/>
      <c r="R117" s="7"/>
      <c r="S117" s="7"/>
      <c r="T117" s="7"/>
      <c r="U117" s="7"/>
      <c r="V117" s="7"/>
      <c r="W117" s="7"/>
      <c r="X117" s="7"/>
      <c r="Y117" s="7"/>
    </row>
    <row r="118" spans="1:25" s="3" customFormat="1" ht="29" x14ac:dyDescent="0.35">
      <c r="A118" s="64">
        <f t="shared" si="12"/>
        <v>115</v>
      </c>
      <c r="B118" s="10" t="s">
        <v>94</v>
      </c>
      <c r="C118" s="44" t="s">
        <v>146</v>
      </c>
      <c r="D118" s="45" t="s">
        <v>263</v>
      </c>
      <c r="E118" s="45" t="s">
        <v>282</v>
      </c>
      <c r="F118" s="18" t="s">
        <v>146</v>
      </c>
      <c r="G118" s="18" t="s">
        <v>146</v>
      </c>
      <c r="H118" s="18" t="s">
        <v>146</v>
      </c>
      <c r="I118" s="130">
        <v>525</v>
      </c>
      <c r="J118" s="58">
        <v>200</v>
      </c>
      <c r="K118" s="59">
        <v>400</v>
      </c>
      <c r="L118" s="57" t="s">
        <v>147</v>
      </c>
      <c r="M118" s="59" t="s">
        <v>147</v>
      </c>
      <c r="N118" s="57">
        <f t="shared" ref="N118" si="21">I118+J118</f>
        <v>725</v>
      </c>
      <c r="O118" s="4">
        <f t="shared" ref="O118" si="22">I118+K118</f>
        <v>925</v>
      </c>
      <c r="P118" s="7"/>
      <c r="Q118" s="7"/>
      <c r="R118" s="7"/>
      <c r="S118" s="7"/>
      <c r="T118" s="7"/>
      <c r="U118" s="7"/>
      <c r="V118" s="7"/>
      <c r="W118" s="7"/>
      <c r="X118" s="7"/>
      <c r="Y118" s="7"/>
    </row>
    <row r="119" spans="1:25" s="3" customFormat="1" ht="29" x14ac:dyDescent="0.35">
      <c r="A119" s="64">
        <f t="shared" si="12"/>
        <v>116</v>
      </c>
      <c r="B119" s="10" t="s">
        <v>94</v>
      </c>
      <c r="C119" s="44" t="s">
        <v>146</v>
      </c>
      <c r="D119" s="45" t="s">
        <v>269</v>
      </c>
      <c r="E119" s="45" t="s">
        <v>283</v>
      </c>
      <c r="F119" s="18" t="s">
        <v>146</v>
      </c>
      <c r="G119" s="18" t="s">
        <v>146</v>
      </c>
      <c r="H119" s="18" t="s">
        <v>146</v>
      </c>
      <c r="I119" s="130">
        <v>1210</v>
      </c>
      <c r="J119" s="58">
        <v>200</v>
      </c>
      <c r="K119" s="59">
        <v>400</v>
      </c>
      <c r="L119" s="57" t="s">
        <v>147</v>
      </c>
      <c r="M119" s="59" t="s">
        <v>147</v>
      </c>
      <c r="N119" s="57">
        <f>I119+J119</f>
        <v>1410</v>
      </c>
      <c r="O119" s="4">
        <f>I119+K119</f>
        <v>1610</v>
      </c>
      <c r="P119" s="463"/>
      <c r="Q119" s="463"/>
      <c r="R119" s="463"/>
      <c r="S119" s="463"/>
      <c r="T119" s="463"/>
      <c r="U119" s="463"/>
      <c r="V119" s="463"/>
      <c r="W119" s="463"/>
      <c r="X119" s="463"/>
      <c r="Y119" s="463"/>
    </row>
    <row r="120" spans="1:25" s="3" customFormat="1" x14ac:dyDescent="0.35">
      <c r="A120" s="64">
        <f t="shared" si="12"/>
        <v>117</v>
      </c>
      <c r="B120" s="12" t="s">
        <v>95</v>
      </c>
      <c r="C120" s="44" t="s">
        <v>284</v>
      </c>
      <c r="D120" s="45" t="s">
        <v>157</v>
      </c>
      <c r="E120" s="45" t="s">
        <v>285</v>
      </c>
      <c r="F120" s="18">
        <v>5.4</v>
      </c>
      <c r="G120" s="18"/>
      <c r="H120" s="18" t="s">
        <v>146</v>
      </c>
      <c r="I120" s="130">
        <v>2393</v>
      </c>
      <c r="J120" s="58">
        <v>0</v>
      </c>
      <c r="K120" s="59">
        <v>0</v>
      </c>
      <c r="L120" s="57" t="s">
        <v>147</v>
      </c>
      <c r="M120" s="59" t="s">
        <v>147</v>
      </c>
      <c r="N120" s="57">
        <f t="shared" ref="N120:N132" si="23">I120+J120</f>
        <v>2393</v>
      </c>
      <c r="O120" s="4">
        <f t="shared" ref="O120:O132" si="24">I120+K120</f>
        <v>2393</v>
      </c>
      <c r="P120" s="7"/>
      <c r="Q120" s="7"/>
      <c r="R120" s="7"/>
      <c r="S120" s="7"/>
      <c r="T120" s="7"/>
      <c r="U120" s="7"/>
      <c r="V120" s="7"/>
      <c r="W120" s="7"/>
      <c r="X120" s="7"/>
      <c r="Y120" s="7"/>
    </row>
    <row r="121" spans="1:25" s="3" customFormat="1" x14ac:dyDescent="0.35">
      <c r="A121" s="64">
        <f t="shared" si="12"/>
        <v>118</v>
      </c>
      <c r="B121" s="318" t="s">
        <v>96</v>
      </c>
      <c r="C121" s="44" t="s">
        <v>286</v>
      </c>
      <c r="D121" s="45" t="s">
        <v>287</v>
      </c>
      <c r="E121" s="45" t="s">
        <v>288</v>
      </c>
      <c r="F121" s="18">
        <v>1.5</v>
      </c>
      <c r="G121" s="18" t="s">
        <v>146</v>
      </c>
      <c r="H121" s="18">
        <v>1.4166666666666667</v>
      </c>
      <c r="I121" s="130">
        <v>32</v>
      </c>
      <c r="J121" s="58">
        <v>0</v>
      </c>
      <c r="K121" s="59">
        <v>0</v>
      </c>
      <c r="L121" s="57" t="s">
        <v>147</v>
      </c>
      <c r="M121" s="59" t="s">
        <v>147</v>
      </c>
      <c r="N121" s="337">
        <f t="shared" si="23"/>
        <v>32</v>
      </c>
      <c r="O121" s="338">
        <f t="shared" si="24"/>
        <v>32</v>
      </c>
      <c r="P121" s="463"/>
      <c r="Q121" s="463"/>
      <c r="R121" s="463"/>
      <c r="S121" s="463"/>
      <c r="T121" s="463"/>
      <c r="U121" s="463"/>
      <c r="V121" s="463"/>
      <c r="W121" s="463"/>
      <c r="X121" s="463"/>
      <c r="Y121" s="463"/>
    </row>
    <row r="122" spans="1:25" s="3" customFormat="1" x14ac:dyDescent="0.35">
      <c r="A122" s="64">
        <f t="shared" si="12"/>
        <v>119</v>
      </c>
      <c r="B122" s="318" t="s">
        <v>96</v>
      </c>
      <c r="C122" s="44" t="s">
        <v>286</v>
      </c>
      <c r="D122" s="45" t="s">
        <v>287</v>
      </c>
      <c r="E122" s="45" t="s">
        <v>289</v>
      </c>
      <c r="F122" s="18">
        <v>1.18</v>
      </c>
      <c r="G122" s="18" t="s">
        <v>146</v>
      </c>
      <c r="H122" s="18">
        <v>1.1599999999999999</v>
      </c>
      <c r="I122" s="130">
        <v>27</v>
      </c>
      <c r="J122" s="58">
        <v>0</v>
      </c>
      <c r="K122" s="59">
        <v>0</v>
      </c>
      <c r="L122" s="57" t="s">
        <v>147</v>
      </c>
      <c r="M122" s="59" t="s">
        <v>147</v>
      </c>
      <c r="N122" s="337">
        <f t="shared" si="23"/>
        <v>27</v>
      </c>
      <c r="O122" s="338">
        <f t="shared" si="24"/>
        <v>27</v>
      </c>
      <c r="P122" s="7"/>
      <c r="Q122" s="7"/>
      <c r="R122" s="7"/>
      <c r="S122" s="7"/>
      <c r="T122" s="7"/>
      <c r="U122" s="7"/>
      <c r="V122" s="7"/>
      <c r="W122" s="7"/>
      <c r="X122" s="7"/>
      <c r="Y122" s="7"/>
    </row>
    <row r="123" spans="1:25" s="3" customFormat="1" x14ac:dyDescent="0.35">
      <c r="A123" s="64">
        <f t="shared" si="12"/>
        <v>120</v>
      </c>
      <c r="B123" s="318" t="s">
        <v>96</v>
      </c>
      <c r="C123" s="44" t="s">
        <v>286</v>
      </c>
      <c r="D123" s="45" t="s">
        <v>290</v>
      </c>
      <c r="E123" s="45" t="s">
        <v>291</v>
      </c>
      <c r="F123" s="18">
        <v>1.6</v>
      </c>
      <c r="G123" s="18" t="s">
        <v>146</v>
      </c>
      <c r="H123" s="18">
        <v>1.25</v>
      </c>
      <c r="I123" s="130">
        <v>37</v>
      </c>
      <c r="J123" s="58">
        <v>0</v>
      </c>
      <c r="K123" s="59">
        <v>0</v>
      </c>
      <c r="L123" s="57" t="s">
        <v>147</v>
      </c>
      <c r="M123" s="59" t="s">
        <v>147</v>
      </c>
      <c r="N123" s="337">
        <f t="shared" si="23"/>
        <v>37</v>
      </c>
      <c r="O123" s="338">
        <f t="shared" si="24"/>
        <v>37</v>
      </c>
      <c r="P123" s="23"/>
      <c r="Q123" s="23"/>
      <c r="R123" s="23"/>
      <c r="S123" s="23"/>
      <c r="T123" s="23"/>
      <c r="U123" s="23"/>
      <c r="V123" s="23"/>
      <c r="W123" s="23"/>
      <c r="X123" s="23"/>
      <c r="Y123" s="23"/>
    </row>
    <row r="124" spans="1:25" s="3" customFormat="1" x14ac:dyDescent="0.35">
      <c r="A124" s="64">
        <f t="shared" si="12"/>
        <v>121</v>
      </c>
      <c r="B124" s="318" t="s">
        <v>96</v>
      </c>
      <c r="C124" s="44" t="s">
        <v>286</v>
      </c>
      <c r="D124" s="45" t="s">
        <v>290</v>
      </c>
      <c r="E124" s="45" t="s">
        <v>292</v>
      </c>
      <c r="F124" s="18">
        <v>2.4</v>
      </c>
      <c r="G124" s="18" t="s">
        <v>146</v>
      </c>
      <c r="H124" s="18">
        <v>1.6</v>
      </c>
      <c r="I124" s="339">
        <v>47</v>
      </c>
      <c r="J124" s="58">
        <v>0</v>
      </c>
      <c r="K124" s="59">
        <v>0</v>
      </c>
      <c r="L124" s="57" t="s">
        <v>147</v>
      </c>
      <c r="M124" s="59" t="s">
        <v>147</v>
      </c>
      <c r="N124" s="337">
        <f t="shared" ref="N124" si="25">I124+J124</f>
        <v>47</v>
      </c>
      <c r="O124" s="338">
        <f t="shared" ref="O124" si="26">I124+K124</f>
        <v>47</v>
      </c>
      <c r="P124" s="23"/>
      <c r="Q124" s="23"/>
      <c r="R124" s="23"/>
      <c r="S124" s="23"/>
      <c r="T124" s="23"/>
      <c r="U124" s="23"/>
      <c r="V124" s="23"/>
      <c r="W124" s="23"/>
      <c r="X124" s="23"/>
      <c r="Y124" s="23"/>
    </row>
    <row r="125" spans="1:25" s="3" customFormat="1" x14ac:dyDescent="0.35">
      <c r="A125" s="64">
        <f t="shared" si="12"/>
        <v>122</v>
      </c>
      <c r="B125" s="318" t="s">
        <v>96</v>
      </c>
      <c r="C125" s="44" t="s">
        <v>286</v>
      </c>
      <c r="D125" s="45" t="s">
        <v>293</v>
      </c>
      <c r="E125" s="45" t="s">
        <v>294</v>
      </c>
      <c r="F125" s="18">
        <v>1.7</v>
      </c>
      <c r="G125" s="18" t="s">
        <v>146</v>
      </c>
      <c r="H125" s="18">
        <f>33.7/24</f>
        <v>1.4041666666666668</v>
      </c>
      <c r="I125" s="130">
        <v>34</v>
      </c>
      <c r="J125" s="58">
        <v>0</v>
      </c>
      <c r="K125" s="59">
        <v>0</v>
      </c>
      <c r="L125" s="57" t="s">
        <v>147</v>
      </c>
      <c r="M125" s="59" t="s">
        <v>147</v>
      </c>
      <c r="N125" s="337">
        <f t="shared" si="23"/>
        <v>34</v>
      </c>
      <c r="O125" s="338">
        <f t="shared" si="24"/>
        <v>34</v>
      </c>
      <c r="P125" s="23"/>
      <c r="Q125" s="23"/>
      <c r="R125" s="23"/>
      <c r="S125" s="23"/>
      <c r="T125" s="23"/>
      <c r="U125" s="23"/>
      <c r="V125" s="23"/>
      <c r="W125" s="23"/>
      <c r="X125" s="23"/>
      <c r="Y125" s="23"/>
    </row>
    <row r="126" spans="1:25" s="3" customFormat="1" x14ac:dyDescent="0.35">
      <c r="A126" s="64">
        <f t="shared" si="12"/>
        <v>123</v>
      </c>
      <c r="B126" s="318" t="s">
        <v>96</v>
      </c>
      <c r="C126" s="44" t="s">
        <v>286</v>
      </c>
      <c r="D126" s="45" t="s">
        <v>295</v>
      </c>
      <c r="E126" s="45" t="s">
        <v>296</v>
      </c>
      <c r="F126" s="18">
        <v>1.5</v>
      </c>
      <c r="G126" s="18" t="s">
        <v>146</v>
      </c>
      <c r="H126" s="18">
        <v>1.4</v>
      </c>
      <c r="I126" s="130">
        <v>27.96</v>
      </c>
      <c r="J126" s="58">
        <v>0</v>
      </c>
      <c r="K126" s="59">
        <v>0</v>
      </c>
      <c r="L126" s="57" t="s">
        <v>147</v>
      </c>
      <c r="M126" s="59" t="s">
        <v>147</v>
      </c>
      <c r="N126" s="337">
        <f t="shared" si="23"/>
        <v>27.96</v>
      </c>
      <c r="O126" s="338">
        <f t="shared" si="24"/>
        <v>27.96</v>
      </c>
      <c r="P126" s="23"/>
      <c r="Q126" s="23"/>
      <c r="R126" s="23"/>
      <c r="S126" s="23"/>
      <c r="T126" s="23"/>
      <c r="U126" s="23"/>
      <c r="V126" s="23"/>
      <c r="W126" s="23"/>
      <c r="X126" s="23"/>
      <c r="Y126" s="23"/>
    </row>
    <row r="127" spans="1:25" s="3" customFormat="1" x14ac:dyDescent="0.35">
      <c r="A127" s="64">
        <f t="shared" si="12"/>
        <v>124</v>
      </c>
      <c r="B127" s="318" t="s">
        <v>96</v>
      </c>
      <c r="C127" s="44" t="s">
        <v>286</v>
      </c>
      <c r="D127" s="45" t="s">
        <v>144</v>
      </c>
      <c r="E127" s="45" t="s">
        <v>297</v>
      </c>
      <c r="F127" s="18">
        <v>1</v>
      </c>
      <c r="G127" s="18" t="s">
        <v>146</v>
      </c>
      <c r="H127" s="18">
        <v>1.3</v>
      </c>
      <c r="I127" s="130">
        <f>236*I2</f>
        <v>264.32000000000005</v>
      </c>
      <c r="J127" s="58">
        <v>0</v>
      </c>
      <c r="K127" s="59">
        <v>0</v>
      </c>
      <c r="L127" s="57" t="s">
        <v>147</v>
      </c>
      <c r="M127" s="59" t="s">
        <v>147</v>
      </c>
      <c r="N127" s="337">
        <f t="shared" si="23"/>
        <v>264.32000000000005</v>
      </c>
      <c r="O127" s="338">
        <f t="shared" si="24"/>
        <v>264.32000000000005</v>
      </c>
      <c r="P127" s="23"/>
      <c r="Q127" s="23"/>
      <c r="R127" s="23"/>
      <c r="S127" s="23"/>
      <c r="T127" s="23"/>
      <c r="U127" s="23"/>
      <c r="V127" s="23"/>
      <c r="W127" s="23"/>
      <c r="X127" s="23"/>
      <c r="Y127" s="23"/>
    </row>
    <row r="128" spans="1:25" s="3" customFormat="1" x14ac:dyDescent="0.35">
      <c r="A128" s="64">
        <f t="shared" si="12"/>
        <v>125</v>
      </c>
      <c r="B128" s="74" t="s">
        <v>97</v>
      </c>
      <c r="C128" s="44" t="s">
        <v>298</v>
      </c>
      <c r="D128" s="45" t="s">
        <v>293</v>
      </c>
      <c r="E128" s="45" t="s">
        <v>299</v>
      </c>
      <c r="F128" s="18">
        <v>15.4</v>
      </c>
      <c r="G128" s="18" t="s">
        <v>146</v>
      </c>
      <c r="H128" s="18">
        <f>(106+(9/60))/24</f>
        <v>4.4229166666666666</v>
      </c>
      <c r="I128" s="131">
        <v>239</v>
      </c>
      <c r="J128" s="58">
        <v>0</v>
      </c>
      <c r="K128" s="59">
        <v>0</v>
      </c>
      <c r="L128" s="57" t="s">
        <v>147</v>
      </c>
      <c r="M128" s="59" t="s">
        <v>147</v>
      </c>
      <c r="N128" s="337">
        <f t="shared" si="23"/>
        <v>239</v>
      </c>
      <c r="O128" s="338">
        <f t="shared" si="24"/>
        <v>239</v>
      </c>
      <c r="P128" s="23"/>
      <c r="Q128" s="23"/>
      <c r="R128" s="23"/>
      <c r="S128" s="23"/>
      <c r="T128" s="23"/>
      <c r="U128" s="23"/>
      <c r="V128" s="23"/>
      <c r="W128" s="23"/>
      <c r="X128" s="23"/>
      <c r="Y128" s="23"/>
    </row>
    <row r="129" spans="1:29" s="3" customFormat="1" x14ac:dyDescent="0.35">
      <c r="A129" s="64">
        <f t="shared" si="12"/>
        <v>126</v>
      </c>
      <c r="B129" s="74" t="s">
        <v>97</v>
      </c>
      <c r="C129" s="44" t="s">
        <v>300</v>
      </c>
      <c r="D129" s="45" t="s">
        <v>293</v>
      </c>
      <c r="E129" s="45" t="s">
        <v>301</v>
      </c>
      <c r="F129" s="18">
        <v>20</v>
      </c>
      <c r="G129" s="18" t="s">
        <v>146</v>
      </c>
      <c r="H129" s="18">
        <v>3</v>
      </c>
      <c r="I129" s="131">
        <v>234</v>
      </c>
      <c r="J129" s="58">
        <v>0</v>
      </c>
      <c r="K129" s="59">
        <v>0</v>
      </c>
      <c r="L129" s="57" t="s">
        <v>147</v>
      </c>
      <c r="M129" s="59" t="s">
        <v>147</v>
      </c>
      <c r="N129" s="337">
        <f t="shared" ref="N129" si="27">I129+J129</f>
        <v>234</v>
      </c>
      <c r="O129" s="338">
        <f t="shared" ref="O129" si="28">I129+K129</f>
        <v>234</v>
      </c>
      <c r="P129" s="23"/>
      <c r="Q129" s="23"/>
      <c r="R129" s="23"/>
      <c r="S129" s="23"/>
      <c r="T129" s="23"/>
      <c r="U129" s="23"/>
      <c r="V129" s="23"/>
      <c r="W129" s="23"/>
      <c r="X129" s="23"/>
      <c r="Y129" s="23"/>
    </row>
    <row r="130" spans="1:29" s="3" customFormat="1" ht="29" x14ac:dyDescent="0.35">
      <c r="A130" s="64">
        <f t="shared" si="12"/>
        <v>127</v>
      </c>
      <c r="B130" s="12" t="s">
        <v>98</v>
      </c>
      <c r="C130" s="44" t="s">
        <v>146</v>
      </c>
      <c r="D130" s="44" t="s">
        <v>302</v>
      </c>
      <c r="E130" s="45" t="s">
        <v>303</v>
      </c>
      <c r="F130" s="18" t="s">
        <v>146</v>
      </c>
      <c r="G130" s="18" t="s">
        <v>146</v>
      </c>
      <c r="H130" s="18" t="s">
        <v>146</v>
      </c>
      <c r="I130" s="132">
        <v>110</v>
      </c>
      <c r="J130" s="58">
        <v>0</v>
      </c>
      <c r="K130" s="59">
        <v>0</v>
      </c>
      <c r="L130" s="57" t="s">
        <v>147</v>
      </c>
      <c r="M130" s="59" t="s">
        <v>147</v>
      </c>
      <c r="N130" s="337">
        <f t="shared" si="23"/>
        <v>110</v>
      </c>
      <c r="O130" s="338">
        <f t="shared" si="24"/>
        <v>110</v>
      </c>
      <c r="P130" s="23"/>
      <c r="Q130" s="23"/>
      <c r="R130" s="23"/>
      <c r="S130" s="23"/>
      <c r="T130" s="23"/>
      <c r="U130" s="23"/>
      <c r="V130" s="23"/>
      <c r="W130" s="23"/>
      <c r="X130" s="23"/>
      <c r="Y130" s="23"/>
    </row>
    <row r="131" spans="1:29" s="3" customFormat="1" ht="29" x14ac:dyDescent="0.35">
      <c r="A131" s="64">
        <f t="shared" si="12"/>
        <v>128</v>
      </c>
      <c r="B131" s="12" t="s">
        <v>98</v>
      </c>
      <c r="C131" s="44" t="s">
        <v>146</v>
      </c>
      <c r="D131" s="44" t="s">
        <v>161</v>
      </c>
      <c r="E131" s="45" t="s">
        <v>304</v>
      </c>
      <c r="F131" s="18" t="s">
        <v>146</v>
      </c>
      <c r="G131" s="18" t="s">
        <v>146</v>
      </c>
      <c r="H131" s="18" t="s">
        <v>146</v>
      </c>
      <c r="I131" s="132">
        <v>112</v>
      </c>
      <c r="J131" s="58">
        <v>0</v>
      </c>
      <c r="K131" s="59">
        <v>0</v>
      </c>
      <c r="L131" s="57" t="s">
        <v>147</v>
      </c>
      <c r="M131" s="59" t="s">
        <v>147</v>
      </c>
      <c r="N131" s="337">
        <f t="shared" si="23"/>
        <v>112</v>
      </c>
      <c r="O131" s="338">
        <f t="shared" si="24"/>
        <v>112</v>
      </c>
      <c r="P131" s="23"/>
      <c r="Q131" s="23"/>
      <c r="R131" s="23"/>
      <c r="S131" s="23"/>
      <c r="T131" s="23"/>
      <c r="U131" s="23"/>
      <c r="V131" s="23"/>
      <c r="W131" s="23"/>
      <c r="X131" s="23"/>
      <c r="Y131" s="23"/>
      <c r="AA131"/>
      <c r="AB131"/>
      <c r="AC131"/>
    </row>
    <row r="132" spans="1:29" s="3" customFormat="1" x14ac:dyDescent="0.35">
      <c r="A132" s="64">
        <f t="shared" si="12"/>
        <v>129</v>
      </c>
      <c r="B132" s="72" t="s">
        <v>99</v>
      </c>
      <c r="C132" s="44" t="s">
        <v>305</v>
      </c>
      <c r="D132" s="45" t="s">
        <v>287</v>
      </c>
      <c r="E132" s="45" t="s">
        <v>306</v>
      </c>
      <c r="F132" s="18" t="s">
        <v>146</v>
      </c>
      <c r="G132" s="44" t="s">
        <v>305</v>
      </c>
      <c r="H132" s="18" t="s">
        <v>146</v>
      </c>
      <c r="I132" s="132">
        <v>0.36</v>
      </c>
      <c r="J132" s="58">
        <v>0</v>
      </c>
      <c r="K132" s="59">
        <v>0</v>
      </c>
      <c r="L132" s="57" t="s">
        <v>147</v>
      </c>
      <c r="M132" s="59" t="s">
        <v>147</v>
      </c>
      <c r="N132" s="337">
        <f t="shared" si="23"/>
        <v>0.36</v>
      </c>
      <c r="O132" s="338">
        <f t="shared" si="24"/>
        <v>0.36</v>
      </c>
      <c r="P132" s="23"/>
      <c r="Q132" s="23"/>
      <c r="R132" s="23"/>
      <c r="S132" s="23"/>
      <c r="T132" s="23"/>
      <c r="U132" s="23"/>
      <c r="V132" s="23"/>
      <c r="W132" s="23"/>
      <c r="X132" s="23"/>
      <c r="Y132" s="23"/>
      <c r="AA132"/>
      <c r="AB132"/>
      <c r="AC132"/>
    </row>
    <row r="133" spans="1:29" s="3" customFormat="1" x14ac:dyDescent="0.35">
      <c r="A133" s="64">
        <f t="shared" si="12"/>
        <v>130</v>
      </c>
      <c r="B133" s="72" t="s">
        <v>99</v>
      </c>
      <c r="C133" s="44" t="s">
        <v>305</v>
      </c>
      <c r="D133" s="45" t="s">
        <v>307</v>
      </c>
      <c r="E133" s="45" t="s">
        <v>308</v>
      </c>
      <c r="F133" s="18" t="s">
        <v>146</v>
      </c>
      <c r="G133" s="44" t="s">
        <v>305</v>
      </c>
      <c r="H133" s="18" t="s">
        <v>146</v>
      </c>
      <c r="I133" s="132">
        <v>0.3</v>
      </c>
      <c r="J133" s="58">
        <v>0</v>
      </c>
      <c r="K133" s="59">
        <v>0</v>
      </c>
      <c r="L133" s="57" t="s">
        <v>147</v>
      </c>
      <c r="M133" s="59" t="s">
        <v>147</v>
      </c>
      <c r="N133" s="337">
        <f t="shared" ref="N133:N146" si="29">I133+J133</f>
        <v>0.3</v>
      </c>
      <c r="O133" s="338">
        <f t="shared" ref="O133:O146" si="30">I133+K133</f>
        <v>0.3</v>
      </c>
      <c r="P133" s="23"/>
      <c r="Q133" s="23"/>
      <c r="R133" s="23"/>
      <c r="S133" s="23"/>
      <c r="T133" s="23"/>
      <c r="U133" s="23"/>
      <c r="V133" s="23"/>
      <c r="W133" s="23"/>
      <c r="X133" s="23"/>
      <c r="Y133" s="23"/>
      <c r="AA133"/>
      <c r="AB133"/>
      <c r="AC133"/>
    </row>
    <row r="134" spans="1:29" s="3" customFormat="1" x14ac:dyDescent="0.35">
      <c r="A134" s="64">
        <f t="shared" si="12"/>
        <v>131</v>
      </c>
      <c r="B134" s="72" t="s">
        <v>99</v>
      </c>
      <c r="C134" s="44" t="s">
        <v>305</v>
      </c>
      <c r="D134" s="45" t="s">
        <v>290</v>
      </c>
      <c r="E134" s="45" t="s">
        <v>309</v>
      </c>
      <c r="F134" s="18" t="s">
        <v>146</v>
      </c>
      <c r="G134" s="44" t="s">
        <v>305</v>
      </c>
      <c r="H134" s="18" t="s">
        <v>146</v>
      </c>
      <c r="I134" s="132">
        <v>1</v>
      </c>
      <c r="J134" s="58">
        <v>0</v>
      </c>
      <c r="K134" s="59">
        <v>0</v>
      </c>
      <c r="L134" s="57" t="s">
        <v>147</v>
      </c>
      <c r="M134" s="59" t="s">
        <v>147</v>
      </c>
      <c r="N134" s="337">
        <f t="shared" si="29"/>
        <v>1</v>
      </c>
      <c r="O134" s="338">
        <f t="shared" si="30"/>
        <v>1</v>
      </c>
      <c r="P134" s="23"/>
      <c r="Q134" s="23"/>
      <c r="R134" s="23"/>
      <c r="S134" s="23"/>
      <c r="T134" s="23"/>
      <c r="U134" s="23"/>
      <c r="V134" s="23"/>
      <c r="W134" s="23"/>
      <c r="X134" s="23"/>
      <c r="Y134" s="23"/>
      <c r="AA134"/>
      <c r="AB134"/>
      <c r="AC134"/>
    </row>
    <row r="135" spans="1:29" s="3" customFormat="1" x14ac:dyDescent="0.35">
      <c r="A135" s="64">
        <f t="shared" si="12"/>
        <v>132</v>
      </c>
      <c r="B135" s="72" t="s">
        <v>99</v>
      </c>
      <c r="C135" s="44" t="s">
        <v>305</v>
      </c>
      <c r="D135" s="45" t="s">
        <v>310</v>
      </c>
      <c r="E135" s="45" t="s">
        <v>311</v>
      </c>
      <c r="F135" s="18" t="s">
        <v>146</v>
      </c>
      <c r="G135" s="44" t="s">
        <v>305</v>
      </c>
      <c r="H135" s="18" t="s">
        <v>146</v>
      </c>
      <c r="I135" s="132">
        <v>0.27</v>
      </c>
      <c r="J135" s="58">
        <v>0</v>
      </c>
      <c r="K135" s="59">
        <v>0</v>
      </c>
      <c r="L135" s="57" t="s">
        <v>147</v>
      </c>
      <c r="M135" s="59" t="s">
        <v>147</v>
      </c>
      <c r="N135" s="337">
        <f t="shared" si="29"/>
        <v>0.27</v>
      </c>
      <c r="O135" s="338">
        <f t="shared" si="30"/>
        <v>0.27</v>
      </c>
      <c r="P135" s="23"/>
      <c r="Q135" s="23"/>
      <c r="R135" s="23"/>
      <c r="S135" s="23"/>
      <c r="T135" s="23"/>
      <c r="U135" s="23"/>
      <c r="V135" s="23"/>
      <c r="W135" s="23"/>
      <c r="X135" s="23"/>
      <c r="Y135" s="23"/>
      <c r="AA135"/>
      <c r="AB135"/>
      <c r="AC135"/>
    </row>
    <row r="136" spans="1:29" s="3" customFormat="1" x14ac:dyDescent="0.35">
      <c r="A136" s="64">
        <f t="shared" si="12"/>
        <v>133</v>
      </c>
      <c r="B136" s="72" t="s">
        <v>99</v>
      </c>
      <c r="C136" s="44" t="s">
        <v>305</v>
      </c>
      <c r="D136" s="45" t="s">
        <v>293</v>
      </c>
      <c r="E136" s="45" t="s">
        <v>312</v>
      </c>
      <c r="F136" s="18" t="s">
        <v>146</v>
      </c>
      <c r="G136" s="44" t="s">
        <v>305</v>
      </c>
      <c r="H136" s="18" t="s">
        <v>146</v>
      </c>
      <c r="I136" s="132">
        <v>0.27</v>
      </c>
      <c r="J136" s="58">
        <v>0</v>
      </c>
      <c r="K136" s="59">
        <v>0</v>
      </c>
      <c r="L136" s="57" t="s">
        <v>147</v>
      </c>
      <c r="M136" s="59" t="s">
        <v>147</v>
      </c>
      <c r="N136" s="337">
        <f t="shared" si="29"/>
        <v>0.27</v>
      </c>
      <c r="O136" s="338">
        <f t="shared" si="30"/>
        <v>0.27</v>
      </c>
      <c r="P136" s="23"/>
      <c r="Q136" s="23"/>
      <c r="R136" s="23"/>
      <c r="S136" s="23"/>
      <c r="T136" s="23"/>
      <c r="U136" s="23"/>
      <c r="V136" s="23"/>
      <c r="W136" s="23"/>
      <c r="X136" s="23"/>
      <c r="Y136" s="23"/>
      <c r="AA136"/>
      <c r="AB136"/>
      <c r="AC136"/>
    </row>
    <row r="137" spans="1:29" s="3" customFormat="1" x14ac:dyDescent="0.35">
      <c r="A137" s="64">
        <f t="shared" ref="A137:A200" si="31">A136+1</f>
        <v>134</v>
      </c>
      <c r="B137" s="72" t="s">
        <v>99</v>
      </c>
      <c r="C137" s="44" t="s">
        <v>313</v>
      </c>
      <c r="D137" s="45" t="s">
        <v>287</v>
      </c>
      <c r="E137" s="45" t="s">
        <v>314</v>
      </c>
      <c r="F137" s="18" t="s">
        <v>146</v>
      </c>
      <c r="G137" s="44" t="s">
        <v>313</v>
      </c>
      <c r="H137" s="18" t="s">
        <v>146</v>
      </c>
      <c r="I137" s="132">
        <v>0.36</v>
      </c>
      <c r="J137" s="58">
        <v>0</v>
      </c>
      <c r="K137" s="59">
        <v>0</v>
      </c>
      <c r="L137" s="57" t="s">
        <v>147</v>
      </c>
      <c r="M137" s="59" t="s">
        <v>147</v>
      </c>
      <c r="N137" s="337">
        <f t="shared" si="29"/>
        <v>0.36</v>
      </c>
      <c r="O137" s="338">
        <f t="shared" si="30"/>
        <v>0.36</v>
      </c>
      <c r="P137" s="23"/>
      <c r="Q137" s="23"/>
      <c r="R137" s="23"/>
      <c r="S137" s="23"/>
      <c r="T137" s="23"/>
      <c r="U137" s="23"/>
      <c r="V137" s="23"/>
      <c r="W137" s="23"/>
      <c r="X137" s="23"/>
      <c r="Y137" s="23"/>
      <c r="AA137"/>
      <c r="AB137"/>
      <c r="AC137"/>
    </row>
    <row r="138" spans="1:29" s="3" customFormat="1" x14ac:dyDescent="0.35">
      <c r="A138" s="64">
        <f t="shared" si="31"/>
        <v>135</v>
      </c>
      <c r="B138" s="72" t="s">
        <v>99</v>
      </c>
      <c r="C138" s="44" t="s">
        <v>313</v>
      </c>
      <c r="D138" s="45" t="s">
        <v>307</v>
      </c>
      <c r="E138" s="45" t="s">
        <v>315</v>
      </c>
      <c r="F138" s="18" t="s">
        <v>146</v>
      </c>
      <c r="G138" s="44" t="s">
        <v>313</v>
      </c>
      <c r="H138" s="18" t="s">
        <v>146</v>
      </c>
      <c r="I138" s="132">
        <v>0.31</v>
      </c>
      <c r="J138" s="58">
        <v>0</v>
      </c>
      <c r="K138" s="59">
        <v>0</v>
      </c>
      <c r="L138" s="57" t="s">
        <v>147</v>
      </c>
      <c r="M138" s="59" t="s">
        <v>147</v>
      </c>
      <c r="N138" s="337">
        <f t="shared" si="29"/>
        <v>0.31</v>
      </c>
      <c r="O138" s="338">
        <f t="shared" si="30"/>
        <v>0.31</v>
      </c>
      <c r="P138" s="23"/>
      <c r="Q138" s="23"/>
      <c r="R138" s="23"/>
      <c r="S138" s="23"/>
      <c r="T138" s="23"/>
      <c r="U138" s="23"/>
      <c r="V138" s="23"/>
      <c r="W138" s="23"/>
      <c r="X138" s="23"/>
      <c r="Y138" s="23"/>
      <c r="AA138"/>
      <c r="AB138"/>
      <c r="AC138"/>
    </row>
    <row r="139" spans="1:29" s="3" customFormat="1" x14ac:dyDescent="0.35">
      <c r="A139" s="64">
        <f t="shared" si="31"/>
        <v>136</v>
      </c>
      <c r="B139" s="72" t="s">
        <v>99</v>
      </c>
      <c r="C139" s="44" t="s">
        <v>313</v>
      </c>
      <c r="D139" s="45" t="s">
        <v>290</v>
      </c>
      <c r="E139" s="45" t="s">
        <v>316</v>
      </c>
      <c r="F139" s="18" t="s">
        <v>146</v>
      </c>
      <c r="G139" s="44" t="s">
        <v>313</v>
      </c>
      <c r="H139" s="18" t="s">
        <v>146</v>
      </c>
      <c r="I139" s="132">
        <v>1</v>
      </c>
      <c r="J139" s="58">
        <v>0</v>
      </c>
      <c r="K139" s="59">
        <v>0</v>
      </c>
      <c r="L139" s="57" t="s">
        <v>147</v>
      </c>
      <c r="M139" s="59" t="s">
        <v>147</v>
      </c>
      <c r="N139" s="337">
        <f t="shared" si="29"/>
        <v>1</v>
      </c>
      <c r="O139" s="338">
        <f t="shared" si="30"/>
        <v>1</v>
      </c>
      <c r="P139" s="23"/>
      <c r="Q139" s="23"/>
      <c r="R139" s="23"/>
      <c r="S139" s="23"/>
      <c r="T139" s="23"/>
      <c r="U139" s="23"/>
      <c r="V139" s="23"/>
      <c r="W139" s="23"/>
      <c r="X139" s="23"/>
      <c r="Y139" s="23"/>
      <c r="AA139"/>
      <c r="AB139"/>
      <c r="AC139"/>
    </row>
    <row r="140" spans="1:29" s="3" customFormat="1" x14ac:dyDescent="0.35">
      <c r="A140" s="64">
        <f t="shared" si="31"/>
        <v>137</v>
      </c>
      <c r="B140" s="72" t="s">
        <v>99</v>
      </c>
      <c r="C140" s="44" t="s">
        <v>313</v>
      </c>
      <c r="D140" s="45" t="s">
        <v>310</v>
      </c>
      <c r="E140" s="45" t="s">
        <v>317</v>
      </c>
      <c r="F140" s="18" t="s">
        <v>146</v>
      </c>
      <c r="G140" s="44" t="s">
        <v>313</v>
      </c>
      <c r="H140" s="18" t="s">
        <v>146</v>
      </c>
      <c r="I140" s="132">
        <v>0.28000000000000003</v>
      </c>
      <c r="J140" s="58">
        <v>0</v>
      </c>
      <c r="K140" s="59">
        <v>0</v>
      </c>
      <c r="L140" s="57" t="s">
        <v>147</v>
      </c>
      <c r="M140" s="59" t="s">
        <v>147</v>
      </c>
      <c r="N140" s="337">
        <f t="shared" si="29"/>
        <v>0.28000000000000003</v>
      </c>
      <c r="O140" s="338">
        <f t="shared" si="30"/>
        <v>0.28000000000000003</v>
      </c>
      <c r="P140" s="23"/>
      <c r="Q140" s="23"/>
      <c r="R140" s="23"/>
      <c r="S140" s="23"/>
      <c r="T140" s="23"/>
      <c r="U140" s="23"/>
      <c r="V140" s="23"/>
      <c r="W140" s="23"/>
      <c r="X140" s="23"/>
      <c r="Y140" s="23"/>
      <c r="AA140"/>
      <c r="AB140"/>
      <c r="AC140"/>
    </row>
    <row r="141" spans="1:29" s="3" customFormat="1" x14ac:dyDescent="0.35">
      <c r="A141" s="64">
        <f t="shared" si="31"/>
        <v>138</v>
      </c>
      <c r="B141" s="72" t="s">
        <v>99</v>
      </c>
      <c r="C141" s="44" t="s">
        <v>313</v>
      </c>
      <c r="D141" s="45" t="s">
        <v>293</v>
      </c>
      <c r="E141" s="45" t="s">
        <v>318</v>
      </c>
      <c r="F141" s="18" t="s">
        <v>146</v>
      </c>
      <c r="G141" s="44" t="s">
        <v>313</v>
      </c>
      <c r="H141" s="18" t="s">
        <v>146</v>
      </c>
      <c r="I141" s="132">
        <v>0.27</v>
      </c>
      <c r="J141" s="58">
        <v>0</v>
      </c>
      <c r="K141" s="59">
        <v>0</v>
      </c>
      <c r="L141" s="57" t="s">
        <v>147</v>
      </c>
      <c r="M141" s="59" t="s">
        <v>147</v>
      </c>
      <c r="N141" s="337">
        <f t="shared" ref="N141" si="32">I141+J141</f>
        <v>0.27</v>
      </c>
      <c r="O141" s="338">
        <f t="shared" ref="O141" si="33">I141+K141</f>
        <v>0.27</v>
      </c>
      <c r="P141" s="23"/>
      <c r="Q141" s="23"/>
      <c r="R141" s="23"/>
      <c r="S141" s="23"/>
      <c r="T141" s="23"/>
      <c r="U141" s="23"/>
      <c r="V141" s="23"/>
      <c r="W141" s="23"/>
      <c r="X141" s="23"/>
      <c r="Y141" s="23"/>
      <c r="AA141"/>
      <c r="AB141"/>
      <c r="AC141"/>
    </row>
    <row r="142" spans="1:29" s="3" customFormat="1" x14ac:dyDescent="0.35">
      <c r="A142" s="64">
        <f t="shared" si="31"/>
        <v>139</v>
      </c>
      <c r="B142" s="72" t="s">
        <v>99</v>
      </c>
      <c r="C142" s="44" t="s">
        <v>319</v>
      </c>
      <c r="D142" s="45" t="s">
        <v>287</v>
      </c>
      <c r="E142" s="45" t="s">
        <v>320</v>
      </c>
      <c r="F142" s="18" t="s">
        <v>146</v>
      </c>
      <c r="G142" s="44" t="s">
        <v>319</v>
      </c>
      <c r="H142" s="18" t="s">
        <v>146</v>
      </c>
      <c r="I142" s="132">
        <v>0.5</v>
      </c>
      <c r="J142" s="58">
        <v>0</v>
      </c>
      <c r="K142" s="59">
        <v>0</v>
      </c>
      <c r="L142" s="57" t="s">
        <v>147</v>
      </c>
      <c r="M142" s="59" t="s">
        <v>147</v>
      </c>
      <c r="N142" s="337">
        <f t="shared" si="29"/>
        <v>0.5</v>
      </c>
      <c r="O142" s="338">
        <f t="shared" si="30"/>
        <v>0.5</v>
      </c>
      <c r="P142" s="23"/>
      <c r="Q142" s="23"/>
      <c r="R142" s="23"/>
      <c r="S142" s="23"/>
      <c r="T142" s="23"/>
      <c r="U142" s="23"/>
      <c r="V142" s="23"/>
      <c r="W142" s="23"/>
      <c r="X142" s="23"/>
      <c r="Y142" s="23"/>
      <c r="AA142"/>
      <c r="AB142"/>
      <c r="AC142"/>
    </row>
    <row r="143" spans="1:29" s="3" customFormat="1" x14ac:dyDescent="0.35">
      <c r="A143" s="64">
        <f t="shared" si="31"/>
        <v>140</v>
      </c>
      <c r="B143" s="72" t="s">
        <v>99</v>
      </c>
      <c r="C143" s="44" t="s">
        <v>319</v>
      </c>
      <c r="D143" s="45" t="s">
        <v>307</v>
      </c>
      <c r="E143" s="45" t="s">
        <v>321</v>
      </c>
      <c r="F143" s="18" t="s">
        <v>146</v>
      </c>
      <c r="G143" s="44" t="s">
        <v>319</v>
      </c>
      <c r="H143" s="18" t="s">
        <v>146</v>
      </c>
      <c r="I143" s="132">
        <v>0.42</v>
      </c>
      <c r="J143" s="58">
        <v>0</v>
      </c>
      <c r="K143" s="59">
        <v>0</v>
      </c>
      <c r="L143" s="57" t="s">
        <v>147</v>
      </c>
      <c r="M143" s="59" t="s">
        <v>147</v>
      </c>
      <c r="N143" s="337">
        <f t="shared" si="29"/>
        <v>0.42</v>
      </c>
      <c r="O143" s="338">
        <f t="shared" si="30"/>
        <v>0.42</v>
      </c>
      <c r="P143" s="23"/>
      <c r="Q143" s="23"/>
      <c r="R143" s="23"/>
      <c r="S143" s="23"/>
      <c r="T143" s="23"/>
      <c r="U143" s="23"/>
      <c r="V143" s="23"/>
      <c r="W143" s="23"/>
      <c r="X143" s="23"/>
      <c r="Y143" s="23"/>
      <c r="AA143"/>
      <c r="AB143"/>
      <c r="AC143"/>
    </row>
    <row r="144" spans="1:29" s="3" customFormat="1" x14ac:dyDescent="0.35">
      <c r="A144" s="64">
        <f t="shared" si="31"/>
        <v>141</v>
      </c>
      <c r="B144" s="72" t="s">
        <v>99</v>
      </c>
      <c r="C144" s="44" t="s">
        <v>319</v>
      </c>
      <c r="D144" s="45" t="s">
        <v>290</v>
      </c>
      <c r="E144" s="45" t="s">
        <v>322</v>
      </c>
      <c r="F144" s="18" t="s">
        <v>146</v>
      </c>
      <c r="G144" s="44" t="s">
        <v>319</v>
      </c>
      <c r="H144" s="18" t="s">
        <v>146</v>
      </c>
      <c r="I144" s="132">
        <v>1.5</v>
      </c>
      <c r="J144" s="58">
        <v>0</v>
      </c>
      <c r="K144" s="59">
        <v>0</v>
      </c>
      <c r="L144" s="57" t="s">
        <v>147</v>
      </c>
      <c r="M144" s="59" t="s">
        <v>147</v>
      </c>
      <c r="N144" s="337">
        <f t="shared" si="29"/>
        <v>1.5</v>
      </c>
      <c r="O144" s="338">
        <f t="shared" si="30"/>
        <v>1.5</v>
      </c>
      <c r="P144" s="23"/>
      <c r="Q144" s="23"/>
      <c r="R144" s="23"/>
      <c r="S144" s="23"/>
      <c r="T144" s="23"/>
      <c r="U144" s="23"/>
      <c r="V144" s="23"/>
      <c r="W144" s="23"/>
      <c r="X144" s="23"/>
      <c r="Y144" s="23"/>
      <c r="AA144"/>
      <c r="AB144"/>
      <c r="AC144"/>
    </row>
    <row r="145" spans="1:34" s="3" customFormat="1" x14ac:dyDescent="0.35">
      <c r="A145" s="64">
        <f t="shared" si="31"/>
        <v>142</v>
      </c>
      <c r="B145" s="72" t="s">
        <v>99</v>
      </c>
      <c r="C145" s="44" t="s">
        <v>319</v>
      </c>
      <c r="D145" s="45" t="s">
        <v>310</v>
      </c>
      <c r="E145" s="45" t="s">
        <v>323</v>
      </c>
      <c r="F145" s="18" t="s">
        <v>146</v>
      </c>
      <c r="G145" s="44" t="s">
        <v>319</v>
      </c>
      <c r="H145" s="18" t="s">
        <v>146</v>
      </c>
      <c r="I145" s="132">
        <v>0.42</v>
      </c>
      <c r="J145" s="58">
        <v>0</v>
      </c>
      <c r="K145" s="59">
        <v>0</v>
      </c>
      <c r="L145" s="57" t="s">
        <v>147</v>
      </c>
      <c r="M145" s="59" t="s">
        <v>147</v>
      </c>
      <c r="N145" s="337">
        <f t="shared" si="29"/>
        <v>0.42</v>
      </c>
      <c r="O145" s="338">
        <f t="shared" si="30"/>
        <v>0.42</v>
      </c>
      <c r="P145" s="23"/>
      <c r="Q145" s="23"/>
      <c r="R145" s="23"/>
      <c r="S145" s="23"/>
      <c r="T145" s="23"/>
      <c r="U145" s="23"/>
      <c r="V145" s="23"/>
      <c r="W145" s="23"/>
      <c r="X145" s="23"/>
      <c r="Y145" s="23"/>
      <c r="AA145"/>
      <c r="AB145"/>
      <c r="AC145"/>
    </row>
    <row r="146" spans="1:34" s="3" customFormat="1" x14ac:dyDescent="0.35">
      <c r="A146" s="64">
        <f t="shared" si="31"/>
        <v>143</v>
      </c>
      <c r="B146" s="72" t="s">
        <v>99</v>
      </c>
      <c r="C146" s="44" t="s">
        <v>319</v>
      </c>
      <c r="D146" s="45" t="s">
        <v>144</v>
      </c>
      <c r="E146" s="45" t="s">
        <v>324</v>
      </c>
      <c r="F146" s="18" t="s">
        <v>146</v>
      </c>
      <c r="G146" s="44" t="s">
        <v>319</v>
      </c>
      <c r="H146" s="18" t="s">
        <v>146</v>
      </c>
      <c r="I146" s="132">
        <f>99*I2</f>
        <v>110.88000000000001</v>
      </c>
      <c r="J146" s="58">
        <v>0</v>
      </c>
      <c r="K146" s="59">
        <v>0</v>
      </c>
      <c r="L146" s="57" t="s">
        <v>147</v>
      </c>
      <c r="M146" s="59" t="s">
        <v>147</v>
      </c>
      <c r="N146" s="337">
        <f t="shared" si="29"/>
        <v>110.88000000000001</v>
      </c>
      <c r="O146" s="338">
        <f t="shared" si="30"/>
        <v>110.88000000000001</v>
      </c>
      <c r="P146" s="23"/>
      <c r="Q146" s="23"/>
      <c r="R146" s="23"/>
      <c r="S146" s="23"/>
      <c r="T146" s="23"/>
      <c r="U146" s="23"/>
      <c r="V146" s="23"/>
      <c r="W146" s="23"/>
      <c r="X146" s="23"/>
      <c r="Y146" s="23"/>
      <c r="AA146"/>
      <c r="AB146"/>
      <c r="AC146"/>
    </row>
    <row r="147" spans="1:34" s="3" customFormat="1" x14ac:dyDescent="0.35">
      <c r="A147" s="64">
        <f t="shared" si="31"/>
        <v>144</v>
      </c>
      <c r="B147" s="72" t="s">
        <v>99</v>
      </c>
      <c r="C147" s="44" t="s">
        <v>319</v>
      </c>
      <c r="D147" s="45" t="s">
        <v>293</v>
      </c>
      <c r="E147" s="45" t="s">
        <v>325</v>
      </c>
      <c r="F147" s="18" t="s">
        <v>146</v>
      </c>
      <c r="G147" s="44" t="s">
        <v>319</v>
      </c>
      <c r="H147" s="18" t="s">
        <v>146</v>
      </c>
      <c r="I147" s="132">
        <v>0.35</v>
      </c>
      <c r="J147" s="58">
        <v>0</v>
      </c>
      <c r="K147" s="59">
        <v>0</v>
      </c>
      <c r="L147" s="57" t="s">
        <v>147</v>
      </c>
      <c r="M147" s="59" t="s">
        <v>147</v>
      </c>
      <c r="N147" s="337">
        <f t="shared" ref="N147" si="34">I147+J147</f>
        <v>0.35</v>
      </c>
      <c r="O147" s="338">
        <f t="shared" ref="O147" si="35">I147+K147</f>
        <v>0.35</v>
      </c>
      <c r="P147" s="23"/>
      <c r="Q147" s="23"/>
      <c r="R147" s="23"/>
      <c r="S147" s="23"/>
      <c r="T147" s="23"/>
      <c r="U147" s="23"/>
      <c r="V147" s="23"/>
      <c r="W147" s="23"/>
      <c r="X147" s="23"/>
      <c r="Y147" s="23"/>
      <c r="AA147"/>
      <c r="AB147"/>
      <c r="AC147"/>
    </row>
    <row r="148" spans="1:34" s="3" customFormat="1" ht="29" x14ac:dyDescent="0.35">
      <c r="A148" s="64">
        <f t="shared" si="31"/>
        <v>145</v>
      </c>
      <c r="B148" s="51" t="s">
        <v>326</v>
      </c>
      <c r="C148" s="44" t="s">
        <v>146</v>
      </c>
      <c r="D148" s="45" t="str">
        <f>D4</f>
        <v>B Medical</v>
      </c>
      <c r="E148" s="45" t="str">
        <f>E4&amp;"-spare parts"</f>
        <v>TCW 40R AC-spare parts</v>
      </c>
      <c r="F148" s="18" t="s">
        <v>146</v>
      </c>
      <c r="G148" s="18" t="s">
        <v>146</v>
      </c>
      <c r="H148" s="18" t="s">
        <v>146</v>
      </c>
      <c r="I148" s="132">
        <f>398*I2</f>
        <v>445.76000000000005</v>
      </c>
      <c r="J148" s="58">
        <v>0</v>
      </c>
      <c r="K148" s="59">
        <v>0</v>
      </c>
      <c r="L148" s="57" t="s">
        <v>147</v>
      </c>
      <c r="M148" s="59" t="s">
        <v>147</v>
      </c>
      <c r="N148" s="60">
        <f t="shared" ref="N148:N211" si="36">I148+J148</f>
        <v>445.76000000000005</v>
      </c>
      <c r="O148" s="18">
        <f t="shared" ref="O148:O211" si="37">I148+K148</f>
        <v>445.76000000000005</v>
      </c>
      <c r="P148" s="23"/>
      <c r="Q148" s="23"/>
      <c r="R148" s="23"/>
      <c r="S148" s="23"/>
      <c r="T148" s="23"/>
      <c r="U148" s="23"/>
      <c r="V148" s="23"/>
      <c r="W148" s="23"/>
      <c r="X148" s="23"/>
      <c r="Y148" s="23"/>
      <c r="AA148"/>
      <c r="AB148"/>
      <c r="AC148"/>
    </row>
    <row r="149" spans="1:34" ht="29" x14ac:dyDescent="0.35">
      <c r="A149" s="64">
        <f t="shared" si="31"/>
        <v>146</v>
      </c>
      <c r="B149" s="51" t="s">
        <v>326</v>
      </c>
      <c r="C149" s="44" t="s">
        <v>146</v>
      </c>
      <c r="D149" s="45" t="str">
        <f>D9</f>
        <v>Aucma</v>
      </c>
      <c r="E149" s="45" t="str">
        <f>E9&amp;"-spare parts"</f>
        <v>CFD-50-spare parts</v>
      </c>
      <c r="F149" s="18" t="s">
        <v>146</v>
      </c>
      <c r="G149" s="18" t="s">
        <v>146</v>
      </c>
      <c r="H149" s="18" t="s">
        <v>146</v>
      </c>
      <c r="I149" s="132">
        <v>538.5</v>
      </c>
      <c r="J149" s="58">
        <v>0</v>
      </c>
      <c r="K149" s="59">
        <v>0</v>
      </c>
      <c r="L149" s="57" t="s">
        <v>147</v>
      </c>
      <c r="M149" s="59" t="s">
        <v>147</v>
      </c>
      <c r="N149" s="60">
        <f t="shared" si="36"/>
        <v>538.5</v>
      </c>
      <c r="O149" s="18">
        <f t="shared" si="37"/>
        <v>538.5</v>
      </c>
      <c r="AH149" s="3"/>
    </row>
    <row r="150" spans="1:34" ht="29" x14ac:dyDescent="0.35">
      <c r="A150" s="64">
        <f t="shared" si="31"/>
        <v>147</v>
      </c>
      <c r="B150" s="51" t="s">
        <v>326</v>
      </c>
      <c r="C150" s="44" t="s">
        <v>146</v>
      </c>
      <c r="D150" s="45" t="str">
        <f>D5</f>
        <v xml:space="preserve">Godrej &amp; Boyce </v>
      </c>
      <c r="E150" s="45" t="str">
        <f>E5&amp;"-spare parts"</f>
        <v>GVR 51 Lite AC-spare parts</v>
      </c>
      <c r="F150" s="18" t="s">
        <v>146</v>
      </c>
      <c r="G150" s="18" t="s">
        <v>146</v>
      </c>
      <c r="H150" s="18" t="s">
        <v>146</v>
      </c>
      <c r="I150" s="132">
        <v>205</v>
      </c>
      <c r="J150" s="58">
        <v>0</v>
      </c>
      <c r="K150" s="59">
        <v>0</v>
      </c>
      <c r="L150" s="57" t="s">
        <v>147</v>
      </c>
      <c r="M150" s="59" t="s">
        <v>147</v>
      </c>
      <c r="N150" s="60">
        <f t="shared" si="36"/>
        <v>205</v>
      </c>
      <c r="O150" s="18">
        <f t="shared" si="37"/>
        <v>205</v>
      </c>
    </row>
    <row r="151" spans="1:34" ht="29" x14ac:dyDescent="0.35">
      <c r="A151" s="64">
        <f t="shared" si="31"/>
        <v>148</v>
      </c>
      <c r="B151" s="51" t="s">
        <v>326</v>
      </c>
      <c r="C151" s="44" t="s">
        <v>146</v>
      </c>
      <c r="D151" s="45" t="str">
        <f>D7</f>
        <v>Vestfrost</v>
      </c>
      <c r="E151" s="45" t="str">
        <f>E7&amp;"-spare parts"</f>
        <v>VLS 174A AC-spare parts</v>
      </c>
      <c r="F151" s="18" t="s">
        <v>146</v>
      </c>
      <c r="G151" s="18" t="s">
        <v>146</v>
      </c>
      <c r="H151" s="18" t="s">
        <v>146</v>
      </c>
      <c r="I151" s="132">
        <f>177*I2</f>
        <v>198.24</v>
      </c>
      <c r="J151" s="58">
        <v>0</v>
      </c>
      <c r="K151" s="59">
        <v>0</v>
      </c>
      <c r="L151" s="57" t="s">
        <v>147</v>
      </c>
      <c r="M151" s="59" t="s">
        <v>147</v>
      </c>
      <c r="N151" s="60">
        <f t="shared" si="36"/>
        <v>198.24</v>
      </c>
      <c r="O151" s="18">
        <f t="shared" si="37"/>
        <v>198.24</v>
      </c>
    </row>
    <row r="152" spans="1:34" ht="29" x14ac:dyDescent="0.35">
      <c r="A152" s="64">
        <f t="shared" si="31"/>
        <v>149</v>
      </c>
      <c r="B152" s="51" t="s">
        <v>326</v>
      </c>
      <c r="C152" s="44" t="s">
        <v>146</v>
      </c>
      <c r="D152" s="45" t="str">
        <f>D11</f>
        <v>Haier</v>
      </c>
      <c r="E152" s="45" t="str">
        <f>E11&amp;"-spare parts"</f>
        <v>HBC 80-spare parts</v>
      </c>
      <c r="F152" s="18" t="s">
        <v>146</v>
      </c>
      <c r="G152" s="18" t="s">
        <v>146</v>
      </c>
      <c r="H152" s="18" t="s">
        <v>146</v>
      </c>
      <c r="I152" s="132">
        <v>180</v>
      </c>
      <c r="J152" s="58">
        <v>0</v>
      </c>
      <c r="K152" s="59">
        <v>0</v>
      </c>
      <c r="L152" s="57" t="s">
        <v>147</v>
      </c>
      <c r="M152" s="59" t="s">
        <v>147</v>
      </c>
      <c r="N152" s="60">
        <f t="shared" si="36"/>
        <v>180</v>
      </c>
      <c r="O152" s="18">
        <f t="shared" si="37"/>
        <v>180</v>
      </c>
    </row>
    <row r="153" spans="1:34" ht="29" x14ac:dyDescent="0.35">
      <c r="A153" s="64">
        <f t="shared" si="31"/>
        <v>150</v>
      </c>
      <c r="B153" s="51" t="s">
        <v>326</v>
      </c>
      <c r="C153" s="44" t="s">
        <v>146</v>
      </c>
      <c r="D153" s="45" t="str">
        <f>D13</f>
        <v xml:space="preserve">Godrej &amp; Boyce </v>
      </c>
      <c r="E153" s="45" t="str">
        <f>E13&amp;"-spare parts"</f>
        <v>GVR 75 Lite AC-spare parts</v>
      </c>
      <c r="F153" s="18" t="s">
        <v>146</v>
      </c>
      <c r="G153" s="18" t="s">
        <v>146</v>
      </c>
      <c r="H153" s="18" t="s">
        <v>146</v>
      </c>
      <c r="I153" s="132">
        <v>205</v>
      </c>
      <c r="J153" s="58">
        <v>0</v>
      </c>
      <c r="K153" s="59">
        <v>0</v>
      </c>
      <c r="L153" s="57" t="s">
        <v>147</v>
      </c>
      <c r="M153" s="59" t="s">
        <v>147</v>
      </c>
      <c r="N153" s="60">
        <f t="shared" si="36"/>
        <v>205</v>
      </c>
      <c r="O153" s="18">
        <f t="shared" si="37"/>
        <v>205</v>
      </c>
    </row>
    <row r="154" spans="1:34" ht="29" x14ac:dyDescent="0.35">
      <c r="A154" s="64">
        <f t="shared" si="31"/>
        <v>151</v>
      </c>
      <c r="B154" s="51" t="s">
        <v>326</v>
      </c>
      <c r="C154" s="44" t="s">
        <v>146</v>
      </c>
      <c r="D154" s="45" t="str">
        <f>D15</f>
        <v>B Medical</v>
      </c>
      <c r="E154" s="45" t="str">
        <f>E15&amp;"-spare parts"</f>
        <v>TCW 80 AC-spare parts</v>
      </c>
      <c r="F154" s="18" t="s">
        <v>146</v>
      </c>
      <c r="G154" s="18" t="s">
        <v>146</v>
      </c>
      <c r="H154" s="18" t="s">
        <v>146</v>
      </c>
      <c r="I154" s="132">
        <f>380*I2</f>
        <v>425.6</v>
      </c>
      <c r="J154" s="58">
        <v>0</v>
      </c>
      <c r="K154" s="59">
        <v>0</v>
      </c>
      <c r="L154" s="57" t="s">
        <v>147</v>
      </c>
      <c r="M154" s="59" t="s">
        <v>147</v>
      </c>
      <c r="N154" s="60">
        <f t="shared" si="36"/>
        <v>425.6</v>
      </c>
      <c r="O154" s="18">
        <f t="shared" si="37"/>
        <v>425.6</v>
      </c>
    </row>
    <row r="155" spans="1:34" ht="29" x14ac:dyDescent="0.35">
      <c r="A155" s="64">
        <f t="shared" si="31"/>
        <v>152</v>
      </c>
      <c r="B155" s="51" t="s">
        <v>326</v>
      </c>
      <c r="C155" s="44" t="s">
        <v>146</v>
      </c>
      <c r="D155" s="45" t="str">
        <f>D16</f>
        <v>Vestfrost</v>
      </c>
      <c r="E155" s="45" t="str">
        <f>E16&amp;"-spare parts"</f>
        <v>VLS 304A AC-spare parts</v>
      </c>
      <c r="F155" s="18" t="s">
        <v>146</v>
      </c>
      <c r="G155" s="18" t="s">
        <v>146</v>
      </c>
      <c r="H155" s="18" t="s">
        <v>146</v>
      </c>
      <c r="I155" s="132">
        <f>177*I2</f>
        <v>198.24</v>
      </c>
      <c r="J155" s="58">
        <v>0</v>
      </c>
      <c r="K155" s="59">
        <v>0</v>
      </c>
      <c r="L155" s="57" t="s">
        <v>147</v>
      </c>
      <c r="M155" s="59" t="s">
        <v>147</v>
      </c>
      <c r="N155" s="60">
        <f t="shared" si="36"/>
        <v>198.24</v>
      </c>
      <c r="O155" s="18">
        <f t="shared" si="37"/>
        <v>198.24</v>
      </c>
    </row>
    <row r="156" spans="1:34" ht="29" x14ac:dyDescent="0.35">
      <c r="A156" s="64">
        <f t="shared" si="31"/>
        <v>153</v>
      </c>
      <c r="B156" s="51" t="s">
        <v>326</v>
      </c>
      <c r="C156" s="44" t="s">
        <v>146</v>
      </c>
      <c r="D156" s="45" t="str">
        <f>D18</f>
        <v>Vestfrost</v>
      </c>
      <c r="E156" s="45" t="str">
        <f>E18&amp;"-spare parts"</f>
        <v>VLS 204A AC-spare parts</v>
      </c>
      <c r="F156" s="18" t="s">
        <v>146</v>
      </c>
      <c r="G156" s="18" t="s">
        <v>146</v>
      </c>
      <c r="H156" s="18" t="s">
        <v>146</v>
      </c>
      <c r="I156" s="132">
        <f>177*I2</f>
        <v>198.24</v>
      </c>
      <c r="J156" s="58">
        <v>0</v>
      </c>
      <c r="K156" s="59">
        <v>0</v>
      </c>
      <c r="L156" s="57" t="s">
        <v>147</v>
      </c>
      <c r="M156" s="59" t="s">
        <v>147</v>
      </c>
      <c r="N156" s="60">
        <f t="shared" si="36"/>
        <v>198.24</v>
      </c>
      <c r="O156" s="18">
        <f t="shared" si="37"/>
        <v>198.24</v>
      </c>
    </row>
    <row r="157" spans="1:34" ht="29" x14ac:dyDescent="0.35">
      <c r="A157" s="64">
        <f t="shared" si="31"/>
        <v>154</v>
      </c>
      <c r="B157" s="51" t="s">
        <v>326</v>
      </c>
      <c r="C157" s="44" t="s">
        <v>146</v>
      </c>
      <c r="D157" s="45" t="str">
        <f>D20</f>
        <v xml:space="preserve">Godrej &amp; Boyce </v>
      </c>
      <c r="E157" s="45" t="str">
        <f>E20&amp;"-spare parts"</f>
        <v>GVR 99 Lite AC-spare parts</v>
      </c>
      <c r="F157" s="18" t="s">
        <v>146</v>
      </c>
      <c r="G157" s="18" t="s">
        <v>146</v>
      </c>
      <c r="H157" s="18" t="s">
        <v>146</v>
      </c>
      <c r="I157" s="132">
        <v>205</v>
      </c>
      <c r="J157" s="58">
        <v>0</v>
      </c>
      <c r="K157" s="59">
        <v>0</v>
      </c>
      <c r="L157" s="57" t="s">
        <v>147</v>
      </c>
      <c r="M157" s="59" t="s">
        <v>147</v>
      </c>
      <c r="N157" s="60">
        <f t="shared" si="36"/>
        <v>205</v>
      </c>
      <c r="O157" s="18">
        <f t="shared" si="37"/>
        <v>205</v>
      </c>
    </row>
    <row r="158" spans="1:34" ht="29" x14ac:dyDescent="0.35">
      <c r="A158" s="64">
        <f t="shared" si="31"/>
        <v>155</v>
      </c>
      <c r="B158" s="51" t="s">
        <v>326</v>
      </c>
      <c r="C158" s="44" t="s">
        <v>146</v>
      </c>
      <c r="D158" s="45" t="str">
        <f>D22</f>
        <v>Haier</v>
      </c>
      <c r="E158" s="45" t="str">
        <f>E22&amp;"-spare parts"</f>
        <v>HBC-120-spare parts</v>
      </c>
      <c r="F158" s="18" t="s">
        <v>146</v>
      </c>
      <c r="G158" s="18" t="s">
        <v>146</v>
      </c>
      <c r="H158" s="18" t="s">
        <v>146</v>
      </c>
      <c r="I158" s="132">
        <v>275</v>
      </c>
      <c r="J158" s="58">
        <v>0</v>
      </c>
      <c r="K158" s="59">
        <v>0</v>
      </c>
      <c r="L158" s="57" t="s">
        <v>147</v>
      </c>
      <c r="M158" s="59" t="s">
        <v>147</v>
      </c>
      <c r="N158" s="60">
        <f t="shared" si="36"/>
        <v>275</v>
      </c>
      <c r="O158" s="18">
        <f t="shared" si="37"/>
        <v>275</v>
      </c>
    </row>
    <row r="159" spans="1:34" ht="29" x14ac:dyDescent="0.35">
      <c r="A159" s="64">
        <f t="shared" si="31"/>
        <v>156</v>
      </c>
      <c r="B159" s="51" t="s">
        <v>326</v>
      </c>
      <c r="C159" s="44" t="s">
        <v>146</v>
      </c>
      <c r="D159" s="45" t="str">
        <f>D24</f>
        <v>Vestfrost</v>
      </c>
      <c r="E159" s="45" t="str">
        <f>E24&amp;"-spare parts"</f>
        <v>VLS 504A AC-spare parts</v>
      </c>
      <c r="F159" s="18" t="s">
        <v>146</v>
      </c>
      <c r="G159" s="18" t="s">
        <v>146</v>
      </c>
      <c r="H159" s="18" t="s">
        <v>146</v>
      </c>
      <c r="I159" s="132">
        <f>207*I2</f>
        <v>231.84000000000003</v>
      </c>
      <c r="J159" s="58">
        <v>0</v>
      </c>
      <c r="K159" s="59">
        <v>0</v>
      </c>
      <c r="L159" s="57" t="s">
        <v>147</v>
      </c>
      <c r="M159" s="59" t="s">
        <v>147</v>
      </c>
      <c r="N159" s="60">
        <f t="shared" si="36"/>
        <v>231.84000000000003</v>
      </c>
      <c r="O159" s="18">
        <f t="shared" si="37"/>
        <v>231.84000000000003</v>
      </c>
    </row>
    <row r="160" spans="1:34" ht="29" x14ac:dyDescent="0.35">
      <c r="A160" s="64">
        <f t="shared" si="31"/>
        <v>157</v>
      </c>
      <c r="B160" s="51" t="s">
        <v>326</v>
      </c>
      <c r="C160" s="44" t="s">
        <v>146</v>
      </c>
      <c r="D160" s="45" t="str">
        <f>D26</f>
        <v>Dulas Solar</v>
      </c>
      <c r="E160" s="45" t="str">
        <f>E26&amp;"-spare parts"</f>
        <v>VC 225 ILR-spare parts</v>
      </c>
      <c r="F160" s="18" t="s">
        <v>146</v>
      </c>
      <c r="G160" s="18" t="s">
        <v>146</v>
      </c>
      <c r="H160" s="18" t="s">
        <v>146</v>
      </c>
      <c r="I160" s="132">
        <f>485*I2</f>
        <v>543.20000000000005</v>
      </c>
      <c r="J160" s="58">
        <v>0</v>
      </c>
      <c r="K160" s="59">
        <v>0</v>
      </c>
      <c r="L160" s="57" t="s">
        <v>147</v>
      </c>
      <c r="M160" s="59" t="s">
        <v>147</v>
      </c>
      <c r="N160" s="60">
        <f t="shared" si="36"/>
        <v>543.20000000000005</v>
      </c>
      <c r="O160" s="18">
        <f t="shared" si="37"/>
        <v>543.20000000000005</v>
      </c>
    </row>
    <row r="161" spans="1:15" ht="29" x14ac:dyDescent="0.35">
      <c r="A161" s="64">
        <f t="shared" si="31"/>
        <v>158</v>
      </c>
      <c r="B161" s="51" t="s">
        <v>326</v>
      </c>
      <c r="C161" s="44" t="s">
        <v>146</v>
      </c>
      <c r="D161" s="45" t="str">
        <f>D28</f>
        <v>Haier</v>
      </c>
      <c r="E161" s="45" t="str">
        <f>E28&amp;"-spare parts"</f>
        <v>HBC 260-spare parts</v>
      </c>
      <c r="F161" s="18" t="s">
        <v>146</v>
      </c>
      <c r="G161" s="18" t="s">
        <v>146</v>
      </c>
      <c r="H161" s="18" t="s">
        <v>146</v>
      </c>
      <c r="I161" s="132">
        <v>180</v>
      </c>
      <c r="J161" s="58">
        <v>0</v>
      </c>
      <c r="K161" s="59">
        <v>0</v>
      </c>
      <c r="L161" s="57" t="s">
        <v>147</v>
      </c>
      <c r="M161" s="59" t="s">
        <v>147</v>
      </c>
      <c r="N161" s="60">
        <f t="shared" si="36"/>
        <v>180</v>
      </c>
      <c r="O161" s="18">
        <f t="shared" si="37"/>
        <v>180</v>
      </c>
    </row>
    <row r="162" spans="1:15" ht="29" x14ac:dyDescent="0.35">
      <c r="A162" s="64">
        <f t="shared" si="31"/>
        <v>159</v>
      </c>
      <c r="B162" s="51" t="s">
        <v>326</v>
      </c>
      <c r="C162" s="44" t="s">
        <v>146</v>
      </c>
      <c r="D162" s="45" t="str">
        <f>D30</f>
        <v xml:space="preserve">Godrej &amp; Boyce </v>
      </c>
      <c r="E162" s="45" t="str">
        <f>E30&amp;"-spare parts"</f>
        <v>GVR 225 AC-spare parts</v>
      </c>
      <c r="F162" s="18" t="s">
        <v>146</v>
      </c>
      <c r="G162" s="18" t="s">
        <v>146</v>
      </c>
      <c r="H162" s="18" t="s">
        <v>146</v>
      </c>
      <c r="I162" s="132">
        <v>250</v>
      </c>
      <c r="J162" s="58">
        <v>0</v>
      </c>
      <c r="K162" s="59">
        <v>0</v>
      </c>
      <c r="L162" s="57" t="s">
        <v>147</v>
      </c>
      <c r="M162" s="59" t="s">
        <v>147</v>
      </c>
      <c r="N162" s="60">
        <f t="shared" si="36"/>
        <v>250</v>
      </c>
      <c r="O162" s="18">
        <f t="shared" si="37"/>
        <v>250</v>
      </c>
    </row>
    <row r="163" spans="1:15" ht="29" x14ac:dyDescent="0.35">
      <c r="A163" s="64">
        <f t="shared" si="31"/>
        <v>160</v>
      </c>
      <c r="B163" s="51" t="s">
        <v>326</v>
      </c>
      <c r="C163" s="44" t="s">
        <v>146</v>
      </c>
      <c r="D163" s="45" t="str">
        <f>D32</f>
        <v>B Medical</v>
      </c>
      <c r="E163" s="45" t="str">
        <f>E32&amp;"-spare parts"</f>
        <v>TCW 4000 AC-spare parts</v>
      </c>
      <c r="F163" s="18" t="s">
        <v>146</v>
      </c>
      <c r="G163" s="18" t="s">
        <v>146</v>
      </c>
      <c r="H163" s="18" t="s">
        <v>146</v>
      </c>
      <c r="I163" s="132">
        <f>330*I2</f>
        <v>369.6</v>
      </c>
      <c r="J163" s="58">
        <v>0</v>
      </c>
      <c r="K163" s="59">
        <v>0</v>
      </c>
      <c r="L163" s="57" t="s">
        <v>147</v>
      </c>
      <c r="M163" s="59" t="s">
        <v>147</v>
      </c>
      <c r="N163" s="60">
        <f t="shared" si="36"/>
        <v>369.6</v>
      </c>
      <c r="O163" s="18">
        <f t="shared" si="37"/>
        <v>369.6</v>
      </c>
    </row>
    <row r="164" spans="1:15" ht="29" x14ac:dyDescent="0.35">
      <c r="A164" s="64">
        <f t="shared" si="31"/>
        <v>161</v>
      </c>
      <c r="B164" s="51" t="s">
        <v>326</v>
      </c>
      <c r="C164" s="44" t="s">
        <v>146</v>
      </c>
      <c r="D164" s="45" t="str">
        <f>D33</f>
        <v xml:space="preserve">Coolfinity  </v>
      </c>
      <c r="E164" s="45" t="str">
        <f>E33&amp;"-spare parts"</f>
        <v>Coolfinity IceVolt 300P-spare parts</v>
      </c>
      <c r="F164" s="18" t="s">
        <v>146</v>
      </c>
      <c r="G164" s="18" t="s">
        <v>146</v>
      </c>
      <c r="H164" s="18" t="s">
        <v>146</v>
      </c>
      <c r="I164" s="132">
        <f>480*I2</f>
        <v>537.6</v>
      </c>
      <c r="J164" s="58">
        <v>0</v>
      </c>
      <c r="K164" s="59">
        <v>0</v>
      </c>
      <c r="L164" s="57" t="s">
        <v>147</v>
      </c>
      <c r="M164" s="59" t="s">
        <v>147</v>
      </c>
      <c r="N164" s="60">
        <f t="shared" si="36"/>
        <v>537.6</v>
      </c>
      <c r="O164" s="18">
        <f t="shared" si="37"/>
        <v>537.6</v>
      </c>
    </row>
    <row r="165" spans="1:15" ht="29" x14ac:dyDescent="0.35">
      <c r="A165" s="64">
        <f t="shared" si="31"/>
        <v>162</v>
      </c>
      <c r="B165" s="25" t="s">
        <v>327</v>
      </c>
      <c r="C165" s="44" t="s">
        <v>146</v>
      </c>
      <c r="D165" s="45" t="s">
        <v>161</v>
      </c>
      <c r="E165" s="45" t="str">
        <f>E35&amp;"-spare parts"</f>
        <v>HBCD - 90-spare parts</v>
      </c>
      <c r="F165" s="18" t="s">
        <v>146</v>
      </c>
      <c r="G165" s="18" t="s">
        <v>146</v>
      </c>
      <c r="H165" s="18" t="s">
        <v>146</v>
      </c>
      <c r="I165" s="132">
        <v>180</v>
      </c>
      <c r="J165" s="58">
        <v>0</v>
      </c>
      <c r="K165" s="59">
        <v>0</v>
      </c>
      <c r="L165" s="57" t="s">
        <v>147</v>
      </c>
      <c r="M165" s="59" t="s">
        <v>147</v>
      </c>
      <c r="N165" s="60">
        <f t="shared" si="36"/>
        <v>180</v>
      </c>
      <c r="O165" s="18">
        <f t="shared" si="37"/>
        <v>180</v>
      </c>
    </row>
    <row r="166" spans="1:15" ht="29" x14ac:dyDescent="0.35">
      <c r="A166" s="64">
        <f t="shared" si="31"/>
        <v>163</v>
      </c>
      <c r="B166" s="25" t="s">
        <v>327</v>
      </c>
      <c r="C166" s="44" t="s">
        <v>146</v>
      </c>
      <c r="D166" s="45" t="s">
        <v>149</v>
      </c>
      <c r="E166" s="45" t="str">
        <f>E37&amp;"-spare parts"</f>
        <v>GVR 55 FF AC-spare parts</v>
      </c>
      <c r="F166" s="18" t="s">
        <v>146</v>
      </c>
      <c r="G166" s="18" t="s">
        <v>146</v>
      </c>
      <c r="H166" s="18" t="s">
        <v>146</v>
      </c>
      <c r="I166" s="132">
        <v>250</v>
      </c>
      <c r="J166" s="58">
        <v>0</v>
      </c>
      <c r="K166" s="59">
        <v>0</v>
      </c>
      <c r="L166" s="57" t="s">
        <v>147</v>
      </c>
      <c r="M166" s="59" t="s">
        <v>147</v>
      </c>
      <c r="N166" s="60">
        <f t="shared" si="36"/>
        <v>250</v>
      </c>
      <c r="O166" s="18">
        <f t="shared" si="37"/>
        <v>250</v>
      </c>
    </row>
    <row r="167" spans="1:15" ht="29" x14ac:dyDescent="0.35">
      <c r="A167" s="64">
        <f t="shared" si="31"/>
        <v>164</v>
      </c>
      <c r="B167" s="25" t="s">
        <v>327</v>
      </c>
      <c r="C167" s="44"/>
      <c r="D167" s="45" t="s">
        <v>153</v>
      </c>
      <c r="E167" s="45" t="str">
        <f>E39&amp;"-spare parts"</f>
        <v>VLS 064 RF AC-spare parts</v>
      </c>
      <c r="F167" s="18" t="s">
        <v>146</v>
      </c>
      <c r="G167" s="18" t="s">
        <v>146</v>
      </c>
      <c r="H167" s="18" t="s">
        <v>146</v>
      </c>
      <c r="I167" s="132">
        <f>358*I2</f>
        <v>400.96000000000004</v>
      </c>
      <c r="J167" s="58">
        <v>0</v>
      </c>
      <c r="K167" s="59">
        <v>0</v>
      </c>
      <c r="L167" s="57" t="s">
        <v>147</v>
      </c>
      <c r="M167" s="59" t="s">
        <v>147</v>
      </c>
      <c r="N167" s="60">
        <f t="shared" si="36"/>
        <v>400.96000000000004</v>
      </c>
      <c r="O167" s="18">
        <f t="shared" si="37"/>
        <v>400.96000000000004</v>
      </c>
    </row>
    <row r="168" spans="1:15" ht="29" x14ac:dyDescent="0.35">
      <c r="A168" s="64">
        <f t="shared" si="31"/>
        <v>165</v>
      </c>
      <c r="B168" s="25" t="s">
        <v>327</v>
      </c>
      <c r="C168" s="44" t="s">
        <v>146</v>
      </c>
      <c r="D168" s="45" t="s">
        <v>144</v>
      </c>
      <c r="E168" s="45" t="str">
        <f>E41&amp;"-spare parts"</f>
        <v>TCW120AC-spare parts</v>
      </c>
      <c r="F168" s="18" t="s">
        <v>146</v>
      </c>
      <c r="G168" s="18" t="s">
        <v>146</v>
      </c>
      <c r="H168" s="18" t="s">
        <v>146</v>
      </c>
      <c r="I168" s="132">
        <f>486.63*I2</f>
        <v>545.02560000000005</v>
      </c>
      <c r="J168" s="58">
        <v>0</v>
      </c>
      <c r="K168" s="59">
        <v>0</v>
      </c>
      <c r="L168" s="57" t="s">
        <v>147</v>
      </c>
      <c r="M168" s="59" t="s">
        <v>147</v>
      </c>
      <c r="N168" s="60">
        <f t="shared" si="36"/>
        <v>545.02560000000005</v>
      </c>
      <c r="O168" s="18">
        <f t="shared" si="37"/>
        <v>545.02560000000005</v>
      </c>
    </row>
    <row r="169" spans="1:15" x14ac:dyDescent="0.35">
      <c r="A169" s="64">
        <f t="shared" si="31"/>
        <v>166</v>
      </c>
      <c r="B169" s="52" t="s">
        <v>328</v>
      </c>
      <c r="C169" s="44" t="s">
        <v>146</v>
      </c>
      <c r="D169" s="45" t="s">
        <v>157</v>
      </c>
      <c r="E169" s="45" t="str">
        <f>E42&amp;"-spare parts"</f>
        <v>DW-25W147-spare parts</v>
      </c>
      <c r="F169" s="18" t="s">
        <v>146</v>
      </c>
      <c r="G169" s="18" t="s">
        <v>146</v>
      </c>
      <c r="H169" s="18" t="s">
        <v>146</v>
      </c>
      <c r="I169" s="132">
        <v>215</v>
      </c>
      <c r="J169" s="58">
        <v>0</v>
      </c>
      <c r="K169" s="59">
        <v>0</v>
      </c>
      <c r="L169" s="57" t="s">
        <v>147</v>
      </c>
      <c r="M169" s="59" t="s">
        <v>147</v>
      </c>
      <c r="N169" s="60">
        <f t="shared" si="36"/>
        <v>215</v>
      </c>
      <c r="O169" s="18">
        <f t="shared" si="37"/>
        <v>215</v>
      </c>
    </row>
    <row r="170" spans="1:15" x14ac:dyDescent="0.35">
      <c r="A170" s="64">
        <f t="shared" si="31"/>
        <v>167</v>
      </c>
      <c r="B170" s="52" t="s">
        <v>328</v>
      </c>
      <c r="C170" s="44" t="s">
        <v>146</v>
      </c>
      <c r="D170" s="45" t="s">
        <v>153</v>
      </c>
      <c r="E170" s="45" t="str">
        <f>E54&amp;"-spare parts"</f>
        <v>MF 114-spare parts</v>
      </c>
      <c r="F170" s="18" t="s">
        <v>146</v>
      </c>
      <c r="G170" s="18" t="s">
        <v>146</v>
      </c>
      <c r="H170" s="18" t="s">
        <v>146</v>
      </c>
      <c r="I170" s="132">
        <f>163*I2</f>
        <v>182.56000000000003</v>
      </c>
      <c r="J170" s="58">
        <v>0</v>
      </c>
      <c r="K170" s="59">
        <v>0</v>
      </c>
      <c r="L170" s="57" t="s">
        <v>147</v>
      </c>
      <c r="M170" s="59" t="s">
        <v>147</v>
      </c>
      <c r="N170" s="60">
        <f t="shared" si="36"/>
        <v>182.56000000000003</v>
      </c>
      <c r="O170" s="18">
        <f t="shared" si="37"/>
        <v>182.56000000000003</v>
      </c>
    </row>
    <row r="171" spans="1:15" x14ac:dyDescent="0.35">
      <c r="A171" s="64">
        <f t="shared" si="31"/>
        <v>168</v>
      </c>
      <c r="B171" s="52" t="s">
        <v>328</v>
      </c>
      <c r="C171" s="44" t="s">
        <v>146</v>
      </c>
      <c r="D171" s="45" t="s">
        <v>161</v>
      </c>
      <c r="E171" s="45" t="str">
        <f>E44&amp;"-spare parts"</f>
        <v>HBD-86-spare parts</v>
      </c>
      <c r="F171" s="18" t="s">
        <v>146</v>
      </c>
      <c r="G171" s="18" t="s">
        <v>146</v>
      </c>
      <c r="H171" s="18" t="s">
        <v>146</v>
      </c>
      <c r="I171" s="132">
        <v>180</v>
      </c>
      <c r="J171" s="58">
        <v>0</v>
      </c>
      <c r="K171" s="59">
        <v>0</v>
      </c>
      <c r="L171" s="57" t="s">
        <v>147</v>
      </c>
      <c r="M171" s="59" t="s">
        <v>147</v>
      </c>
      <c r="N171" s="60">
        <f t="shared" si="36"/>
        <v>180</v>
      </c>
      <c r="O171" s="18">
        <f t="shared" si="37"/>
        <v>180</v>
      </c>
    </row>
    <row r="172" spans="1:15" x14ac:dyDescent="0.35">
      <c r="A172" s="64">
        <f t="shared" si="31"/>
        <v>169</v>
      </c>
      <c r="B172" s="52" t="s">
        <v>328</v>
      </c>
      <c r="C172" s="44" t="s">
        <v>146</v>
      </c>
      <c r="D172" s="45" t="s">
        <v>157</v>
      </c>
      <c r="E172" s="45" t="str">
        <f>E46&amp;"-spare parts"</f>
        <v>DW-25W300-spare parts</v>
      </c>
      <c r="F172" s="18" t="s">
        <v>146</v>
      </c>
      <c r="G172" s="18" t="s">
        <v>146</v>
      </c>
      <c r="H172" s="18" t="s">
        <v>146</v>
      </c>
      <c r="I172" s="132">
        <v>215</v>
      </c>
      <c r="J172" s="58">
        <v>0</v>
      </c>
      <c r="K172" s="59">
        <v>0</v>
      </c>
      <c r="L172" s="57" t="s">
        <v>147</v>
      </c>
      <c r="M172" s="59" t="s">
        <v>147</v>
      </c>
      <c r="N172" s="60">
        <f t="shared" si="36"/>
        <v>215</v>
      </c>
      <c r="O172" s="18">
        <f t="shared" si="37"/>
        <v>215</v>
      </c>
    </row>
    <row r="173" spans="1:15" x14ac:dyDescent="0.35">
      <c r="A173" s="64">
        <f t="shared" si="31"/>
        <v>170</v>
      </c>
      <c r="B173" s="52" t="s">
        <v>328</v>
      </c>
      <c r="C173" s="44" t="s">
        <v>146</v>
      </c>
      <c r="D173" s="45" t="s">
        <v>153</v>
      </c>
      <c r="E173" s="45" t="str">
        <f>E48&amp;"-spare parts"</f>
        <v>MF 314-spare parts</v>
      </c>
      <c r="F173" s="18" t="s">
        <v>146</v>
      </c>
      <c r="G173" s="18" t="s">
        <v>146</v>
      </c>
      <c r="H173" s="18" t="s">
        <v>146</v>
      </c>
      <c r="I173" s="132">
        <f>163*I2</f>
        <v>182.56000000000003</v>
      </c>
      <c r="J173" s="58">
        <v>0</v>
      </c>
      <c r="K173" s="59">
        <v>0</v>
      </c>
      <c r="L173" s="57" t="s">
        <v>147</v>
      </c>
      <c r="M173" s="59" t="s">
        <v>147</v>
      </c>
      <c r="N173" s="60">
        <f t="shared" si="36"/>
        <v>182.56000000000003</v>
      </c>
      <c r="O173" s="18">
        <f t="shared" si="37"/>
        <v>182.56000000000003</v>
      </c>
    </row>
    <row r="174" spans="1:15" x14ac:dyDescent="0.35">
      <c r="A174" s="64">
        <f t="shared" si="31"/>
        <v>171</v>
      </c>
      <c r="B174" s="52" t="s">
        <v>328</v>
      </c>
      <c r="C174" s="44" t="s">
        <v>146</v>
      </c>
      <c r="D174" s="45" t="s">
        <v>161</v>
      </c>
      <c r="E174" s="45" t="str">
        <f>E50&amp;"-spare parts"</f>
        <v>HBD-265-spare parts</v>
      </c>
      <c r="F174" s="18" t="s">
        <v>146</v>
      </c>
      <c r="G174" s="18" t="s">
        <v>146</v>
      </c>
      <c r="H174" s="18" t="s">
        <v>146</v>
      </c>
      <c r="I174" s="132">
        <v>180</v>
      </c>
      <c r="J174" s="58">
        <v>0</v>
      </c>
      <c r="K174" s="59">
        <v>0</v>
      </c>
      <c r="L174" s="57" t="s">
        <v>147</v>
      </c>
      <c r="M174" s="59" t="s">
        <v>147</v>
      </c>
      <c r="N174" s="60">
        <f t="shared" si="36"/>
        <v>180</v>
      </c>
      <c r="O174" s="18">
        <f t="shared" si="37"/>
        <v>180</v>
      </c>
    </row>
    <row r="175" spans="1:15" x14ac:dyDescent="0.35">
      <c r="A175" s="64">
        <f t="shared" si="31"/>
        <v>172</v>
      </c>
      <c r="B175" s="52" t="s">
        <v>328</v>
      </c>
      <c r="C175" s="44" t="s">
        <v>146</v>
      </c>
      <c r="D175" s="45" t="s">
        <v>144</v>
      </c>
      <c r="E175" s="45" t="str">
        <f>E101&amp;"-spare parts"</f>
        <v>TCW120SDD-spare parts</v>
      </c>
      <c r="F175" s="18" t="s">
        <v>146</v>
      </c>
      <c r="G175" s="18" t="s">
        <v>146</v>
      </c>
      <c r="H175" s="18" t="s">
        <v>146</v>
      </c>
      <c r="I175" s="132">
        <f>486.63*I2</f>
        <v>545.02560000000005</v>
      </c>
      <c r="J175" s="58">
        <v>0</v>
      </c>
      <c r="K175" s="59">
        <v>0</v>
      </c>
      <c r="L175" s="57" t="s">
        <v>147</v>
      </c>
      <c r="M175" s="59" t="s">
        <v>147</v>
      </c>
      <c r="N175" s="60">
        <f t="shared" si="36"/>
        <v>545.02560000000005</v>
      </c>
      <c r="O175" s="18">
        <f t="shared" si="37"/>
        <v>545.02560000000005</v>
      </c>
    </row>
    <row r="176" spans="1:15" x14ac:dyDescent="0.35">
      <c r="A176" s="64">
        <f t="shared" si="31"/>
        <v>173</v>
      </c>
      <c r="B176" s="52" t="s">
        <v>328</v>
      </c>
      <c r="C176" s="44" t="s">
        <v>146</v>
      </c>
      <c r="D176" s="45" t="s">
        <v>149</v>
      </c>
      <c r="E176" s="45" t="str">
        <f>E52&amp;"-spare parts"</f>
        <v>GMF 200 ECO-spare parts</v>
      </c>
      <c r="F176" s="18" t="s">
        <v>146</v>
      </c>
      <c r="G176" s="18" t="s">
        <v>146</v>
      </c>
      <c r="H176" s="18" t="s">
        <v>146</v>
      </c>
      <c r="I176" s="132">
        <v>189</v>
      </c>
      <c r="J176" s="58">
        <v>0</v>
      </c>
      <c r="K176" s="59">
        <v>0</v>
      </c>
      <c r="L176" s="57" t="s">
        <v>147</v>
      </c>
      <c r="M176" s="59" t="s">
        <v>147</v>
      </c>
      <c r="N176" s="60">
        <f t="shared" si="36"/>
        <v>189</v>
      </c>
      <c r="O176" s="18">
        <f t="shared" si="37"/>
        <v>189</v>
      </c>
    </row>
    <row r="177" spans="1:15" ht="43.5" x14ac:dyDescent="0.35">
      <c r="A177" s="64">
        <f t="shared" si="31"/>
        <v>174</v>
      </c>
      <c r="B177" s="53" t="s">
        <v>329</v>
      </c>
      <c r="C177" s="44" t="s">
        <v>146</v>
      </c>
      <c r="D177" s="45" t="s">
        <v>144</v>
      </c>
      <c r="E177" s="45" t="str">
        <f>E56&amp;" -spare parts"</f>
        <v>TCW 40R SDD -spare parts</v>
      </c>
      <c r="F177" s="18" t="s">
        <v>146</v>
      </c>
      <c r="G177" s="18" t="s">
        <v>146</v>
      </c>
      <c r="H177" s="18" t="s">
        <v>146</v>
      </c>
      <c r="I177" s="132">
        <f>365*I2</f>
        <v>408.8</v>
      </c>
      <c r="J177" s="58">
        <v>0</v>
      </c>
      <c r="K177" s="59">
        <v>0</v>
      </c>
      <c r="L177" s="57" t="s">
        <v>147</v>
      </c>
      <c r="M177" s="59" t="s">
        <v>147</v>
      </c>
      <c r="N177" s="60">
        <f t="shared" si="36"/>
        <v>408.8</v>
      </c>
      <c r="O177" s="18">
        <f t="shared" si="37"/>
        <v>408.8</v>
      </c>
    </row>
    <row r="178" spans="1:15" ht="43.5" x14ac:dyDescent="0.35">
      <c r="A178" s="64">
        <f t="shared" si="31"/>
        <v>175</v>
      </c>
      <c r="B178" s="53" t="s">
        <v>329</v>
      </c>
      <c r="C178" s="44" t="s">
        <v>146</v>
      </c>
      <c r="D178" s="45" t="str">
        <f>D37</f>
        <v xml:space="preserve">Godrej &amp; Boyce </v>
      </c>
      <c r="E178" s="45" t="str">
        <f>E57&amp;" -spare parts"</f>
        <v>GVR 50 DC -spare parts</v>
      </c>
      <c r="F178" s="18" t="s">
        <v>146</v>
      </c>
      <c r="G178" s="18" t="s">
        <v>146</v>
      </c>
      <c r="H178" s="18" t="s">
        <v>146</v>
      </c>
      <c r="I178" s="132">
        <v>550</v>
      </c>
      <c r="J178" s="58">
        <v>0</v>
      </c>
      <c r="K178" s="59">
        <v>0</v>
      </c>
      <c r="L178" s="57" t="s">
        <v>147</v>
      </c>
      <c r="M178" s="59" t="s">
        <v>147</v>
      </c>
      <c r="N178" s="60">
        <f t="shared" si="36"/>
        <v>550</v>
      </c>
      <c r="O178" s="18">
        <f t="shared" si="37"/>
        <v>550</v>
      </c>
    </row>
    <row r="179" spans="1:15" ht="43.5" x14ac:dyDescent="0.35">
      <c r="A179" s="64">
        <f t="shared" si="31"/>
        <v>176</v>
      </c>
      <c r="B179" s="53" t="s">
        <v>329</v>
      </c>
      <c r="C179" s="44" t="s">
        <v>146</v>
      </c>
      <c r="D179" s="45" t="s">
        <v>157</v>
      </c>
      <c r="E179" s="45" t="str">
        <f>E59&amp;" -spare parts"</f>
        <v>CFD-50 SDD -spare parts</v>
      </c>
      <c r="F179" s="18" t="s">
        <v>146</v>
      </c>
      <c r="G179" s="18" t="s">
        <v>146</v>
      </c>
      <c r="H179" s="18" t="s">
        <v>146</v>
      </c>
      <c r="I179" s="132">
        <v>538.5</v>
      </c>
      <c r="J179" s="58">
        <v>0</v>
      </c>
      <c r="K179" s="59">
        <v>0</v>
      </c>
      <c r="L179" s="57" t="s">
        <v>147</v>
      </c>
      <c r="M179" s="59" t="s">
        <v>147</v>
      </c>
      <c r="N179" s="60">
        <f t="shared" si="36"/>
        <v>538.5</v>
      </c>
      <c r="O179" s="18">
        <f t="shared" si="37"/>
        <v>538.5</v>
      </c>
    </row>
    <row r="180" spans="1:15" ht="43.5" x14ac:dyDescent="0.35">
      <c r="A180" s="64">
        <f t="shared" si="31"/>
        <v>177</v>
      </c>
      <c r="B180" s="53" t="s">
        <v>329</v>
      </c>
      <c r="C180" s="44" t="s">
        <v>146</v>
      </c>
      <c r="D180" s="45"/>
      <c r="E180" s="45" t="str">
        <f>E61&amp;" -spare parts"</f>
        <v xml:space="preserve"> -spare parts</v>
      </c>
      <c r="F180" s="18" t="s">
        <v>146</v>
      </c>
      <c r="G180" s="18" t="s">
        <v>146</v>
      </c>
      <c r="H180" s="18" t="s">
        <v>146</v>
      </c>
      <c r="I180" s="132"/>
      <c r="J180" s="58">
        <v>0</v>
      </c>
      <c r="K180" s="59">
        <v>0</v>
      </c>
      <c r="L180" s="57" t="s">
        <v>147</v>
      </c>
      <c r="M180" s="59" t="s">
        <v>147</v>
      </c>
      <c r="N180" s="60">
        <f t="shared" si="36"/>
        <v>0</v>
      </c>
      <c r="O180" s="18">
        <f t="shared" si="37"/>
        <v>0</v>
      </c>
    </row>
    <row r="181" spans="1:15" ht="43.5" x14ac:dyDescent="0.35">
      <c r="A181" s="64">
        <f t="shared" si="31"/>
        <v>178</v>
      </c>
      <c r="B181" s="53" t="s">
        <v>329</v>
      </c>
      <c r="C181" s="44" t="s">
        <v>146</v>
      </c>
      <c r="D181" s="45" t="s">
        <v>153</v>
      </c>
      <c r="E181" s="45" t="str">
        <f>E63&amp;" -spare parts"</f>
        <v>VLS 054A SDD -spare parts</v>
      </c>
      <c r="F181" s="18" t="s">
        <v>146</v>
      </c>
      <c r="G181" s="18" t="s">
        <v>146</v>
      </c>
      <c r="H181" s="18" t="s">
        <v>146</v>
      </c>
      <c r="I181" s="132">
        <f>398*I2</f>
        <v>445.76000000000005</v>
      </c>
      <c r="J181" s="58">
        <v>0</v>
      </c>
      <c r="K181" s="59">
        <v>0</v>
      </c>
      <c r="L181" s="57" t="s">
        <v>147</v>
      </c>
      <c r="M181" s="59" t="s">
        <v>147</v>
      </c>
      <c r="N181" s="60">
        <f t="shared" si="36"/>
        <v>445.76000000000005</v>
      </c>
      <c r="O181" s="18">
        <f t="shared" si="37"/>
        <v>445.76000000000005</v>
      </c>
    </row>
    <row r="182" spans="1:15" ht="43.5" x14ac:dyDescent="0.35">
      <c r="A182" s="64">
        <f t="shared" si="31"/>
        <v>179</v>
      </c>
      <c r="B182" s="53" t="s">
        <v>329</v>
      </c>
      <c r="C182" s="44" t="s">
        <v>146</v>
      </c>
      <c r="D182" s="45" t="s">
        <v>161</v>
      </c>
      <c r="E182" s="45" t="str">
        <f>E65&amp;" -spare parts"</f>
        <v>HTC 110 SDD -spare parts</v>
      </c>
      <c r="F182" s="18" t="s">
        <v>146</v>
      </c>
      <c r="G182" s="18" t="s">
        <v>146</v>
      </c>
      <c r="H182" s="18" t="s">
        <v>146</v>
      </c>
      <c r="I182" s="132">
        <v>395</v>
      </c>
      <c r="J182" s="58">
        <v>0</v>
      </c>
      <c r="K182" s="59">
        <v>0</v>
      </c>
      <c r="L182" s="57" t="s">
        <v>147</v>
      </c>
      <c r="M182" s="59" t="s">
        <v>147</v>
      </c>
      <c r="N182" s="60">
        <f t="shared" si="36"/>
        <v>395</v>
      </c>
      <c r="O182" s="18">
        <f t="shared" si="37"/>
        <v>395</v>
      </c>
    </row>
    <row r="183" spans="1:15" ht="43.5" x14ac:dyDescent="0.35">
      <c r="A183" s="64">
        <f t="shared" si="31"/>
        <v>180</v>
      </c>
      <c r="B183" s="53" t="s">
        <v>329</v>
      </c>
      <c r="C183" s="44" t="s">
        <v>146</v>
      </c>
      <c r="D183" s="45" t="s">
        <v>182</v>
      </c>
      <c r="E183" s="45" t="str">
        <f>E67&amp;" -spare parts"</f>
        <v>VC 88 SDD -spare parts</v>
      </c>
      <c r="F183" s="18" t="s">
        <v>146</v>
      </c>
      <c r="G183" s="18" t="s">
        <v>146</v>
      </c>
      <c r="H183" s="18" t="s">
        <v>146</v>
      </c>
      <c r="I183" s="132">
        <f>485*I2</f>
        <v>543.20000000000005</v>
      </c>
      <c r="J183" s="58">
        <v>0</v>
      </c>
      <c r="K183" s="59">
        <v>0</v>
      </c>
      <c r="L183" s="57" t="s">
        <v>147</v>
      </c>
      <c r="M183" s="59" t="s">
        <v>147</v>
      </c>
      <c r="N183" s="60">
        <f t="shared" si="36"/>
        <v>543.20000000000005</v>
      </c>
      <c r="O183" s="18">
        <f t="shared" si="37"/>
        <v>543.20000000000005</v>
      </c>
    </row>
    <row r="184" spans="1:15" ht="43.5" x14ac:dyDescent="0.35">
      <c r="A184" s="64">
        <f t="shared" si="31"/>
        <v>181</v>
      </c>
      <c r="B184" s="53" t="s">
        <v>329</v>
      </c>
      <c r="C184" s="44" t="s">
        <v>146</v>
      </c>
      <c r="D184" s="45" t="s">
        <v>153</v>
      </c>
      <c r="E184" s="45" t="str">
        <f>E69&amp;" -spare parts"</f>
        <v>VLS 094A SDD -spare parts</v>
      </c>
      <c r="F184" s="18" t="s">
        <v>146</v>
      </c>
      <c r="G184" s="18" t="s">
        <v>146</v>
      </c>
      <c r="H184" s="18" t="s">
        <v>146</v>
      </c>
      <c r="I184" s="132">
        <f>398*I2</f>
        <v>445.76000000000005</v>
      </c>
      <c r="J184" s="58">
        <v>0</v>
      </c>
      <c r="K184" s="59">
        <v>0</v>
      </c>
      <c r="L184" s="57" t="s">
        <v>147</v>
      </c>
      <c r="M184" s="59" t="s">
        <v>147</v>
      </c>
      <c r="N184" s="60">
        <f t="shared" si="36"/>
        <v>445.76000000000005</v>
      </c>
      <c r="O184" s="18">
        <f t="shared" si="37"/>
        <v>445.76000000000005</v>
      </c>
    </row>
    <row r="185" spans="1:15" ht="43.5" x14ac:dyDescent="0.35">
      <c r="A185" s="64">
        <f t="shared" si="31"/>
        <v>182</v>
      </c>
      <c r="B185" s="53" t="s">
        <v>329</v>
      </c>
      <c r="C185" s="44" t="s">
        <v>146</v>
      </c>
      <c r="D185" s="45" t="s">
        <v>149</v>
      </c>
      <c r="E185" s="45" t="str">
        <f>E71&amp;" -spare parts"</f>
        <v>GVR 100 DC -spare parts</v>
      </c>
      <c r="F185" s="18" t="s">
        <v>146</v>
      </c>
      <c r="G185" s="18" t="s">
        <v>146</v>
      </c>
      <c r="H185" s="18" t="s">
        <v>146</v>
      </c>
      <c r="I185" s="132">
        <v>550</v>
      </c>
      <c r="J185" s="58">
        <v>0</v>
      </c>
      <c r="K185" s="59">
        <v>0</v>
      </c>
      <c r="L185" s="57" t="s">
        <v>147</v>
      </c>
      <c r="M185" s="59" t="s">
        <v>147</v>
      </c>
      <c r="N185" s="60">
        <f t="shared" si="36"/>
        <v>550</v>
      </c>
      <c r="O185" s="18">
        <f t="shared" si="37"/>
        <v>550</v>
      </c>
    </row>
    <row r="186" spans="1:15" ht="43.5" x14ac:dyDescent="0.35">
      <c r="A186" s="64">
        <f t="shared" si="31"/>
        <v>183</v>
      </c>
      <c r="B186" s="53" t="s">
        <v>329</v>
      </c>
      <c r="C186" s="44" t="s">
        <v>146</v>
      </c>
      <c r="D186" s="45" t="s">
        <v>161</v>
      </c>
      <c r="E186" s="45" t="str">
        <f>E73&amp;" -spare parts"</f>
        <v>HTC-120 -spare parts</v>
      </c>
      <c r="F186" s="18" t="s">
        <v>146</v>
      </c>
      <c r="G186" s="18" t="s">
        <v>146</v>
      </c>
      <c r="H186" s="18" t="s">
        <v>146</v>
      </c>
      <c r="I186" s="132">
        <v>410</v>
      </c>
      <c r="J186" s="58">
        <v>0</v>
      </c>
      <c r="K186" s="59">
        <v>0</v>
      </c>
      <c r="L186" s="57" t="s">
        <v>147</v>
      </c>
      <c r="M186" s="59" t="s">
        <v>147</v>
      </c>
      <c r="N186" s="60">
        <f t="shared" si="36"/>
        <v>410</v>
      </c>
      <c r="O186" s="18">
        <f t="shared" si="37"/>
        <v>410</v>
      </c>
    </row>
    <row r="187" spans="1:15" ht="43.5" x14ac:dyDescent="0.35">
      <c r="A187" s="64">
        <f t="shared" si="31"/>
        <v>184</v>
      </c>
      <c r="B187" s="53" t="s">
        <v>329</v>
      </c>
      <c r="C187" s="44" t="s">
        <v>146</v>
      </c>
      <c r="D187" s="45" t="s">
        <v>144</v>
      </c>
      <c r="E187" s="45" t="str">
        <f>E75&amp;" -spare parts"</f>
        <v>TCW 80 SDD -spare parts</v>
      </c>
      <c r="F187" s="18" t="s">
        <v>146</v>
      </c>
      <c r="G187" s="18" t="s">
        <v>146</v>
      </c>
      <c r="H187" s="18" t="s">
        <v>146</v>
      </c>
      <c r="I187" s="132">
        <f>358*I2</f>
        <v>400.96000000000004</v>
      </c>
      <c r="J187" s="58">
        <v>0</v>
      </c>
      <c r="K187" s="59">
        <v>0</v>
      </c>
      <c r="L187" s="57" t="s">
        <v>147</v>
      </c>
      <c r="M187" s="59" t="s">
        <v>147</v>
      </c>
      <c r="N187" s="60">
        <f t="shared" si="36"/>
        <v>400.96000000000004</v>
      </c>
      <c r="O187" s="18">
        <f t="shared" si="37"/>
        <v>400.96000000000004</v>
      </c>
    </row>
    <row r="188" spans="1:15" ht="43.5" x14ac:dyDescent="0.35">
      <c r="A188" s="64">
        <f t="shared" si="31"/>
        <v>185</v>
      </c>
      <c r="B188" s="53" t="s">
        <v>329</v>
      </c>
      <c r="C188" s="44" t="s">
        <v>146</v>
      </c>
      <c r="D188" s="45" t="s">
        <v>182</v>
      </c>
      <c r="E188" s="45" t="str">
        <f>E76&amp;" -spare parts"</f>
        <v>VC 200 SDD -spare parts</v>
      </c>
      <c r="F188" s="18" t="s">
        <v>146</v>
      </c>
      <c r="G188" s="18" t="s">
        <v>146</v>
      </c>
      <c r="H188" s="18" t="s">
        <v>146</v>
      </c>
      <c r="I188" s="132">
        <f>485*I2</f>
        <v>543.20000000000005</v>
      </c>
      <c r="J188" s="58">
        <v>0</v>
      </c>
      <c r="K188" s="59">
        <v>0</v>
      </c>
      <c r="L188" s="57" t="s">
        <v>147</v>
      </c>
      <c r="M188" s="59" t="s">
        <v>147</v>
      </c>
      <c r="N188" s="60">
        <f t="shared" si="36"/>
        <v>543.20000000000005</v>
      </c>
      <c r="O188" s="18">
        <f t="shared" si="37"/>
        <v>543.20000000000005</v>
      </c>
    </row>
    <row r="189" spans="1:15" ht="43.5" x14ac:dyDescent="0.35">
      <c r="A189" s="64">
        <f t="shared" si="31"/>
        <v>186</v>
      </c>
      <c r="B189" s="53" t="s">
        <v>329</v>
      </c>
      <c r="C189" s="44" t="s">
        <v>146</v>
      </c>
      <c r="D189" s="45" t="s">
        <v>153</v>
      </c>
      <c r="E189" s="45" t="str">
        <f>E78&amp;" -spare parts"</f>
        <v>VLS 154A SDD -spare parts</v>
      </c>
      <c r="F189" s="18" t="s">
        <v>146</v>
      </c>
      <c r="G189" s="18" t="s">
        <v>146</v>
      </c>
      <c r="H189" s="18" t="s">
        <v>146</v>
      </c>
      <c r="I189" s="132">
        <f>398*I2</f>
        <v>445.76000000000005</v>
      </c>
      <c r="J189" s="58">
        <v>0</v>
      </c>
      <c r="K189" s="59">
        <v>0</v>
      </c>
      <c r="L189" s="57" t="s">
        <v>147</v>
      </c>
      <c r="M189" s="59" t="s">
        <v>147</v>
      </c>
      <c r="N189" s="60">
        <f t="shared" si="36"/>
        <v>445.76000000000005</v>
      </c>
      <c r="O189" s="18">
        <f t="shared" si="37"/>
        <v>445.76000000000005</v>
      </c>
    </row>
    <row r="190" spans="1:15" ht="43.5" x14ac:dyDescent="0.35">
      <c r="A190" s="64">
        <f t="shared" si="31"/>
        <v>187</v>
      </c>
      <c r="B190" s="53" t="s">
        <v>329</v>
      </c>
      <c r="C190" s="44" t="s">
        <v>146</v>
      </c>
      <c r="D190" s="45" t="s">
        <v>161</v>
      </c>
      <c r="E190" s="45" t="str">
        <f>E80&amp;" -spare parts"</f>
        <v>HTC-240 -spare parts</v>
      </c>
      <c r="F190" s="18" t="s">
        <v>146</v>
      </c>
      <c r="G190" s="18" t="s">
        <v>146</v>
      </c>
      <c r="H190" s="18" t="s">
        <v>146</v>
      </c>
      <c r="I190" s="132">
        <v>410</v>
      </c>
      <c r="J190" s="58">
        <v>0</v>
      </c>
      <c r="K190" s="59">
        <v>0</v>
      </c>
      <c r="L190" s="57" t="s">
        <v>147</v>
      </c>
      <c r="M190" s="59" t="s">
        <v>147</v>
      </c>
      <c r="N190" s="60">
        <f t="shared" si="36"/>
        <v>410</v>
      </c>
      <c r="O190" s="18">
        <f t="shared" si="37"/>
        <v>410</v>
      </c>
    </row>
    <row r="191" spans="1:15" ht="43.5" x14ac:dyDescent="0.35">
      <c r="A191" s="64">
        <f t="shared" si="31"/>
        <v>188</v>
      </c>
      <c r="B191" s="53" t="s">
        <v>329</v>
      </c>
      <c r="C191" s="44" t="s">
        <v>146</v>
      </c>
      <c r="D191" s="45" t="s">
        <v>144</v>
      </c>
      <c r="E191" s="45" t="str">
        <f>E82&amp;" -spare parts"</f>
        <v>TCW 4000 SDD -spare parts</v>
      </c>
      <c r="F191" s="18" t="s">
        <v>146</v>
      </c>
      <c r="G191" s="18" t="s">
        <v>146</v>
      </c>
      <c r="H191" s="18" t="s">
        <v>146</v>
      </c>
      <c r="I191" s="132">
        <f>402*I2</f>
        <v>450.24000000000007</v>
      </c>
      <c r="J191" s="58">
        <v>0</v>
      </c>
      <c r="K191" s="59">
        <v>0</v>
      </c>
      <c r="L191" s="57" t="s">
        <v>147</v>
      </c>
      <c r="M191" s="59" t="s">
        <v>147</v>
      </c>
      <c r="N191" s="60">
        <f t="shared" si="36"/>
        <v>450.24000000000007</v>
      </c>
      <c r="O191" s="18">
        <f t="shared" si="37"/>
        <v>450.24000000000007</v>
      </c>
    </row>
    <row r="192" spans="1:15" ht="29" x14ac:dyDescent="0.35">
      <c r="A192" s="64">
        <f t="shared" si="31"/>
        <v>189</v>
      </c>
      <c r="B192" s="54" t="s">
        <v>330</v>
      </c>
      <c r="C192" s="44" t="s">
        <v>146</v>
      </c>
      <c r="D192" s="45" t="s">
        <v>144</v>
      </c>
      <c r="E192" s="45" t="str">
        <f>E83&amp;" -spare parts"</f>
        <v>TCW 40 SDD -spare parts</v>
      </c>
      <c r="F192" s="18" t="s">
        <v>146</v>
      </c>
      <c r="G192" s="18" t="s">
        <v>146</v>
      </c>
      <c r="H192" s="18" t="s">
        <v>146</v>
      </c>
      <c r="I192" s="132">
        <f>365*I2</f>
        <v>408.8</v>
      </c>
      <c r="J192" s="58">
        <v>0</v>
      </c>
      <c r="K192" s="59">
        <v>0</v>
      </c>
      <c r="L192" s="57" t="s">
        <v>147</v>
      </c>
      <c r="M192" s="59" t="s">
        <v>147</v>
      </c>
      <c r="N192" s="60">
        <f t="shared" si="36"/>
        <v>408.8</v>
      </c>
      <c r="O192" s="18">
        <f t="shared" si="37"/>
        <v>408.8</v>
      </c>
    </row>
    <row r="193" spans="1:15" ht="29" x14ac:dyDescent="0.35">
      <c r="A193" s="64">
        <f t="shared" si="31"/>
        <v>190</v>
      </c>
      <c r="B193" s="54" t="s">
        <v>330</v>
      </c>
      <c r="C193" s="44" t="s">
        <v>146</v>
      </c>
      <c r="D193" s="45" t="s">
        <v>161</v>
      </c>
      <c r="E193" s="45" t="str">
        <f>E84&amp;" -spare parts"</f>
        <v>HTCD 90 SDD -spare parts</v>
      </c>
      <c r="F193" s="18" t="s">
        <v>146</v>
      </c>
      <c r="G193" s="18" t="s">
        <v>146</v>
      </c>
      <c r="H193" s="18" t="s">
        <v>146</v>
      </c>
      <c r="I193" s="132">
        <v>395</v>
      </c>
      <c r="J193" s="58">
        <v>0</v>
      </c>
      <c r="K193" s="59">
        <v>0</v>
      </c>
      <c r="L193" s="57" t="s">
        <v>147</v>
      </c>
      <c r="M193" s="59" t="s">
        <v>147</v>
      </c>
      <c r="N193" s="60">
        <f t="shared" si="36"/>
        <v>395</v>
      </c>
      <c r="O193" s="18">
        <f t="shared" si="37"/>
        <v>395</v>
      </c>
    </row>
    <row r="194" spans="1:15" ht="29" x14ac:dyDescent="0.35">
      <c r="A194" s="64">
        <f t="shared" si="31"/>
        <v>191</v>
      </c>
      <c r="B194" s="54" t="s">
        <v>330</v>
      </c>
      <c r="C194" s="44" t="s">
        <v>146</v>
      </c>
      <c r="D194" s="45" t="str">
        <f>D86</f>
        <v>Vestfrost</v>
      </c>
      <c r="E194" s="45" t="str">
        <f>E86&amp;" -spare parts"</f>
        <v>VLS 056 RF SDD -spare parts</v>
      </c>
      <c r="F194" s="18" t="s">
        <v>146</v>
      </c>
      <c r="G194" s="18" t="s">
        <v>146</v>
      </c>
      <c r="H194" s="18" t="s">
        <v>146</v>
      </c>
      <c r="I194" s="132">
        <f>451*I2</f>
        <v>505.12000000000006</v>
      </c>
      <c r="J194" s="58">
        <v>0</v>
      </c>
      <c r="K194" s="59">
        <v>0</v>
      </c>
      <c r="L194" s="57" t="s">
        <v>147</v>
      </c>
      <c r="M194" s="59" t="s">
        <v>147</v>
      </c>
      <c r="N194" s="60">
        <f t="shared" si="36"/>
        <v>505.12000000000006</v>
      </c>
      <c r="O194" s="18">
        <f t="shared" si="37"/>
        <v>505.12000000000006</v>
      </c>
    </row>
    <row r="195" spans="1:15" ht="29" x14ac:dyDescent="0.35">
      <c r="A195" s="64">
        <f t="shared" si="31"/>
        <v>192</v>
      </c>
      <c r="B195" s="54" t="s">
        <v>330</v>
      </c>
      <c r="C195" s="44" t="s">
        <v>146</v>
      </c>
      <c r="D195" s="45" t="str">
        <f>D88</f>
        <v>Dulas Solar</v>
      </c>
      <c r="E195" s="45" t="str">
        <f>E88&amp;" -spare parts"</f>
        <v>VC 60 SDD -spare parts</v>
      </c>
      <c r="F195" s="18" t="s">
        <v>146</v>
      </c>
      <c r="G195" s="18" t="s">
        <v>146</v>
      </c>
      <c r="H195" s="18" t="s">
        <v>146</v>
      </c>
      <c r="I195" s="132">
        <f>625*I2</f>
        <v>700.00000000000011</v>
      </c>
      <c r="J195" s="58">
        <v>0</v>
      </c>
      <c r="K195" s="59">
        <v>0</v>
      </c>
      <c r="L195" s="57" t="s">
        <v>147</v>
      </c>
      <c r="M195" s="59" t="s">
        <v>147</v>
      </c>
      <c r="N195" s="60">
        <f t="shared" si="36"/>
        <v>700.00000000000011</v>
      </c>
      <c r="O195" s="18">
        <f t="shared" si="37"/>
        <v>700.00000000000011</v>
      </c>
    </row>
    <row r="196" spans="1:15" ht="29" x14ac:dyDescent="0.35">
      <c r="A196" s="64">
        <f t="shared" si="31"/>
        <v>193</v>
      </c>
      <c r="B196" s="54" t="s">
        <v>330</v>
      </c>
      <c r="C196" s="44" t="s">
        <v>146</v>
      </c>
      <c r="D196" s="45" t="str">
        <f>D90</f>
        <v xml:space="preserve">Godrej &amp; Boyce </v>
      </c>
      <c r="E196" s="45" t="str">
        <f>E90&amp;" -spare parts"</f>
        <v>GVR 55 FF DC -spare parts</v>
      </c>
      <c r="F196" s="18" t="s">
        <v>146</v>
      </c>
      <c r="G196" s="18" t="s">
        <v>146</v>
      </c>
      <c r="H196" s="18" t="s">
        <v>146</v>
      </c>
      <c r="I196" s="132">
        <v>650</v>
      </c>
      <c r="J196" s="58">
        <v>0</v>
      </c>
      <c r="K196" s="59">
        <v>0</v>
      </c>
      <c r="L196" s="57" t="s">
        <v>147</v>
      </c>
      <c r="M196" s="59" t="s">
        <v>147</v>
      </c>
      <c r="N196" s="60">
        <f t="shared" si="36"/>
        <v>650</v>
      </c>
      <c r="O196" s="18">
        <f t="shared" si="37"/>
        <v>650</v>
      </c>
    </row>
    <row r="197" spans="1:15" ht="29" x14ac:dyDescent="0.35">
      <c r="A197" s="64">
        <f t="shared" si="31"/>
        <v>194</v>
      </c>
      <c r="B197" s="54" t="s">
        <v>330</v>
      </c>
      <c r="C197" s="44" t="s">
        <v>146</v>
      </c>
      <c r="D197" s="45" t="str">
        <f>D94</f>
        <v>B Medical</v>
      </c>
      <c r="E197" s="45" t="str">
        <f>E94&amp;" -spare parts"</f>
        <v>TCW 2043 SDD -spare parts</v>
      </c>
      <c r="F197" s="18" t="s">
        <v>146</v>
      </c>
      <c r="G197" s="18" t="s">
        <v>146</v>
      </c>
      <c r="H197" s="18" t="s">
        <v>146</v>
      </c>
      <c r="I197" s="132">
        <f>378*I2</f>
        <v>423.36</v>
      </c>
      <c r="J197" s="58">
        <v>0</v>
      </c>
      <c r="K197" s="59">
        <v>0</v>
      </c>
      <c r="L197" s="57" t="s">
        <v>147</v>
      </c>
      <c r="M197" s="59" t="s">
        <v>147</v>
      </c>
      <c r="N197" s="60">
        <f t="shared" si="36"/>
        <v>423.36</v>
      </c>
      <c r="O197" s="18">
        <f t="shared" si="37"/>
        <v>423.36</v>
      </c>
    </row>
    <row r="198" spans="1:15" ht="29" x14ac:dyDescent="0.35">
      <c r="A198" s="64">
        <f t="shared" si="31"/>
        <v>195</v>
      </c>
      <c r="B198" s="54" t="s">
        <v>330</v>
      </c>
      <c r="C198" s="44" t="s">
        <v>146</v>
      </c>
      <c r="D198" s="45" t="str">
        <f>D95</f>
        <v>Haier</v>
      </c>
      <c r="E198" s="45" t="str">
        <f>E95&amp;" -spare parts"</f>
        <v>HTCD 160B SDD -spare parts</v>
      </c>
      <c r="F198" s="18" t="s">
        <v>146</v>
      </c>
      <c r="G198" s="18" t="s">
        <v>146</v>
      </c>
      <c r="H198" s="18" t="s">
        <v>146</v>
      </c>
      <c r="I198" s="132">
        <v>410</v>
      </c>
      <c r="J198" s="58">
        <v>0</v>
      </c>
      <c r="K198" s="59">
        <v>0</v>
      </c>
      <c r="L198" s="57" t="s">
        <v>147</v>
      </c>
      <c r="M198" s="59" t="s">
        <v>147</v>
      </c>
      <c r="N198" s="60">
        <f t="shared" si="36"/>
        <v>410</v>
      </c>
      <c r="O198" s="18">
        <f t="shared" si="37"/>
        <v>410</v>
      </c>
    </row>
    <row r="199" spans="1:15" ht="29" x14ac:dyDescent="0.35">
      <c r="A199" s="64">
        <f t="shared" si="31"/>
        <v>196</v>
      </c>
      <c r="B199" s="54" t="s">
        <v>330</v>
      </c>
      <c r="C199" s="44" t="s">
        <v>146</v>
      </c>
      <c r="D199" s="45" t="str">
        <f>D97</f>
        <v>Dulas Solar</v>
      </c>
      <c r="E199" s="45" t="str">
        <f>E97&amp;" -spare parts"</f>
        <v>VC 150 SDD -spare parts</v>
      </c>
      <c r="F199" s="18" t="s">
        <v>146</v>
      </c>
      <c r="G199" s="18" t="s">
        <v>146</v>
      </c>
      <c r="H199" s="18" t="s">
        <v>146</v>
      </c>
      <c r="I199" s="132">
        <f>625*I2</f>
        <v>700.00000000000011</v>
      </c>
      <c r="J199" s="58">
        <v>0</v>
      </c>
      <c r="K199" s="59">
        <v>0</v>
      </c>
      <c r="L199" s="57" t="s">
        <v>147</v>
      </c>
      <c r="M199" s="59" t="s">
        <v>147</v>
      </c>
      <c r="N199" s="60">
        <f t="shared" si="36"/>
        <v>700.00000000000011</v>
      </c>
      <c r="O199" s="18">
        <f t="shared" si="37"/>
        <v>700.00000000000011</v>
      </c>
    </row>
    <row r="200" spans="1:15" ht="29" x14ac:dyDescent="0.35">
      <c r="A200" s="64">
        <f t="shared" si="31"/>
        <v>197</v>
      </c>
      <c r="B200" s="54" t="s">
        <v>330</v>
      </c>
      <c r="C200" s="44" t="s">
        <v>146</v>
      </c>
      <c r="D200" s="45" t="str">
        <f>D99</f>
        <v>Vestfrost</v>
      </c>
      <c r="E200" s="45" t="str">
        <f>E99&amp;" -spare parts"</f>
        <v>VLS 096A RF SDD -spare parts</v>
      </c>
      <c r="F200" s="18" t="s">
        <v>146</v>
      </c>
      <c r="G200" s="18" t="s">
        <v>146</v>
      </c>
      <c r="H200" s="18" t="s">
        <v>146</v>
      </c>
      <c r="I200" s="132">
        <f>392*I2</f>
        <v>439.04</v>
      </c>
      <c r="J200" s="58">
        <v>0</v>
      </c>
      <c r="K200" s="59">
        <v>0</v>
      </c>
      <c r="L200" s="57" t="s">
        <v>147</v>
      </c>
      <c r="M200" s="59" t="s">
        <v>147</v>
      </c>
      <c r="N200" s="60">
        <f t="shared" si="36"/>
        <v>439.04</v>
      </c>
      <c r="O200" s="18">
        <f t="shared" si="37"/>
        <v>439.04</v>
      </c>
    </row>
    <row r="201" spans="1:15" ht="29" x14ac:dyDescent="0.35">
      <c r="A201" s="64">
        <f t="shared" ref="A201:A225" si="38">A200+1</f>
        <v>198</v>
      </c>
      <c r="B201" s="54" t="s">
        <v>330</v>
      </c>
      <c r="C201" s="44" t="s">
        <v>146</v>
      </c>
      <c r="D201" s="45" t="str">
        <f>D92</f>
        <v>Aucma</v>
      </c>
      <c r="E201" s="45" t="str">
        <f>E92&amp;" -spare parts"</f>
        <v>TCD-100 -spare parts</v>
      </c>
      <c r="F201" s="18" t="s">
        <v>146</v>
      </c>
      <c r="G201" s="18" t="s">
        <v>146</v>
      </c>
      <c r="H201" s="18" t="s">
        <v>146</v>
      </c>
      <c r="I201" s="132">
        <v>422</v>
      </c>
      <c r="J201" s="58">
        <v>0</v>
      </c>
      <c r="K201" s="59">
        <v>0</v>
      </c>
      <c r="L201" s="57" t="s">
        <v>147</v>
      </c>
      <c r="M201" s="59" t="s">
        <v>147</v>
      </c>
      <c r="N201" s="60">
        <f t="shared" si="36"/>
        <v>422</v>
      </c>
      <c r="O201" s="18">
        <f t="shared" si="37"/>
        <v>422</v>
      </c>
    </row>
    <row r="202" spans="1:15" ht="29" x14ac:dyDescent="0.35">
      <c r="A202" s="64">
        <f t="shared" si="38"/>
        <v>199</v>
      </c>
      <c r="B202" s="54" t="s">
        <v>330</v>
      </c>
      <c r="C202" s="44" t="s">
        <v>146</v>
      </c>
      <c r="D202" s="45" t="str">
        <f>D101</f>
        <v>B Medical</v>
      </c>
      <c r="E202" s="45" t="str">
        <f>E101&amp;" -spare parts"</f>
        <v>TCW120SDD -spare parts</v>
      </c>
      <c r="F202" s="18" t="s">
        <v>146</v>
      </c>
      <c r="G202" s="18" t="s">
        <v>146</v>
      </c>
      <c r="H202" s="18" t="s">
        <v>146</v>
      </c>
      <c r="I202" s="132">
        <f>486.63*I2</f>
        <v>545.02560000000005</v>
      </c>
      <c r="J202" s="58">
        <v>0</v>
      </c>
      <c r="K202" s="59">
        <v>0</v>
      </c>
      <c r="L202" s="57" t="s">
        <v>147</v>
      </c>
      <c r="M202" s="59" t="s">
        <v>147</v>
      </c>
      <c r="N202" s="60">
        <f t="shared" si="36"/>
        <v>545.02560000000005</v>
      </c>
      <c r="O202" s="18">
        <f t="shared" si="37"/>
        <v>545.02560000000005</v>
      </c>
    </row>
    <row r="203" spans="1:15" x14ac:dyDescent="0.35">
      <c r="A203" s="64">
        <f t="shared" si="38"/>
        <v>200</v>
      </c>
      <c r="B203" s="112" t="s">
        <v>331</v>
      </c>
      <c r="C203" s="44" t="s">
        <v>146</v>
      </c>
      <c r="D203" s="45" t="str">
        <f>D102</f>
        <v>Vestfrost</v>
      </c>
      <c r="E203" s="45" t="str">
        <f>E102&amp;" -spare parts"</f>
        <v>VFS 048 SDD -spare parts</v>
      </c>
      <c r="F203" s="18" t="s">
        <v>146</v>
      </c>
      <c r="G203" s="18" t="s">
        <v>146</v>
      </c>
      <c r="H203" s="18" t="s">
        <v>146</v>
      </c>
      <c r="I203" s="132">
        <f>398*I2</f>
        <v>445.76000000000005</v>
      </c>
      <c r="J203" s="58">
        <v>0</v>
      </c>
      <c r="K203" s="59">
        <v>0</v>
      </c>
      <c r="L203" s="57" t="s">
        <v>147</v>
      </c>
      <c r="M203" s="59" t="s">
        <v>147</v>
      </c>
      <c r="N203" s="60">
        <f t="shared" si="36"/>
        <v>445.76000000000005</v>
      </c>
      <c r="O203" s="18">
        <f t="shared" si="37"/>
        <v>445.76000000000005</v>
      </c>
    </row>
    <row r="204" spans="1:15" x14ac:dyDescent="0.35">
      <c r="A204" s="64">
        <f t="shared" si="38"/>
        <v>201</v>
      </c>
      <c r="B204" s="112" t="s">
        <v>331</v>
      </c>
      <c r="C204" s="44" t="s">
        <v>146</v>
      </c>
      <c r="D204" s="45" t="str">
        <f>D104</f>
        <v>B Medical</v>
      </c>
      <c r="E204" s="45" t="str">
        <f>E104&amp;" -spare parts"</f>
        <v>TFW 40 SDD -spare parts</v>
      </c>
      <c r="F204" s="18" t="s">
        <v>146</v>
      </c>
      <c r="G204" s="18" t="s">
        <v>146</v>
      </c>
      <c r="H204" s="18" t="s">
        <v>146</v>
      </c>
      <c r="I204" s="132">
        <f>367*I2</f>
        <v>411.04</v>
      </c>
      <c r="J204" s="58">
        <v>0</v>
      </c>
      <c r="K204" s="59">
        <v>0</v>
      </c>
      <c r="L204" s="57" t="s">
        <v>147</v>
      </c>
      <c r="M204" s="59" t="s">
        <v>147</v>
      </c>
      <c r="N204" s="60">
        <f t="shared" si="36"/>
        <v>411.04</v>
      </c>
      <c r="O204" s="18">
        <f t="shared" si="37"/>
        <v>411.04</v>
      </c>
    </row>
    <row r="205" spans="1:15" x14ac:dyDescent="0.35">
      <c r="A205" s="64">
        <f t="shared" si="38"/>
        <v>202</v>
      </c>
      <c r="B205" s="112" t="s">
        <v>331</v>
      </c>
      <c r="C205" s="44" t="s">
        <v>146</v>
      </c>
      <c r="D205" s="45" t="s">
        <v>161</v>
      </c>
      <c r="E205" s="45" t="str">
        <f>E103&amp;" -spare parts"</f>
        <v>HTD 40 SDD -spare parts</v>
      </c>
      <c r="F205" s="18" t="s">
        <v>146</v>
      </c>
      <c r="G205" s="18" t="s">
        <v>146</v>
      </c>
      <c r="H205" s="18" t="s">
        <v>146</v>
      </c>
      <c r="I205" s="133">
        <v>410</v>
      </c>
      <c r="J205" s="58">
        <v>0</v>
      </c>
      <c r="K205" s="59">
        <v>0</v>
      </c>
      <c r="L205" s="57" t="s">
        <v>147</v>
      </c>
      <c r="M205" s="59" t="s">
        <v>147</v>
      </c>
      <c r="N205" s="60">
        <f t="shared" si="36"/>
        <v>410</v>
      </c>
      <c r="O205" s="18">
        <f t="shared" si="37"/>
        <v>410</v>
      </c>
    </row>
    <row r="206" spans="1:15" ht="29" x14ac:dyDescent="0.35">
      <c r="A206" s="64">
        <f t="shared" si="38"/>
        <v>203</v>
      </c>
      <c r="B206" s="110" t="s">
        <v>106</v>
      </c>
      <c r="C206" s="44" t="s">
        <v>146</v>
      </c>
      <c r="D206" s="45" t="s">
        <v>263</v>
      </c>
      <c r="E206" s="108" t="s">
        <v>332</v>
      </c>
      <c r="F206" s="18" t="s">
        <v>146</v>
      </c>
      <c r="G206" s="18" t="s">
        <v>146</v>
      </c>
      <c r="H206" s="18" t="s">
        <v>146</v>
      </c>
      <c r="I206" s="133">
        <v>400</v>
      </c>
      <c r="J206" s="58">
        <v>0</v>
      </c>
      <c r="K206" s="59">
        <v>0</v>
      </c>
      <c r="L206" s="57" t="s">
        <v>147</v>
      </c>
      <c r="M206" s="59" t="s">
        <v>147</v>
      </c>
      <c r="N206" s="60">
        <f t="shared" si="36"/>
        <v>400</v>
      </c>
      <c r="O206" s="18">
        <f t="shared" si="37"/>
        <v>400</v>
      </c>
    </row>
    <row r="207" spans="1:15" ht="29" x14ac:dyDescent="0.35">
      <c r="A207" s="64">
        <f t="shared" si="38"/>
        <v>204</v>
      </c>
      <c r="B207" s="110" t="s">
        <v>106</v>
      </c>
      <c r="C207" s="44" t="s">
        <v>146</v>
      </c>
      <c r="D207" s="45" t="s">
        <v>263</v>
      </c>
      <c r="E207" s="108" t="s">
        <v>333</v>
      </c>
      <c r="F207" s="18" t="s">
        <v>146</v>
      </c>
      <c r="G207" s="18" t="s">
        <v>146</v>
      </c>
      <c r="H207" s="18" t="s">
        <v>146</v>
      </c>
      <c r="I207" s="133">
        <v>69.599999999999994</v>
      </c>
      <c r="J207" s="58">
        <v>0</v>
      </c>
      <c r="K207" s="59">
        <v>0</v>
      </c>
      <c r="L207" s="57" t="s">
        <v>147</v>
      </c>
      <c r="M207" s="59" t="s">
        <v>147</v>
      </c>
      <c r="N207" s="60">
        <f t="shared" si="36"/>
        <v>69.599999999999994</v>
      </c>
      <c r="O207" s="18">
        <f t="shared" si="37"/>
        <v>69.599999999999994</v>
      </c>
    </row>
    <row r="208" spans="1:15" ht="29" x14ac:dyDescent="0.35">
      <c r="A208" s="64">
        <f t="shared" si="38"/>
        <v>205</v>
      </c>
      <c r="B208" s="110" t="s">
        <v>106</v>
      </c>
      <c r="C208" s="44" t="s">
        <v>146</v>
      </c>
      <c r="D208" s="45" t="s">
        <v>269</v>
      </c>
      <c r="E208" s="108" t="s">
        <v>334</v>
      </c>
      <c r="F208" s="18" t="s">
        <v>146</v>
      </c>
      <c r="G208" s="18" t="s">
        <v>146</v>
      </c>
      <c r="H208" s="18" t="s">
        <v>146</v>
      </c>
      <c r="I208" s="133">
        <v>342.5</v>
      </c>
      <c r="J208" s="58">
        <v>0</v>
      </c>
      <c r="K208" s="59">
        <v>0</v>
      </c>
      <c r="L208" s="57" t="s">
        <v>147</v>
      </c>
      <c r="M208" s="59" t="s">
        <v>147</v>
      </c>
      <c r="N208" s="60">
        <f t="shared" si="36"/>
        <v>342.5</v>
      </c>
      <c r="O208" s="18">
        <f t="shared" si="37"/>
        <v>342.5</v>
      </c>
    </row>
    <row r="209" spans="1:15" ht="29" x14ac:dyDescent="0.35">
      <c r="A209" s="64">
        <f t="shared" si="38"/>
        <v>206</v>
      </c>
      <c r="B209" s="110" t="s">
        <v>106</v>
      </c>
      <c r="C209" s="44" t="s">
        <v>146</v>
      </c>
      <c r="D209" s="45" t="s">
        <v>161</v>
      </c>
      <c r="E209" s="108" t="s">
        <v>335</v>
      </c>
      <c r="F209" s="18" t="s">
        <v>146</v>
      </c>
      <c r="G209" s="18" t="s">
        <v>146</v>
      </c>
      <c r="H209" s="18" t="s">
        <v>146</v>
      </c>
      <c r="I209" s="133">
        <v>240</v>
      </c>
      <c r="J209" s="58">
        <v>0</v>
      </c>
      <c r="K209" s="59">
        <v>0</v>
      </c>
      <c r="L209" s="57" t="s">
        <v>147</v>
      </c>
      <c r="M209" s="59" t="s">
        <v>147</v>
      </c>
      <c r="N209" s="60">
        <f t="shared" si="36"/>
        <v>240</v>
      </c>
      <c r="O209" s="18">
        <f t="shared" si="37"/>
        <v>240</v>
      </c>
    </row>
    <row r="210" spans="1:15" ht="29" x14ac:dyDescent="0.35">
      <c r="A210" s="64">
        <f t="shared" si="38"/>
        <v>207</v>
      </c>
      <c r="B210" s="110" t="s">
        <v>106</v>
      </c>
      <c r="C210" s="44" t="s">
        <v>146</v>
      </c>
      <c r="D210" s="45" t="s">
        <v>153</v>
      </c>
      <c r="E210" s="108" t="s">
        <v>336</v>
      </c>
      <c r="F210" s="18" t="s">
        <v>146</v>
      </c>
      <c r="G210" s="18" t="s">
        <v>146</v>
      </c>
      <c r="H210" s="18" t="s">
        <v>146</v>
      </c>
      <c r="I210" s="133">
        <f>365*I2</f>
        <v>408.8</v>
      </c>
      <c r="J210" s="58">
        <v>0</v>
      </c>
      <c r="K210" s="59">
        <v>0</v>
      </c>
      <c r="L210" s="57" t="s">
        <v>147</v>
      </c>
      <c r="M210" s="59" t="s">
        <v>147</v>
      </c>
      <c r="N210" s="60">
        <f t="shared" si="36"/>
        <v>408.8</v>
      </c>
      <c r="O210" s="18">
        <f t="shared" si="37"/>
        <v>408.8</v>
      </c>
    </row>
    <row r="211" spans="1:15" ht="29" x14ac:dyDescent="0.35">
      <c r="A211" s="64">
        <f t="shared" si="38"/>
        <v>208</v>
      </c>
      <c r="B211" s="110" t="s">
        <v>106</v>
      </c>
      <c r="C211" s="44" t="s">
        <v>146</v>
      </c>
      <c r="D211" s="45" t="s">
        <v>271</v>
      </c>
      <c r="E211" s="108" t="s">
        <v>337</v>
      </c>
      <c r="F211" s="18" t="s">
        <v>146</v>
      </c>
      <c r="G211" s="18" t="s">
        <v>146</v>
      </c>
      <c r="H211" s="18" t="s">
        <v>146</v>
      </c>
      <c r="I211" s="133">
        <v>875.66666666666663</v>
      </c>
      <c r="J211" s="58">
        <v>0</v>
      </c>
      <c r="K211" s="59">
        <v>0</v>
      </c>
      <c r="L211" s="57" t="s">
        <v>147</v>
      </c>
      <c r="M211" s="59" t="s">
        <v>147</v>
      </c>
      <c r="N211" s="60">
        <f t="shared" si="36"/>
        <v>875.66666666666663</v>
      </c>
      <c r="O211" s="18">
        <f t="shared" si="37"/>
        <v>875.66666666666663</v>
      </c>
    </row>
    <row r="212" spans="1:15" ht="29" x14ac:dyDescent="0.35">
      <c r="A212" s="64">
        <f t="shared" si="38"/>
        <v>209</v>
      </c>
      <c r="B212" s="110" t="s">
        <v>106</v>
      </c>
      <c r="C212" s="44" t="s">
        <v>146</v>
      </c>
      <c r="D212" s="45" t="s">
        <v>277</v>
      </c>
      <c r="E212" s="108" t="s">
        <v>338</v>
      </c>
      <c r="F212" s="18" t="s">
        <v>146</v>
      </c>
      <c r="G212" s="18" t="s">
        <v>146</v>
      </c>
      <c r="H212" s="18" t="s">
        <v>146</v>
      </c>
      <c r="I212" s="133">
        <v>80</v>
      </c>
      <c r="J212" s="58">
        <v>0</v>
      </c>
      <c r="K212" s="59">
        <v>0</v>
      </c>
      <c r="L212" s="57" t="s">
        <v>147</v>
      </c>
      <c r="M212" s="59" t="s">
        <v>147</v>
      </c>
      <c r="N212" s="60">
        <f t="shared" ref="N212:N225" si="39">I212+J212</f>
        <v>80</v>
      </c>
      <c r="O212" s="18">
        <f t="shared" ref="O212:O225" si="40">I212+K212</f>
        <v>80</v>
      </c>
    </row>
    <row r="213" spans="1:15" ht="29" x14ac:dyDescent="0.35">
      <c r="A213" s="64">
        <f t="shared" si="38"/>
        <v>210</v>
      </c>
      <c r="B213" s="110" t="s">
        <v>106</v>
      </c>
      <c r="C213" s="44" t="s">
        <v>146</v>
      </c>
      <c r="D213" s="45" t="s">
        <v>277</v>
      </c>
      <c r="E213" s="108" t="s">
        <v>339</v>
      </c>
      <c r="F213" s="18" t="s">
        <v>146</v>
      </c>
      <c r="G213" s="18" t="s">
        <v>146</v>
      </c>
      <c r="H213" s="18" t="s">
        <v>146</v>
      </c>
      <c r="I213" s="133">
        <v>60</v>
      </c>
      <c r="J213" s="58">
        <v>0</v>
      </c>
      <c r="K213" s="59">
        <v>0</v>
      </c>
      <c r="L213" s="57" t="s">
        <v>147</v>
      </c>
      <c r="M213" s="59" t="s">
        <v>147</v>
      </c>
      <c r="N213" s="60">
        <f t="shared" si="39"/>
        <v>60</v>
      </c>
      <c r="O213" s="18">
        <f t="shared" si="40"/>
        <v>60</v>
      </c>
    </row>
    <row r="214" spans="1:15" ht="29" x14ac:dyDescent="0.35">
      <c r="A214" s="64">
        <f t="shared" si="38"/>
        <v>211</v>
      </c>
      <c r="B214" s="110" t="s">
        <v>106</v>
      </c>
      <c r="C214" s="44" t="s">
        <v>146</v>
      </c>
      <c r="D214" s="45" t="s">
        <v>161</v>
      </c>
      <c r="E214" s="108" t="s">
        <v>340</v>
      </c>
      <c r="F214" s="18" t="s">
        <v>146</v>
      </c>
      <c r="G214" s="18" t="s">
        <v>146</v>
      </c>
      <c r="H214" s="18" t="s">
        <v>146</v>
      </c>
      <c r="I214" s="133">
        <v>200</v>
      </c>
      <c r="J214" s="58">
        <v>0</v>
      </c>
      <c r="K214" s="59">
        <v>0</v>
      </c>
      <c r="L214" s="57" t="s">
        <v>147</v>
      </c>
      <c r="M214" s="59" t="s">
        <v>147</v>
      </c>
      <c r="N214" s="60">
        <f t="shared" si="39"/>
        <v>200</v>
      </c>
      <c r="O214" s="18">
        <f t="shared" si="40"/>
        <v>200</v>
      </c>
    </row>
    <row r="215" spans="1:15" ht="29" x14ac:dyDescent="0.35">
      <c r="A215" s="64">
        <f t="shared" si="38"/>
        <v>212</v>
      </c>
      <c r="B215" s="110" t="s">
        <v>106</v>
      </c>
      <c r="C215" s="44" t="s">
        <v>146</v>
      </c>
      <c r="D215" s="45" t="s">
        <v>269</v>
      </c>
      <c r="E215" s="108" t="s">
        <v>341</v>
      </c>
      <c r="F215" s="18" t="s">
        <v>146</v>
      </c>
      <c r="G215" s="18" t="s">
        <v>146</v>
      </c>
      <c r="H215" s="18" t="s">
        <v>146</v>
      </c>
      <c r="I215" s="133">
        <v>383.3</v>
      </c>
      <c r="J215" s="58">
        <v>0</v>
      </c>
      <c r="K215" s="59">
        <v>0</v>
      </c>
      <c r="L215" s="57" t="s">
        <v>147</v>
      </c>
      <c r="M215" s="59" t="s">
        <v>147</v>
      </c>
      <c r="N215" s="60">
        <f t="shared" si="39"/>
        <v>383.3</v>
      </c>
      <c r="O215" s="18">
        <f t="shared" si="40"/>
        <v>383.3</v>
      </c>
    </row>
    <row r="216" spans="1:15" ht="29" x14ac:dyDescent="0.35">
      <c r="A216" s="64">
        <f t="shared" si="38"/>
        <v>213</v>
      </c>
      <c r="B216" s="110" t="s">
        <v>106</v>
      </c>
      <c r="C216" s="44" t="s">
        <v>146</v>
      </c>
      <c r="D216" s="45" t="s">
        <v>271</v>
      </c>
      <c r="E216" s="108" t="s">
        <v>342</v>
      </c>
      <c r="F216" s="18" t="s">
        <v>146</v>
      </c>
      <c r="G216" s="18" t="s">
        <v>146</v>
      </c>
      <c r="H216" s="18" t="s">
        <v>146</v>
      </c>
      <c r="I216" s="133">
        <v>875.66666666666663</v>
      </c>
      <c r="J216" s="58">
        <v>0</v>
      </c>
      <c r="K216" s="59">
        <v>0</v>
      </c>
      <c r="L216" s="57" t="s">
        <v>147</v>
      </c>
      <c r="M216" s="59" t="s">
        <v>147</v>
      </c>
      <c r="N216" s="60">
        <f t="shared" si="39"/>
        <v>875.66666666666663</v>
      </c>
      <c r="O216" s="18">
        <f t="shared" si="40"/>
        <v>875.66666666666663</v>
      </c>
    </row>
    <row r="217" spans="1:15" ht="29" x14ac:dyDescent="0.35">
      <c r="A217" s="64">
        <f t="shared" si="38"/>
        <v>214</v>
      </c>
      <c r="B217" s="110" t="s">
        <v>106</v>
      </c>
      <c r="C217" s="44" t="s">
        <v>146</v>
      </c>
      <c r="D217" s="45" t="s">
        <v>279</v>
      </c>
      <c r="E217" s="108" t="s">
        <v>343</v>
      </c>
      <c r="F217" s="18" t="s">
        <v>146</v>
      </c>
      <c r="G217" s="18" t="s">
        <v>146</v>
      </c>
      <c r="H217" s="18" t="s">
        <v>146</v>
      </c>
      <c r="I217" s="133">
        <v>26.7</v>
      </c>
      <c r="J217" s="58">
        <v>0</v>
      </c>
      <c r="K217" s="59">
        <v>0</v>
      </c>
      <c r="L217" s="57" t="s">
        <v>147</v>
      </c>
      <c r="M217" s="59" t="s">
        <v>147</v>
      </c>
      <c r="N217" s="60">
        <f t="shared" si="39"/>
        <v>26.7</v>
      </c>
      <c r="O217" s="18">
        <f t="shared" si="40"/>
        <v>26.7</v>
      </c>
    </row>
    <row r="218" spans="1:15" ht="29" x14ac:dyDescent="0.35">
      <c r="A218" s="64">
        <f t="shared" si="38"/>
        <v>215</v>
      </c>
      <c r="B218" s="111" t="s">
        <v>344</v>
      </c>
      <c r="C218" s="44" t="s">
        <v>146</v>
      </c>
      <c r="D218" s="45" t="s">
        <v>146</v>
      </c>
      <c r="E218" s="108" t="s">
        <v>345</v>
      </c>
      <c r="F218" s="18" t="s">
        <v>146</v>
      </c>
      <c r="G218" s="18" t="s">
        <v>146</v>
      </c>
      <c r="H218" s="18" t="s">
        <v>146</v>
      </c>
      <c r="I218" s="133">
        <v>18500</v>
      </c>
      <c r="J218" s="58">
        <v>0</v>
      </c>
      <c r="K218" s="59">
        <v>0</v>
      </c>
      <c r="L218" s="57" t="s">
        <v>147</v>
      </c>
      <c r="M218" s="59" t="s">
        <v>147</v>
      </c>
      <c r="N218" s="60">
        <f t="shared" si="39"/>
        <v>18500</v>
      </c>
      <c r="O218" s="18">
        <f t="shared" si="40"/>
        <v>18500</v>
      </c>
    </row>
    <row r="219" spans="1:15" ht="29" x14ac:dyDescent="0.35">
      <c r="A219" s="64">
        <f t="shared" si="38"/>
        <v>216</v>
      </c>
      <c r="B219" s="111" t="s">
        <v>344</v>
      </c>
      <c r="C219" s="44" t="s">
        <v>146</v>
      </c>
      <c r="D219" s="45" t="s">
        <v>146</v>
      </c>
      <c r="E219" s="108" t="s">
        <v>346</v>
      </c>
      <c r="F219" s="18" t="s">
        <v>146</v>
      </c>
      <c r="G219" s="18" t="s">
        <v>146</v>
      </c>
      <c r="H219" s="18" t="s">
        <v>146</v>
      </c>
      <c r="I219" s="133">
        <v>8000</v>
      </c>
      <c r="J219" s="58">
        <v>0</v>
      </c>
      <c r="K219" s="59">
        <v>0</v>
      </c>
      <c r="L219" s="57" t="s">
        <v>147</v>
      </c>
      <c r="M219" s="59" t="s">
        <v>147</v>
      </c>
      <c r="N219" s="60">
        <f t="shared" si="39"/>
        <v>8000</v>
      </c>
      <c r="O219" s="18">
        <f t="shared" si="40"/>
        <v>8000</v>
      </c>
    </row>
    <row r="220" spans="1:15" ht="29" x14ac:dyDescent="0.35">
      <c r="A220" s="64">
        <f t="shared" si="38"/>
        <v>217</v>
      </c>
      <c r="B220" s="111" t="s">
        <v>344</v>
      </c>
      <c r="C220" s="44" t="s">
        <v>146</v>
      </c>
      <c r="D220" s="45" t="s">
        <v>146</v>
      </c>
      <c r="E220" s="108" t="s">
        <v>347</v>
      </c>
      <c r="F220" s="18" t="s">
        <v>146</v>
      </c>
      <c r="G220" s="18" t="s">
        <v>146</v>
      </c>
      <c r="H220" s="18" t="s">
        <v>146</v>
      </c>
      <c r="I220" s="133">
        <v>8000</v>
      </c>
      <c r="J220" s="58">
        <v>0</v>
      </c>
      <c r="K220" s="59">
        <v>0</v>
      </c>
      <c r="L220" s="57" t="s">
        <v>147</v>
      </c>
      <c r="M220" s="59" t="s">
        <v>147</v>
      </c>
      <c r="N220" s="60">
        <f t="shared" si="39"/>
        <v>8000</v>
      </c>
      <c r="O220" s="18">
        <f t="shared" si="40"/>
        <v>8000</v>
      </c>
    </row>
    <row r="221" spans="1:15" ht="29" x14ac:dyDescent="0.35">
      <c r="A221" s="64">
        <f t="shared" si="38"/>
        <v>218</v>
      </c>
      <c r="B221" s="128" t="s">
        <v>108</v>
      </c>
      <c r="C221" s="44" t="s">
        <v>146</v>
      </c>
      <c r="D221" s="45" t="s">
        <v>146</v>
      </c>
      <c r="E221" s="108" t="s">
        <v>348</v>
      </c>
      <c r="F221" s="18" t="s">
        <v>146</v>
      </c>
      <c r="G221" s="18" t="s">
        <v>146</v>
      </c>
      <c r="H221" s="18" t="s">
        <v>146</v>
      </c>
      <c r="I221" s="133">
        <v>2500</v>
      </c>
      <c r="J221" s="58">
        <v>0</v>
      </c>
      <c r="K221" s="59">
        <v>0</v>
      </c>
      <c r="L221" s="57" t="s">
        <v>147</v>
      </c>
      <c r="M221" s="59" t="s">
        <v>147</v>
      </c>
      <c r="N221" s="60">
        <f t="shared" si="39"/>
        <v>2500</v>
      </c>
      <c r="O221" s="18">
        <f t="shared" si="40"/>
        <v>2500</v>
      </c>
    </row>
    <row r="222" spans="1:15" ht="29" x14ac:dyDescent="0.35">
      <c r="A222" s="64">
        <f t="shared" si="38"/>
        <v>219</v>
      </c>
      <c r="B222" s="128" t="s">
        <v>108</v>
      </c>
      <c r="C222" s="44" t="s">
        <v>146</v>
      </c>
      <c r="D222" s="45" t="s">
        <v>146</v>
      </c>
      <c r="E222" s="45" t="s">
        <v>349</v>
      </c>
      <c r="F222" s="18" t="s">
        <v>146</v>
      </c>
      <c r="G222" s="18" t="s">
        <v>146</v>
      </c>
      <c r="H222" s="18" t="s">
        <v>146</v>
      </c>
      <c r="I222" s="133">
        <v>3000</v>
      </c>
      <c r="J222" s="58">
        <v>0</v>
      </c>
      <c r="K222" s="59">
        <v>0</v>
      </c>
      <c r="L222" s="57" t="s">
        <v>147</v>
      </c>
      <c r="M222" s="59" t="s">
        <v>147</v>
      </c>
      <c r="N222" s="60">
        <f t="shared" si="39"/>
        <v>3000</v>
      </c>
      <c r="O222" s="18">
        <f t="shared" si="40"/>
        <v>3000</v>
      </c>
    </row>
    <row r="223" spans="1:15" x14ac:dyDescent="0.35">
      <c r="A223" s="64">
        <f t="shared" si="38"/>
        <v>220</v>
      </c>
      <c r="B223" s="476" t="s">
        <v>536</v>
      </c>
      <c r="C223" s="44" t="s">
        <v>408</v>
      </c>
      <c r="D223" s="45" t="s">
        <v>538</v>
      </c>
      <c r="E223" s="45" t="s">
        <v>533</v>
      </c>
      <c r="F223" s="18" t="s">
        <v>540</v>
      </c>
      <c r="G223" s="18" t="s">
        <v>146</v>
      </c>
      <c r="H223" s="18">
        <v>5</v>
      </c>
      <c r="I223" s="133">
        <v>1450</v>
      </c>
      <c r="J223" s="58">
        <v>0</v>
      </c>
      <c r="K223" s="59">
        <v>0</v>
      </c>
      <c r="L223" s="57" t="s">
        <v>147</v>
      </c>
      <c r="M223" s="59" t="s">
        <v>147</v>
      </c>
      <c r="N223" s="60">
        <f t="shared" si="39"/>
        <v>1450</v>
      </c>
      <c r="O223" s="18">
        <f t="shared" si="40"/>
        <v>1450</v>
      </c>
    </row>
    <row r="224" spans="1:15" x14ac:dyDescent="0.35">
      <c r="A224" s="64">
        <f t="shared" si="38"/>
        <v>221</v>
      </c>
      <c r="B224" s="476" t="s">
        <v>536</v>
      </c>
      <c r="C224" s="44" t="s">
        <v>408</v>
      </c>
      <c r="D224" s="45" t="s">
        <v>538</v>
      </c>
      <c r="E224" s="45" t="s">
        <v>534</v>
      </c>
      <c r="F224" s="18" t="s">
        <v>146</v>
      </c>
      <c r="G224" s="18" t="s">
        <v>146</v>
      </c>
      <c r="H224" s="18" t="s">
        <v>146</v>
      </c>
      <c r="I224" s="133">
        <v>2900</v>
      </c>
      <c r="J224" s="58">
        <v>0</v>
      </c>
      <c r="K224" s="59">
        <v>0</v>
      </c>
      <c r="L224" s="57" t="s">
        <v>147</v>
      </c>
      <c r="M224" s="59" t="s">
        <v>147</v>
      </c>
      <c r="N224" s="60">
        <f t="shared" si="39"/>
        <v>2900</v>
      </c>
      <c r="O224" s="18">
        <f t="shared" si="40"/>
        <v>2900</v>
      </c>
    </row>
    <row r="225" spans="1:15" ht="18.5" customHeight="1" x14ac:dyDescent="0.35">
      <c r="A225" s="64">
        <f t="shared" si="38"/>
        <v>222</v>
      </c>
      <c r="B225" s="476" t="s">
        <v>536</v>
      </c>
      <c r="C225" s="44" t="s">
        <v>408</v>
      </c>
      <c r="D225" s="45" t="s">
        <v>539</v>
      </c>
      <c r="E225" s="45" t="s">
        <v>535</v>
      </c>
      <c r="F225" s="18" t="s">
        <v>541</v>
      </c>
      <c r="G225" s="18" t="s">
        <v>146</v>
      </c>
      <c r="H225" s="18">
        <v>0.25</v>
      </c>
      <c r="I225" s="133">
        <v>2500</v>
      </c>
      <c r="J225" s="58">
        <v>0</v>
      </c>
      <c r="K225" s="59">
        <v>0</v>
      </c>
      <c r="L225" s="57" t="s">
        <v>147</v>
      </c>
      <c r="M225" s="59" t="s">
        <v>147</v>
      </c>
      <c r="N225" s="60">
        <f t="shared" si="39"/>
        <v>2500</v>
      </c>
      <c r="O225" s="18">
        <f t="shared" si="40"/>
        <v>2500</v>
      </c>
    </row>
  </sheetData>
  <sheetProtection algorithmName="SHA-512" hashValue="J3hJRidu6LhyQjMBQ0PbvFhLy3CnvuLiLZNxVHNXC5qsFhP+GPDzqrpoqeggxycbphTJxIR0H23b+tBI/hXzjQ==" saltValue="ADpZ6Lokj1hrEGsgAeJfRQ==" spinCount="100000" sheet="1" selectLockedCells="1" autoFilter="0" selectUnlockedCells="1"/>
  <autoFilter ref="A3:O222" xr:uid="{00000000-0009-0000-0000-000005000000}"/>
  <dataConsolidate/>
  <mergeCells count="11">
    <mergeCell ref="P119:Y119"/>
    <mergeCell ref="P121:Y121"/>
    <mergeCell ref="J2:K2"/>
    <mergeCell ref="L2:M2"/>
    <mergeCell ref="P4:Y4"/>
    <mergeCell ref="P6:Y6"/>
    <mergeCell ref="P8:Y8"/>
    <mergeCell ref="P12:Y12"/>
    <mergeCell ref="P14:X14"/>
    <mergeCell ref="P105:Y109"/>
    <mergeCell ref="P116:Y116"/>
  </mergeCells>
  <phoneticPr fontId="26" type="noConversion"/>
  <conditionalFormatting sqref="X12">
    <cfRule type="expression" dxfId="9" priority="6775">
      <formula>OR(A1=#REF!,A1=#REF!,A1=#REF!,A1=#REF!, A1=#REF!, A1=#REF!)</formula>
    </cfRule>
  </conditionalFormatting>
  <conditionalFormatting sqref="X1:Y1 X41:Y41 X149:Y159 X168:Y171 X174:Y174 X177:Y188 X194:Y197 X208:Y209 X223:Y1048505">
    <cfRule type="expression" priority="6219">
      <formula>$A4=#REF!</formula>
    </cfRule>
  </conditionalFormatting>
  <conditionalFormatting sqref="X2:Y2">
    <cfRule type="expression" priority="6715">
      <formula>#REF!=#REF!</formula>
    </cfRule>
  </conditionalFormatting>
  <conditionalFormatting sqref="X3:Y3 X148:Y148 X173:Y173">
    <cfRule type="expression" priority="6251">
      <formula>$A5=#REF!</formula>
    </cfRule>
  </conditionalFormatting>
  <conditionalFormatting sqref="X4:Y4 X6:Y6 X37:Y37 X39:Y39 X97:Y97">
    <cfRule type="expression" priority="6290">
      <formula>$A11=#REF!</formula>
    </cfRule>
  </conditionalFormatting>
  <conditionalFormatting sqref="X8:Y10 X20:Y21 X67:Y68 X80:Y81 X119:Y127">
    <cfRule type="expression" priority="4756">
      <formula>#REF!=#REF!</formula>
    </cfRule>
  </conditionalFormatting>
  <conditionalFormatting sqref="X12:Y12 X42:Y42 X160:Y162 X164:Y167 X175:Y176">
    <cfRule type="expression" priority="6238">
      <formula>$A16=#REF!</formula>
    </cfRule>
  </conditionalFormatting>
  <conditionalFormatting sqref="X16:Y16">
    <cfRule type="expression" priority="6312">
      <formula>$A80=#REF!</formula>
    </cfRule>
  </conditionalFormatting>
  <conditionalFormatting sqref="X17:Y17">
    <cfRule type="expression" priority="6366">
      <formula>$A82=#REF!</formula>
    </cfRule>
  </conditionalFormatting>
  <conditionalFormatting sqref="X18:Y18">
    <cfRule type="expression" priority="6412">
      <formula>#REF!=#REF!</formula>
    </cfRule>
  </conditionalFormatting>
  <conditionalFormatting sqref="X19:Y19">
    <cfRule type="expression" priority="6411">
      <formula>#REF!=#REF!</formula>
    </cfRule>
  </conditionalFormatting>
  <conditionalFormatting sqref="X35:Y36 X44:Y44 X77:Y77">
    <cfRule type="expression" priority="6270">
      <formula>$A41=#REF!</formula>
    </cfRule>
  </conditionalFormatting>
  <conditionalFormatting sqref="X38:Y38 X40:Y40">
    <cfRule type="expression" priority="6327">
      <formula>$A46=#REF!</formula>
    </cfRule>
  </conditionalFormatting>
  <conditionalFormatting sqref="X43:Y43 X78:Y79 X163:Y163 X198:Y199">
    <cfRule type="expression" priority="6243">
      <formula>$A48=#REF!</formula>
    </cfRule>
  </conditionalFormatting>
  <conditionalFormatting sqref="X45:Y45">
    <cfRule type="expression" priority="6356">
      <formula>#REF!=#REF!</formula>
    </cfRule>
  </conditionalFormatting>
  <conditionalFormatting sqref="X46:Y55 X109:Y115 X200:Y204">
    <cfRule type="expression" priority="4769">
      <formula>#REF!=#REF!</formula>
    </cfRule>
  </conditionalFormatting>
  <conditionalFormatting sqref="X56:Y56 X76:Y76">
    <cfRule type="expression" priority="6361">
      <formula>#REF!=#REF!</formula>
    </cfRule>
  </conditionalFormatting>
  <conditionalFormatting sqref="X57:Y59">
    <cfRule type="expression" priority="6345">
      <formula>$A65=#REF!</formula>
    </cfRule>
  </conditionalFormatting>
  <conditionalFormatting sqref="X61:Y66">
    <cfRule type="expression" priority="5840">
      <formula>#REF!=#REF!</formula>
    </cfRule>
  </conditionalFormatting>
  <conditionalFormatting sqref="X71:Y71">
    <cfRule type="expression" priority="6685">
      <formula>$A82=#REF!</formula>
    </cfRule>
  </conditionalFormatting>
  <conditionalFormatting sqref="X72:Y72">
    <cfRule type="expression" priority="6413">
      <formula>#REF!=#REF!</formula>
    </cfRule>
  </conditionalFormatting>
  <conditionalFormatting sqref="X82:Y82">
    <cfRule type="expression" priority="6690">
      <formula>$A83=#REF!</formula>
    </cfRule>
  </conditionalFormatting>
  <conditionalFormatting sqref="X83:Y84">
    <cfRule type="expression" priority="6392">
      <formula>$A103=#REF!</formula>
    </cfRule>
  </conditionalFormatting>
  <conditionalFormatting sqref="X85:Y89">
    <cfRule type="expression" priority="6577">
      <formula>#REF!=#REF!</formula>
    </cfRule>
  </conditionalFormatting>
  <conditionalFormatting sqref="X90:Y90">
    <cfRule type="expression" priority="6371">
      <formula>$A104=#REF!</formula>
    </cfRule>
  </conditionalFormatting>
  <conditionalFormatting sqref="X91:Y96">
    <cfRule type="expression" priority="6572">
      <formula>#REF!=#REF!</formula>
    </cfRule>
  </conditionalFormatting>
  <conditionalFormatting sqref="X98:Y99">
    <cfRule type="expression" priority="6571">
      <formula>#REF!=#REF!</formula>
    </cfRule>
  </conditionalFormatting>
  <conditionalFormatting sqref="X100:Y108">
    <cfRule type="expression" priority="4749">
      <formula>#REF!=#REF!</formula>
    </cfRule>
  </conditionalFormatting>
  <conditionalFormatting sqref="X116:Y118">
    <cfRule type="expression" priority="4847">
      <formula>#REF!=#REF!</formula>
    </cfRule>
  </conditionalFormatting>
  <conditionalFormatting sqref="X128:Y129 X131:Y131">
    <cfRule type="expression" priority="6259">
      <formula>$A148=#REF!</formula>
    </cfRule>
  </conditionalFormatting>
  <conditionalFormatting sqref="X130:Y130 X144:Y144">
    <cfRule type="expression" priority="6265">
      <formula>$A149=#REF!</formula>
    </cfRule>
  </conditionalFormatting>
  <conditionalFormatting sqref="X132:Y136">
    <cfRule type="expression" priority="6267">
      <formula>$A162=#REF!</formula>
    </cfRule>
  </conditionalFormatting>
  <conditionalFormatting sqref="X137:Y141">
    <cfRule type="expression" priority="6272">
      <formula>$A163=#REF!</formula>
    </cfRule>
  </conditionalFormatting>
  <conditionalFormatting sqref="X142:Y143">
    <cfRule type="expression" priority="6266">
      <formula>$A163=#REF!</formula>
    </cfRule>
  </conditionalFormatting>
  <conditionalFormatting sqref="X145:Y145">
    <cfRule type="expression" priority="6264">
      <formula>$A163=#REF!</formula>
    </cfRule>
  </conditionalFormatting>
  <conditionalFormatting sqref="X146:Y147">
    <cfRule type="expression" priority="6261">
      <formula>$A162=#REF!</formula>
    </cfRule>
  </conditionalFormatting>
  <conditionalFormatting sqref="X172:Y172">
    <cfRule type="expression" priority="6709">
      <formula>#REF!=#REF!</formula>
    </cfRule>
  </conditionalFormatting>
  <conditionalFormatting sqref="X189:Y193">
    <cfRule type="expression" priority="6778">
      <formula>$A194=#REF!</formula>
    </cfRule>
  </conditionalFormatting>
  <conditionalFormatting sqref="X205:Y205">
    <cfRule type="expression" priority="6781">
      <formula>$A208=#REF!</formula>
    </cfRule>
  </conditionalFormatting>
  <conditionalFormatting sqref="X206:Y207">
    <cfRule type="expression" priority="6779">
      <formula>$A210=#REF!</formula>
    </cfRule>
  </conditionalFormatting>
  <conditionalFormatting sqref="X210:Y222">
    <cfRule type="expression" priority="6417">
      <formula>#REF!=#REF!</formula>
    </cfRule>
  </conditionalFormatting>
  <conditionalFormatting sqref="X1048506:Y1048568">
    <cfRule type="expression" priority="6784">
      <formula>$A1=#REF!</formula>
    </cfRule>
  </conditionalFormatting>
  <conditionalFormatting sqref="X1048569:Y1048576">
    <cfRule type="expression" priority="6434">
      <formula>$A59=#REF!</formula>
    </cfRule>
  </conditionalFormatting>
  <conditionalFormatting sqref="Y4">
    <cfRule type="expression" dxfId="8" priority="6772">
      <formula>#REF!=#REF!</formula>
    </cfRule>
  </conditionalFormatting>
  <conditionalFormatting sqref="Y8:Y10 Y12 Y6">
    <cfRule type="expression" dxfId="7" priority="6774">
      <formula>A5=#REF!</formula>
    </cfRule>
  </conditionalFormatting>
  <conditionalFormatting sqref="Y13 Y15 X60:Y60">
    <cfRule type="expression" priority="6271">
      <formula>$A22=#REF!</formula>
    </cfRule>
  </conditionalFormatting>
  <conditionalFormatting sqref="Y13:Y15 X8:Y10 X12:Y12 X20:Y21">
    <cfRule type="expression" dxfId="6" priority="5473">
      <formula>OR(#REF!=#REF!,#REF!=#REF!,#REF!=#REF!, #REF!=#REF!,#REF!=#REF!, #REF!=#REF!)</formula>
    </cfRule>
  </conditionalFormatting>
  <conditionalFormatting sqref="Y13:Y15 Y105:Y118">
    <cfRule type="expression" dxfId="5" priority="4768">
      <formula>#REF!=#REF!</formula>
    </cfRule>
  </conditionalFormatting>
  <conditionalFormatting sqref="Y14">
    <cfRule type="expression" priority="6319">
      <formula>$A24=#REF!</formula>
    </cfRule>
  </conditionalFormatting>
  <conditionalFormatting sqref="Y16:Y19">
    <cfRule type="expression" dxfId="4" priority="6254">
      <formula>A73=#REF!</formula>
    </cfRule>
  </conditionalFormatting>
  <conditionalFormatting sqref="Y20:Y21 Y1:Y3 Y35:Y68 Y71:Y72 Y76:Y104 Y123:Y1048576">
    <cfRule type="expression" dxfId="3" priority="6229">
      <formula>A1=#REF!</formula>
    </cfRule>
  </conditionalFormatting>
  <conditionalFormatting sqref="Y119:Y120">
    <cfRule type="expression" dxfId="2" priority="5583">
      <formula>#REF!=#REF!</formula>
    </cfRule>
  </conditionalFormatting>
  <conditionalFormatting sqref="Y121:Y122">
    <cfRule type="expression" dxfId="1" priority="4940">
      <formula>#REF!=#REF!</formula>
    </cfRule>
  </conditionalFormatting>
  <hyperlinks>
    <hyperlink ref="P8" r:id="rId1" xr:uid="{00000000-0004-0000-0500-000000000000}"/>
  </hyperlinks>
  <pageMargins left="0.7" right="0.7" top="0.75" bottom="0.75" header="0.3" footer="0.3"/>
  <pageSetup scale="27" fitToHeight="0" orientation="portrait" r:id="rId2"/>
  <ignoredErrors>
    <ignoredError sqref="E170 E175 D201:E201" formula="1"/>
  </ignoredErrors>
  <extLst>
    <ext xmlns:x14="http://schemas.microsoft.com/office/spreadsheetml/2009/9/main" uri="{78C0D931-6437-407d-A8EE-F0AAD7539E65}">
      <x14:conditionalFormattings>
        <x14:conditionalFormatting xmlns:xm="http://schemas.microsoft.com/office/excel/2006/main">
          <x14:cfRule type="cellIs" priority="6545" operator="equal" id="{D89E51EC-8935-4455-BFAC-2D71FA8452EC}">
            <xm:f>Reference_Dropdown1!#REF!</xm:f>
            <x14:dxf>
              <font>
                <color theme="1"/>
              </font>
              <fill>
                <patternFill>
                  <bgColor theme="7" tint="0.79998168889431442"/>
                </patternFill>
              </fill>
            </x14:dxf>
          </x14:cfRule>
          <x14:cfRule type="cellIs" priority="6546" operator="equal" id="{70AF3620-927E-4EC7-8A67-EC76572EB6FF}">
            <xm:f>Reference_Dropdown1!$C$2</xm:f>
            <x14:dxf>
              <font>
                <color theme="1"/>
              </font>
              <fill>
                <patternFill>
                  <bgColor rgb="FFCCCCFF"/>
                </patternFill>
              </fill>
            </x14:dxf>
          </x14:cfRule>
          <x14:cfRule type="cellIs" priority="6547" operator="equal" id="{6D6B975E-05CD-4AE8-A802-DC80C7885178}">
            <xm:f>Reference_Dropdown1!$C$3</xm:f>
            <x14:dxf>
              <font>
                <color auto="1"/>
              </font>
              <fill>
                <patternFill>
                  <bgColor rgb="FFFFC000"/>
                </patternFill>
              </fill>
            </x14:dxf>
          </x14:cfRule>
          <x14:cfRule type="cellIs" priority="6548" operator="equal" id="{06540561-0879-4E4E-99AF-8F87858D9606}">
            <xm:f>Reference_Dropdown1!$C$4</xm:f>
            <x14:dxf>
              <fill>
                <patternFill>
                  <bgColor rgb="FFFFFF00"/>
                </patternFill>
              </fill>
            </x14:dxf>
          </x14:cfRule>
          <x14:cfRule type="cellIs" priority="6549" operator="equal" id="{05251072-6CEC-4009-B9DE-4328CE27B01F}">
            <xm:f>Reference_Dropdown1!$C$5</xm:f>
            <x14:dxf>
              <font>
                <color theme="0"/>
              </font>
              <fill>
                <patternFill>
                  <bgColor rgb="FF9900CC"/>
                </patternFill>
              </fill>
            </x14:dxf>
          </x14:cfRule>
          <x14:cfRule type="cellIs" priority="6550" operator="equal" id="{3F4F3CFB-CD8D-4FDE-B397-11EAD5BDEF45}">
            <xm:f>Reference_Dropdown1!$C$6</xm:f>
            <x14:dxf>
              <fill>
                <patternFill>
                  <bgColor rgb="FFFF99FF"/>
                </patternFill>
              </fill>
            </x14:dxf>
          </x14:cfRule>
          <x14:cfRule type="cellIs" priority="6551" operator="equal" id="{61D39867-E03E-4DEA-83AB-419E80C30F3E}">
            <xm:f>Reference_Dropdown1!$C$7</xm:f>
            <x14:dxf>
              <font>
                <color theme="0"/>
              </font>
              <fill>
                <patternFill>
                  <bgColor theme="4" tint="-0.24994659260841701"/>
                </patternFill>
              </fill>
            </x14:dxf>
          </x14:cfRule>
          <x14:cfRule type="cellIs" priority="6552" operator="equal" id="{0A4AEDE2-0A0E-477D-8F5F-0313E14D6BCD}">
            <xm:f>Reference_Dropdown1!$C$8</xm:f>
            <x14:dxf>
              <font>
                <color theme="0"/>
              </font>
              <fill>
                <patternFill>
                  <bgColor theme="9" tint="-0.24994659260841701"/>
                </patternFill>
              </fill>
            </x14:dxf>
          </x14:cfRule>
          <x14:cfRule type="cellIs" priority="6553" operator="equal" id="{DB6D99C6-4F24-402A-98D5-53B165D4616F}">
            <xm:f>Reference_Dropdown1!$C$9</xm:f>
            <x14:dxf>
              <font>
                <color theme="0"/>
              </font>
              <fill>
                <patternFill>
                  <bgColor rgb="FF7030A0"/>
                </patternFill>
              </fill>
            </x14:dxf>
          </x14:cfRule>
          <x14:cfRule type="cellIs" priority="6554" operator="equal" id="{F4B87B6D-14AB-43EC-A116-15BD44E73C02}">
            <xm:f>Reference_Dropdown1!#REF!</xm:f>
            <x14:dxf>
              <font>
                <color theme="1"/>
              </font>
              <fill>
                <patternFill>
                  <bgColor theme="4" tint="0.79998168889431442"/>
                </patternFill>
              </fill>
            </x14:dxf>
          </x14:cfRule>
          <x14:cfRule type="cellIs" priority="6555" operator="equal" id="{028CC649-BE21-4B06-BA02-E14B81BD61FD}">
            <xm:f>Reference_Dropdown1!$C$11</xm:f>
            <x14:dxf>
              <font>
                <color theme="1"/>
              </font>
              <fill>
                <patternFill>
                  <bgColor theme="4" tint="0.39994506668294322"/>
                </patternFill>
              </fill>
            </x14:dxf>
          </x14:cfRule>
          <x14:cfRule type="cellIs" priority="6556" operator="equal" id="{73F25DF9-9B58-439B-BA48-4998F83A6DA1}">
            <xm:f>Reference_Dropdown1!#REF!</xm:f>
            <x14:dxf>
              <font>
                <color theme="0"/>
              </font>
              <fill>
                <patternFill>
                  <bgColor theme="4" tint="-0.24994659260841701"/>
                </patternFill>
              </fill>
            </x14:dxf>
          </x14:cfRule>
          <x14:cfRule type="cellIs" priority="6557" operator="equal" id="{563B4AC7-0D94-4090-904E-BD222A09B88A}">
            <xm:f>Reference_Dropdown1!$C$12</xm:f>
            <x14:dxf>
              <font>
                <color theme="1"/>
              </font>
              <fill>
                <patternFill>
                  <bgColor theme="0" tint="-0.14996795556505021"/>
                </patternFill>
              </fill>
            </x14:dxf>
          </x14:cfRule>
          <x14:cfRule type="cellIs" priority="6558" operator="equal" id="{D8975930-C172-46A6-8661-6BAF9238181C}">
            <xm:f>Reference_Dropdown1!$C$13</xm:f>
            <x14:dxf>
              <font>
                <color theme="0"/>
              </font>
              <fill>
                <patternFill>
                  <bgColor theme="0" tint="-0.499984740745262"/>
                </patternFill>
              </fill>
            </x14:dxf>
          </x14:cfRule>
          <x14:cfRule type="cellIs" priority="6559" operator="equal" id="{4683A483-07E3-472F-8E3C-65F289B4A8FC}">
            <xm:f>Reference_Dropdown1!$C$14</xm:f>
            <x14:dxf>
              <font>
                <color theme="0"/>
              </font>
              <fill>
                <patternFill>
                  <bgColor theme="1" tint="0.24994659260841701"/>
                </patternFill>
              </fill>
            </x14:dxf>
          </x14:cfRule>
          <x14:cfRule type="cellIs" priority="6560" operator="equal" id="{0669D784-1F16-455D-B1A3-36C9C66460D0}">
            <xm:f>Reference_Dropdown1!#REF!</xm:f>
            <x14:dxf>
              <font>
                <color theme="1"/>
              </font>
              <fill>
                <patternFill>
                  <bgColor theme="9" tint="0.79998168889431442"/>
                </patternFill>
              </fill>
            </x14:dxf>
          </x14:cfRule>
          <x14:cfRule type="cellIs" priority="6561" operator="equal" id="{691E0559-3D1B-4198-AE71-80D5D762599F}">
            <xm:f>Reference_Dropdown1!#REF!</xm:f>
            <x14:dxf>
              <font>
                <color theme="1"/>
              </font>
              <fill>
                <patternFill>
                  <bgColor theme="9" tint="0.59996337778862885"/>
                </patternFill>
              </fill>
            </x14:dxf>
          </x14:cfRule>
          <x14:cfRule type="cellIs" priority="6562" operator="equal" id="{B197A4CC-6B49-4E09-A372-264AF3E96EB9}">
            <xm:f>Reference_Dropdown1!#REF!</xm:f>
            <x14:dxf>
              <font>
                <color theme="1"/>
              </font>
              <fill>
                <patternFill>
                  <bgColor theme="5" tint="0.79998168889431442"/>
                </patternFill>
              </fill>
            </x14:dxf>
          </x14:cfRule>
          <x14:cfRule type="cellIs" priority="6563" operator="equal" id="{7551CCA0-34B6-4AFB-B547-9F44BEBE31BC}">
            <xm:f>Reference_Dropdown1!$C$15</xm:f>
            <x14:dxf>
              <font>
                <color theme="1"/>
              </font>
              <fill>
                <patternFill>
                  <bgColor theme="5" tint="0.59996337778862885"/>
                </patternFill>
              </fill>
            </x14:dxf>
          </x14:cfRule>
          <x14:cfRule type="cellIs" priority="6564" operator="equal" id="{48EE0D2B-779A-4773-85CB-45FD21751B1F}">
            <xm:f>Reference_Dropdown1!$C$16</xm:f>
            <x14:dxf>
              <font>
                <color theme="1"/>
              </font>
              <fill>
                <patternFill>
                  <bgColor rgb="FF9999FF"/>
                </patternFill>
              </fill>
            </x14:dxf>
          </x14:cfRule>
          <xm:sqref>B4:B101 B165:B168</xm:sqref>
        </x14:conditionalFormatting>
        <x14:conditionalFormatting xmlns:xm="http://schemas.microsoft.com/office/excel/2006/main">
          <x14:cfRule type="cellIs" priority="76" operator="equal" id="{81D60666-33C3-45F2-9E90-3093B5503959}">
            <xm:f>Reference_Dropdown1!$C$17</xm:f>
            <x14:dxf>
              <font>
                <color theme="0"/>
              </font>
              <fill>
                <patternFill>
                  <bgColor theme="9" tint="-0.24994659260841701"/>
                </patternFill>
              </fill>
            </x14:dxf>
          </x14:cfRule>
          <x14:cfRule type="cellIs" priority="77" operator="equal" id="{AAA2B4B2-0D35-45EE-B2DC-B60DF79D7C82}">
            <xm:f>Reference_Dropdown1!#REF!</xm:f>
            <x14:dxf>
              <fill>
                <patternFill>
                  <bgColor theme="5" tint="0.79998168889431442"/>
                </patternFill>
              </fill>
            </x14:dxf>
          </x14:cfRule>
          <x14:cfRule type="cellIs" priority="78" operator="equal" id="{9DD38825-504E-4CF3-810C-0CAEF55551B0}">
            <xm:f>Reference_Dropdown1!#REF!</xm:f>
            <x14:dxf>
              <fill>
                <patternFill>
                  <bgColor theme="4" tint="0.79998168889431442"/>
                </patternFill>
              </fill>
            </x14:dxf>
          </x14:cfRule>
          <x14:cfRule type="cellIs" priority="79" operator="equal" id="{E5B98557-D604-453A-8B78-DE7BA318F47D}">
            <xm:f>Reference_Dropdown1!#REF!</xm:f>
            <x14:dxf>
              <fill>
                <patternFill>
                  <bgColor theme="3" tint="0.59996337778862885"/>
                </patternFill>
              </fill>
            </x14:dxf>
          </x14:cfRule>
          <x14:cfRule type="cellIs" priority="80" operator="equal" id="{8724890D-35D8-4E27-8C8B-954AFA60B4C3}">
            <xm:f>Reference_Dropdown1!#REF!</xm:f>
            <x14:dxf>
              <font>
                <color theme="0"/>
              </font>
              <fill>
                <patternFill>
                  <bgColor theme="5" tint="-0.24994659260841701"/>
                </patternFill>
              </fill>
            </x14:dxf>
          </x14:cfRule>
          <xm:sqref>B4:B101</xm:sqref>
        </x14:conditionalFormatting>
        <x14:conditionalFormatting xmlns:xm="http://schemas.microsoft.com/office/excel/2006/main">
          <x14:cfRule type="cellIs" priority="26" operator="equal" id="{9F36302E-C6D7-4A32-8AA8-205C68C8FD99}">
            <xm:f>Reference_Dropdown1!$C$17</xm:f>
            <x14:dxf>
              <font>
                <color theme="0"/>
              </font>
              <fill>
                <patternFill>
                  <bgColor theme="9" tint="-0.24994659260841701"/>
                </patternFill>
              </fill>
            </x14:dxf>
          </x14:cfRule>
          <x14:cfRule type="cellIs" priority="27" operator="equal" id="{CD429DA0-B9BD-4578-84B8-018CEB293D56}">
            <xm:f>Reference_Dropdown1!#REF!</xm:f>
            <x14:dxf>
              <fill>
                <patternFill>
                  <bgColor theme="5" tint="0.79998168889431442"/>
                </patternFill>
              </fill>
            </x14:dxf>
          </x14:cfRule>
          <x14:cfRule type="cellIs" priority="28" operator="equal" id="{3C152BB0-6A5B-4836-9036-C8EE8B0CD5A8}">
            <xm:f>Reference_Dropdown1!#REF!</xm:f>
            <x14:dxf>
              <fill>
                <patternFill>
                  <bgColor theme="4" tint="0.79998168889431442"/>
                </patternFill>
              </fill>
            </x14:dxf>
          </x14:cfRule>
          <x14:cfRule type="cellIs" priority="29" operator="equal" id="{7B737D9C-0645-448B-AB50-D59C6384C7EB}">
            <xm:f>Reference_Dropdown1!#REF!</xm:f>
            <x14:dxf>
              <fill>
                <patternFill>
                  <bgColor theme="3" tint="0.59996337778862885"/>
                </patternFill>
              </fill>
            </x14:dxf>
          </x14:cfRule>
          <x14:cfRule type="cellIs" priority="30" operator="equal" id="{972A5E27-1061-4DC8-8AC9-A69724E221D4}">
            <xm:f>Reference_Dropdown1!#REF!</xm:f>
            <x14:dxf>
              <font>
                <color theme="0"/>
              </font>
              <fill>
                <patternFill>
                  <bgColor theme="5" tint="-0.24994659260841701"/>
                </patternFill>
              </fill>
            </x14:dxf>
          </x14:cfRule>
          <xm:sqref>B165:B168</xm:sqref>
        </x14:conditionalFormatting>
        <x14:conditionalFormatting xmlns:xm="http://schemas.microsoft.com/office/excel/2006/main">
          <x14:cfRule type="cellIs" priority="1" operator="equal" id="{B00943CA-8539-4FD1-8198-BF2EBEF78E9F}">
            <xm:f>Reference_Dropdown1!$C$17</xm:f>
            <x14:dxf>
              <font>
                <color theme="0"/>
              </font>
              <fill>
                <patternFill>
                  <bgColor theme="9" tint="-0.24994659260841701"/>
                </patternFill>
              </fill>
            </x14:dxf>
          </x14:cfRule>
          <x14:cfRule type="cellIs" priority="2" operator="equal" id="{4F8B389C-BF38-437A-BE78-DD7E99DE539A}">
            <xm:f>Reference_Dropdown1!#REF!</xm:f>
            <x14:dxf>
              <fill>
                <patternFill>
                  <bgColor theme="5" tint="0.79998168889431442"/>
                </patternFill>
              </fill>
            </x14:dxf>
          </x14:cfRule>
          <x14:cfRule type="cellIs" priority="3" operator="equal" id="{E5356386-4766-4F62-8459-E165F41395F1}">
            <xm:f>Reference_Dropdown1!#REF!</xm:f>
            <x14:dxf>
              <fill>
                <patternFill>
                  <bgColor theme="4" tint="0.79998168889431442"/>
                </patternFill>
              </fill>
            </x14:dxf>
          </x14:cfRule>
          <x14:cfRule type="cellIs" priority="4" operator="equal" id="{20A5C317-491F-458E-AA08-328CF07A5FE7}">
            <xm:f>Reference_Dropdown1!#REF!</xm:f>
            <x14:dxf>
              <fill>
                <patternFill>
                  <bgColor theme="3" tint="0.59996337778862885"/>
                </patternFill>
              </fill>
            </x14:dxf>
          </x14:cfRule>
          <x14:cfRule type="cellIs" priority="5" operator="equal" id="{65940680-893A-48FB-9A85-0C2379332705}">
            <xm:f>Reference_Dropdown1!#REF!</xm:f>
            <x14:dxf>
              <font>
                <color theme="0"/>
              </font>
              <fill>
                <patternFill>
                  <bgColor theme="5" tint="-0.24994659260841701"/>
                </patternFill>
              </fill>
            </x14:dxf>
          </x14:cfRule>
          <xm:sqref>B166:B168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004EA-BABF-4D3D-8C45-2D4D5DA4E30D}">
  <sheetPr>
    <tabColor theme="5"/>
  </sheetPr>
  <dimension ref="A1:F43"/>
  <sheetViews>
    <sheetView topLeftCell="A6" workbookViewId="0">
      <selection activeCell="S35" sqref="S35"/>
    </sheetView>
  </sheetViews>
  <sheetFormatPr defaultColWidth="8.81640625" defaultRowHeight="14.5" x14ac:dyDescent="0.35"/>
  <cols>
    <col min="2" max="2" width="47.453125" bestFit="1" customWidth="1"/>
    <col min="3" max="3" width="51.1796875" bestFit="1" customWidth="1"/>
  </cols>
  <sheetData>
    <row r="1" spans="1:6" ht="21" x14ac:dyDescent="0.5">
      <c r="A1" s="79" t="s">
        <v>350</v>
      </c>
      <c r="F1" t="s">
        <v>351</v>
      </c>
    </row>
    <row r="2" spans="1:6" x14ac:dyDescent="0.35">
      <c r="A2" s="69">
        <v>1</v>
      </c>
      <c r="B2" s="75" t="s">
        <v>352</v>
      </c>
      <c r="C2" s="65" t="str">
        <f>"_"&amp;A2&amp;"."&amp;B2</f>
        <v>_1. On grid ILR_without freezer comp</v>
      </c>
      <c r="D2" s="75"/>
      <c r="E2" s="75"/>
      <c r="F2" s="3" t="str">
        <f t="shared" ref="F2:F24" si="0">SUBSTITUTE(C2," ","")</f>
        <v>_1.OngridILR_withoutfreezercomp</v>
      </c>
    </row>
    <row r="3" spans="1:6" x14ac:dyDescent="0.35">
      <c r="A3" s="69">
        <f t="shared" ref="A3:A22" si="1">A2+1</f>
        <v>2</v>
      </c>
      <c r="B3" s="75" t="s">
        <v>353</v>
      </c>
      <c r="C3" s="65" t="str">
        <f t="shared" ref="C3:C24" si="2">"_"&amp;A3&amp;"."&amp;B3</f>
        <v>_2. On grid ILR_with freezer comp</v>
      </c>
      <c r="D3" s="75"/>
      <c r="E3" s="75"/>
      <c r="F3" s="3" t="str">
        <f t="shared" si="0"/>
        <v>_2.OngridILR_withfreezercomp</v>
      </c>
    </row>
    <row r="4" spans="1:6" x14ac:dyDescent="0.35">
      <c r="A4" s="69">
        <f t="shared" si="1"/>
        <v>3</v>
      </c>
      <c r="B4" s="75" t="s">
        <v>354</v>
      </c>
      <c r="C4" s="65" t="str">
        <f t="shared" si="2"/>
        <v>_3. On grid freezers</v>
      </c>
      <c r="D4" s="75"/>
      <c r="E4" s="75"/>
      <c r="F4" s="3" t="str">
        <f t="shared" si="0"/>
        <v>_3.Ongridfreezers</v>
      </c>
    </row>
    <row r="5" spans="1:6" x14ac:dyDescent="0.35">
      <c r="A5" s="69">
        <f t="shared" si="1"/>
        <v>4</v>
      </c>
      <c r="B5" s="75" t="s">
        <v>355</v>
      </c>
      <c r="C5" s="65" t="str">
        <f t="shared" si="2"/>
        <v>_4. Off grid SDD refrigerators_without freezer comp</v>
      </c>
      <c r="D5" s="75"/>
      <c r="E5" s="75"/>
      <c r="F5" s="3" t="str">
        <f t="shared" si="0"/>
        <v>_4.OffgridSDDrefrigerators_withoutfreezercomp</v>
      </c>
    </row>
    <row r="6" spans="1:6" x14ac:dyDescent="0.35">
      <c r="A6" s="69">
        <f t="shared" si="1"/>
        <v>5</v>
      </c>
      <c r="B6" s="75" t="s">
        <v>356</v>
      </c>
      <c r="C6" s="65" t="str">
        <f t="shared" si="2"/>
        <v>_5. Off grid SDD refrigerators_with freezer comp</v>
      </c>
      <c r="D6" s="75"/>
      <c r="E6" s="75"/>
      <c r="F6" s="3" t="str">
        <f t="shared" si="0"/>
        <v>_5.OffgridSDDrefrigerators_withfreezercomp</v>
      </c>
    </row>
    <row r="7" spans="1:6" x14ac:dyDescent="0.35">
      <c r="A7" s="69">
        <f t="shared" si="1"/>
        <v>6</v>
      </c>
      <c r="B7" s="3" t="s">
        <v>357</v>
      </c>
      <c r="C7" s="65" t="str">
        <f t="shared" si="2"/>
        <v>_6. Off grid SDD freezer</v>
      </c>
      <c r="D7" s="3"/>
      <c r="E7" s="3"/>
      <c r="F7" s="3" t="str">
        <f t="shared" si="0"/>
        <v>_6.OffgridSDDfreezer</v>
      </c>
    </row>
    <row r="8" spans="1:6" x14ac:dyDescent="0.35">
      <c r="A8" s="69">
        <f t="shared" si="1"/>
        <v>7</v>
      </c>
      <c r="B8" s="75" t="s">
        <v>358</v>
      </c>
      <c r="C8" s="65" t="str">
        <f t="shared" si="2"/>
        <v>_7. Existing CCE Temperature monitoring device_30DTR</v>
      </c>
      <c r="D8" s="75"/>
      <c r="E8" s="75"/>
      <c r="F8" s="3" t="str">
        <f t="shared" si="0"/>
        <v>_7.ExistingCCETemperaturemonitoringdevice_30DTR</v>
      </c>
    </row>
    <row r="9" spans="1:6" x14ac:dyDescent="0.35">
      <c r="A9" s="69">
        <f t="shared" si="1"/>
        <v>8</v>
      </c>
      <c r="B9" s="75" t="s">
        <v>359</v>
      </c>
      <c r="C9" s="65" t="str">
        <f t="shared" si="2"/>
        <v>_8.Remote temperature monitoring devices_RTMDs</v>
      </c>
      <c r="D9" s="75"/>
      <c r="E9" s="75"/>
      <c r="F9" s="3" t="str">
        <f t="shared" si="0"/>
        <v>_8.Remotetemperaturemonitoringdevices_RTMDs</v>
      </c>
    </row>
    <row r="10" spans="1:6" x14ac:dyDescent="0.35">
      <c r="A10" s="69">
        <f t="shared" si="1"/>
        <v>9</v>
      </c>
      <c r="B10" s="75" t="s">
        <v>360</v>
      </c>
      <c r="C10" s="65" t="str">
        <f t="shared" si="2"/>
        <v>_9.Long term passive devices</v>
      </c>
      <c r="D10" s="75"/>
      <c r="E10" s="75"/>
      <c r="F10" s="3" t="str">
        <f t="shared" si="0"/>
        <v>_9.Longtermpassivedevices</v>
      </c>
    </row>
    <row r="11" spans="1:6" x14ac:dyDescent="0.35">
      <c r="A11" s="69">
        <f t="shared" si="1"/>
        <v>10</v>
      </c>
      <c r="B11" s="75" t="s">
        <v>361</v>
      </c>
      <c r="C11" s="65" t="str">
        <f t="shared" si="2"/>
        <v>_10. Freeze free vaccine carriers</v>
      </c>
      <c r="D11" s="75"/>
      <c r="E11" s="75"/>
      <c r="F11" s="3" t="str">
        <f t="shared" si="0"/>
        <v>_10.Freezefreevaccinecarriers</v>
      </c>
    </row>
    <row r="12" spans="1:6" x14ac:dyDescent="0.35">
      <c r="A12" s="69">
        <f t="shared" si="1"/>
        <v>11</v>
      </c>
      <c r="B12" s="75" t="s">
        <v>362</v>
      </c>
      <c r="C12" s="65" t="str">
        <f>"_"&amp;A12&amp;"."&amp;B12</f>
        <v>_11. Freeze free cold boxes</v>
      </c>
      <c r="D12" s="75"/>
      <c r="E12" s="75"/>
      <c r="F12" s="3" t="str">
        <f t="shared" si="0"/>
        <v>_11.Freezefreecoldboxes</v>
      </c>
    </row>
    <row r="13" spans="1:6" x14ac:dyDescent="0.35">
      <c r="A13" s="69">
        <f t="shared" si="1"/>
        <v>12</v>
      </c>
      <c r="B13" s="3" t="s">
        <v>363</v>
      </c>
      <c r="C13" s="65" t="str">
        <f>"_"&amp;A13&amp;"."&amp;B13</f>
        <v xml:space="preserve">_12. Voltage regulators for equipment </v>
      </c>
      <c r="D13" s="3"/>
      <c r="E13" s="3"/>
      <c r="F13" s="3" t="str">
        <f t="shared" si="0"/>
        <v>_12.Voltageregulatorsforequipment</v>
      </c>
    </row>
    <row r="14" spans="1:6" x14ac:dyDescent="0.35">
      <c r="A14" s="69">
        <f t="shared" si="1"/>
        <v>13</v>
      </c>
      <c r="B14" s="73" t="s">
        <v>364</v>
      </c>
      <c r="C14" s="65" t="str">
        <f>"_"&amp;A14&amp;"."&amp;B14</f>
        <v>_13. Ice packs</v>
      </c>
      <c r="D14" s="73"/>
      <c r="E14" s="73"/>
      <c r="F14" s="3" t="str">
        <f t="shared" si="0"/>
        <v>_13.Icepacks</v>
      </c>
    </row>
    <row r="15" spans="1:6" x14ac:dyDescent="0.35">
      <c r="A15" s="69">
        <f t="shared" si="1"/>
        <v>14</v>
      </c>
      <c r="B15" s="3" t="s">
        <v>365</v>
      </c>
      <c r="C15" s="65" t="str">
        <f t="shared" si="2"/>
        <v>_14.Spare parts New On grid ILR_without freezer comp</v>
      </c>
      <c r="D15" s="3"/>
      <c r="E15" s="3"/>
      <c r="F15" s="3" t="str">
        <f t="shared" si="0"/>
        <v>_14.SparepartsNewOngridILR_withoutfreezercomp</v>
      </c>
    </row>
    <row r="16" spans="1:6" x14ac:dyDescent="0.35">
      <c r="A16" s="69">
        <f t="shared" si="1"/>
        <v>15</v>
      </c>
      <c r="B16" s="3" t="s">
        <v>366</v>
      </c>
      <c r="C16" s="65" t="str">
        <f t="shared" si="2"/>
        <v>_15.Spare parts New On grid ILR_with freezer comp</v>
      </c>
      <c r="D16" s="3"/>
      <c r="E16" s="3"/>
      <c r="F16" s="3" t="str">
        <f t="shared" si="0"/>
        <v>_15.SparepartsNewOngridILR_withfreezercomp</v>
      </c>
    </row>
    <row r="17" spans="1:6" x14ac:dyDescent="0.35">
      <c r="A17" s="69">
        <f t="shared" si="1"/>
        <v>16</v>
      </c>
      <c r="B17" t="s">
        <v>367</v>
      </c>
      <c r="C17" s="65" t="str">
        <f t="shared" si="2"/>
        <v>_16.Spare parts New On grid freezers</v>
      </c>
      <c r="F17" s="3" t="str">
        <f t="shared" si="0"/>
        <v>_16.SparepartsNewOngridfreezers</v>
      </c>
    </row>
    <row r="18" spans="1:6" x14ac:dyDescent="0.35">
      <c r="A18" s="69">
        <f t="shared" si="1"/>
        <v>17</v>
      </c>
      <c r="B18" t="s">
        <v>368</v>
      </c>
      <c r="C18" s="65" t="str">
        <f t="shared" si="2"/>
        <v>_17.Spare parts New Off grid SDD refrigerators_without freezer comp</v>
      </c>
      <c r="F18" s="3" t="str">
        <f t="shared" si="0"/>
        <v>_17.SparepartsNewOffgridSDDrefrigerators_withoutfreezercomp</v>
      </c>
    </row>
    <row r="19" spans="1:6" x14ac:dyDescent="0.35">
      <c r="A19" s="69">
        <f t="shared" si="1"/>
        <v>18</v>
      </c>
      <c r="B19" t="s">
        <v>369</v>
      </c>
      <c r="C19" s="65" t="str">
        <f t="shared" si="2"/>
        <v>_18.Spare parts New Off grid SDD refrigerators_with freezer comp</v>
      </c>
      <c r="F19" s="3" t="str">
        <f t="shared" si="0"/>
        <v>_18.SparepartsNewOffgridSDDrefrigerators_withfreezercomp</v>
      </c>
    </row>
    <row r="20" spans="1:6" x14ac:dyDescent="0.35">
      <c r="A20" s="69">
        <f t="shared" si="1"/>
        <v>19</v>
      </c>
      <c r="B20" t="s">
        <v>370</v>
      </c>
      <c r="C20" s="65" t="str">
        <f t="shared" si="2"/>
        <v>_19.Spare parts New Off grid SDD freezer</v>
      </c>
      <c r="F20" s="3" t="str">
        <f t="shared" si="0"/>
        <v>_19.SparepartsNewOffgridSDDfreezer</v>
      </c>
    </row>
    <row r="21" spans="1:6" x14ac:dyDescent="0.35">
      <c r="A21" s="69">
        <f t="shared" si="1"/>
        <v>20</v>
      </c>
      <c r="B21" t="s">
        <v>371</v>
      </c>
      <c r="C21" s="65" t="str">
        <f t="shared" si="2"/>
        <v>_20.Annual Data Subscription renewals for Existing RTMDs</v>
      </c>
      <c r="F21" s="3" t="str">
        <f t="shared" si="0"/>
        <v>_20.AnnualDataSubscriptionrenewalsforExistingRTMDs</v>
      </c>
    </row>
    <row r="22" spans="1:6" x14ac:dyDescent="0.35">
      <c r="A22" s="69">
        <f t="shared" si="1"/>
        <v>21</v>
      </c>
      <c r="B22" t="s">
        <v>372</v>
      </c>
      <c r="C22" s="65" t="str">
        <f t="shared" si="2"/>
        <v>_21.Training In person</v>
      </c>
      <c r="F22" s="3" t="str">
        <f t="shared" si="0"/>
        <v>_21.TrainingInperson</v>
      </c>
    </row>
    <row r="23" spans="1:6" x14ac:dyDescent="0.35">
      <c r="A23" s="69">
        <v>22</v>
      </c>
      <c r="B23" t="s">
        <v>373</v>
      </c>
      <c r="C23" s="65" t="str">
        <f t="shared" si="2"/>
        <v>_22.Training Remote</v>
      </c>
      <c r="F23" s="3" t="str">
        <f t="shared" si="0"/>
        <v>_22.TrainingRemote</v>
      </c>
    </row>
    <row r="24" spans="1:6" x14ac:dyDescent="0.35">
      <c r="A24" s="69">
        <v>23</v>
      </c>
      <c r="B24" t="s">
        <v>542</v>
      </c>
      <c r="C24" s="65" t="str">
        <f t="shared" si="2"/>
        <v>_23.Transportable Powered Vaccine Storage_TPVS</v>
      </c>
      <c r="F24" s="3" t="str">
        <f t="shared" si="0"/>
        <v>_23.TransportablePoweredVaccineStorage_TPVS</v>
      </c>
    </row>
    <row r="25" spans="1:6" x14ac:dyDescent="0.35">
      <c r="A25" s="69"/>
      <c r="C25" s="65"/>
      <c r="F25" s="3"/>
    </row>
    <row r="26" spans="1:6" x14ac:dyDescent="0.35">
      <c r="A26" s="69"/>
      <c r="C26" s="65"/>
      <c r="F26" s="3"/>
    </row>
    <row r="27" spans="1:6" x14ac:dyDescent="0.35">
      <c r="B27" t="s">
        <v>374</v>
      </c>
    </row>
    <row r="28" spans="1:6" x14ac:dyDescent="0.35">
      <c r="B28" t="s">
        <v>375</v>
      </c>
      <c r="F28" t="s">
        <v>537</v>
      </c>
    </row>
    <row r="29" spans="1:6" x14ac:dyDescent="0.35">
      <c r="C29" s="92">
        <v>0.2</v>
      </c>
    </row>
    <row r="30" spans="1:6" x14ac:dyDescent="0.35">
      <c r="C30" s="92">
        <v>0.5</v>
      </c>
      <c r="F30" t="s">
        <v>537</v>
      </c>
    </row>
    <row r="32" spans="1:6" x14ac:dyDescent="0.35">
      <c r="B32" t="s">
        <v>376</v>
      </c>
      <c r="C32" s="93" t="s">
        <v>377</v>
      </c>
      <c r="F32" t="s">
        <v>543</v>
      </c>
    </row>
    <row r="33" spans="2:3" x14ac:dyDescent="0.35">
      <c r="B33" t="s">
        <v>378</v>
      </c>
      <c r="C33">
        <v>2020</v>
      </c>
    </row>
    <row r="34" spans="2:3" x14ac:dyDescent="0.35">
      <c r="C34">
        <f>C33+1</f>
        <v>2021</v>
      </c>
    </row>
    <row r="35" spans="2:3" x14ac:dyDescent="0.35">
      <c r="C35">
        <f t="shared" ref="C35:C43" si="3">C34+1</f>
        <v>2022</v>
      </c>
    </row>
    <row r="36" spans="2:3" x14ac:dyDescent="0.35">
      <c r="B36" t="s">
        <v>379</v>
      </c>
      <c r="C36">
        <f t="shared" si="3"/>
        <v>2023</v>
      </c>
    </row>
    <row r="37" spans="2:3" x14ac:dyDescent="0.35">
      <c r="B37" t="s">
        <v>380</v>
      </c>
      <c r="C37">
        <f t="shared" si="3"/>
        <v>2024</v>
      </c>
    </row>
    <row r="38" spans="2:3" x14ac:dyDescent="0.35">
      <c r="B38" t="s">
        <v>381</v>
      </c>
      <c r="C38">
        <f t="shared" si="3"/>
        <v>2025</v>
      </c>
    </row>
    <row r="39" spans="2:3" x14ac:dyDescent="0.35">
      <c r="B39" t="s">
        <v>382</v>
      </c>
      <c r="C39">
        <f t="shared" si="3"/>
        <v>2026</v>
      </c>
    </row>
    <row r="40" spans="2:3" x14ac:dyDescent="0.35">
      <c r="C40">
        <f t="shared" si="3"/>
        <v>2027</v>
      </c>
    </row>
    <row r="41" spans="2:3" x14ac:dyDescent="0.35">
      <c r="C41">
        <f t="shared" si="3"/>
        <v>2028</v>
      </c>
    </row>
    <row r="42" spans="2:3" x14ac:dyDescent="0.35">
      <c r="C42">
        <f>C41+1</f>
        <v>2029</v>
      </c>
    </row>
    <row r="43" spans="2:3" x14ac:dyDescent="0.35">
      <c r="C43">
        <f t="shared" si="3"/>
        <v>2030</v>
      </c>
    </row>
  </sheetData>
  <sheetProtection algorithmName="SHA-512" hashValue="INiQpnGfkDy/BTWPNEdCb7K07ky/mi4vSt/KB6R2h54eQd6Qa29NXvyafBA+II4K+lSOMKPIbfIV6t0zAvoilA==" saltValue="/IkZGGxKfPDjNYSrEF3S3g==" spinCount="100000" sheet="1"/>
  <pageMargins left="0.7" right="0.7" top="0.75" bottom="0.75" header="0.3" footer="0.3"/>
  <pageSetup orientation="portrait" horizontalDpi="90" verticalDpi="90" r:id="rId1"/>
  <ignoredErrors>
    <ignoredError sqref="A3:A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734C-2004-4534-9DC3-8E2956D81796}">
  <sheetPr>
    <tabColor theme="5"/>
  </sheetPr>
  <dimension ref="A2:AI28"/>
  <sheetViews>
    <sheetView topLeftCell="A4" zoomScale="70" zoomScaleNormal="70" workbookViewId="0">
      <selection activeCell="S35" sqref="S35"/>
    </sheetView>
  </sheetViews>
  <sheetFormatPr defaultColWidth="8.81640625" defaultRowHeight="14.5" x14ac:dyDescent="0.35"/>
  <cols>
    <col min="10" max="10" width="18.453125" customWidth="1"/>
    <col min="14" max="14" width="11.54296875" customWidth="1"/>
    <col min="23" max="23" width="15.6328125" customWidth="1"/>
  </cols>
  <sheetData>
    <row r="2" spans="1:35" s="2" customFormat="1" ht="86.5" customHeight="1" x14ac:dyDescent="0.35">
      <c r="A2" s="78" t="s">
        <v>383</v>
      </c>
      <c r="B2" s="78" t="s">
        <v>384</v>
      </c>
      <c r="C2" s="78" t="s">
        <v>385</v>
      </c>
      <c r="D2" s="78" t="s">
        <v>386</v>
      </c>
      <c r="E2" s="78" t="s">
        <v>387</v>
      </c>
      <c r="F2" s="78" t="s">
        <v>388</v>
      </c>
      <c r="G2" s="78" t="s">
        <v>389</v>
      </c>
      <c r="H2" s="78" t="s">
        <v>390</v>
      </c>
      <c r="I2" s="78" t="s">
        <v>391</v>
      </c>
      <c r="J2" s="78" t="s">
        <v>392</v>
      </c>
      <c r="K2" s="78" t="s">
        <v>393</v>
      </c>
      <c r="L2" s="78" t="s">
        <v>394</v>
      </c>
      <c r="M2" s="78" t="s">
        <v>395</v>
      </c>
      <c r="N2" s="78" t="s">
        <v>396</v>
      </c>
      <c r="O2" s="78" t="s">
        <v>397</v>
      </c>
      <c r="P2" s="78" t="s">
        <v>398</v>
      </c>
      <c r="Q2" s="78" t="s">
        <v>399</v>
      </c>
      <c r="R2" s="78" t="s">
        <v>400</v>
      </c>
      <c r="S2" s="78" t="s">
        <v>401</v>
      </c>
      <c r="T2" s="78" t="s">
        <v>402</v>
      </c>
      <c r="U2" s="78" t="s">
        <v>403</v>
      </c>
      <c r="V2" s="78" t="s">
        <v>404</v>
      </c>
      <c r="W2" s="78" t="s">
        <v>543</v>
      </c>
    </row>
    <row r="3" spans="1:35" x14ac:dyDescent="0.35">
      <c r="A3" s="76" t="s">
        <v>405</v>
      </c>
      <c r="B3" s="76" t="s">
        <v>405</v>
      </c>
      <c r="C3" s="76" t="s">
        <v>160</v>
      </c>
      <c r="D3" s="76" t="s">
        <v>405</v>
      </c>
      <c r="E3" s="76" t="s">
        <v>405</v>
      </c>
      <c r="F3" s="76" t="s">
        <v>405</v>
      </c>
      <c r="G3" s="76" t="s">
        <v>147</v>
      </c>
      <c r="H3" s="76" t="s">
        <v>406</v>
      </c>
      <c r="I3" s="76" t="s">
        <v>407</v>
      </c>
      <c r="J3" s="76" t="s">
        <v>408</v>
      </c>
      <c r="K3" s="76" t="s">
        <v>409</v>
      </c>
      <c r="L3" s="76" t="s">
        <v>147</v>
      </c>
      <c r="M3" s="76" t="s">
        <v>147</v>
      </c>
      <c r="N3" s="76" t="s">
        <v>147</v>
      </c>
      <c r="O3" s="76" t="s">
        <v>147</v>
      </c>
      <c r="P3" s="76" t="s">
        <v>147</v>
      </c>
      <c r="Q3" s="76" t="s">
        <v>147</v>
      </c>
      <c r="R3" s="76" t="s">
        <v>147</v>
      </c>
      <c r="S3" s="76" t="s">
        <v>147</v>
      </c>
      <c r="T3" s="76" t="s">
        <v>147</v>
      </c>
      <c r="U3" s="76" t="s">
        <v>147</v>
      </c>
      <c r="V3" s="76" t="s">
        <v>147</v>
      </c>
      <c r="W3" s="76" t="s">
        <v>408</v>
      </c>
    </row>
    <row r="4" spans="1:35" x14ac:dyDescent="0.35">
      <c r="A4" s="76" t="s">
        <v>160</v>
      </c>
      <c r="B4" s="76" t="s">
        <v>160</v>
      </c>
      <c r="C4" s="76" t="s">
        <v>410</v>
      </c>
      <c r="D4" s="76" t="s">
        <v>160</v>
      </c>
      <c r="E4" s="76" t="s">
        <v>160</v>
      </c>
      <c r="F4" s="76" t="s">
        <v>160</v>
      </c>
      <c r="G4" s="76"/>
      <c r="H4" s="76" t="s">
        <v>411</v>
      </c>
      <c r="I4" s="76"/>
      <c r="K4" s="76" t="s">
        <v>412</v>
      </c>
      <c r="L4" s="76"/>
      <c r="M4" s="76"/>
      <c r="N4" s="76"/>
      <c r="O4" s="76"/>
      <c r="P4" s="76"/>
      <c r="Q4" s="76"/>
      <c r="R4" s="76"/>
      <c r="S4" s="76"/>
      <c r="T4" s="76"/>
      <c r="U4" s="76"/>
      <c r="V4" s="76"/>
      <c r="W4" s="76"/>
    </row>
    <row r="5" spans="1:35" x14ac:dyDescent="0.35">
      <c r="A5" s="76" t="s">
        <v>410</v>
      </c>
      <c r="B5" s="76"/>
      <c r="C5" s="76"/>
      <c r="D5" s="76" t="s">
        <v>410</v>
      </c>
      <c r="E5" s="89" t="s">
        <v>410</v>
      </c>
      <c r="F5" s="76" t="s">
        <v>410</v>
      </c>
      <c r="G5" s="76"/>
      <c r="H5" s="76"/>
      <c r="I5" s="76"/>
      <c r="J5" s="76"/>
      <c r="K5" s="76"/>
      <c r="L5" s="76"/>
      <c r="M5" s="76"/>
      <c r="N5" s="76"/>
      <c r="O5" s="76"/>
      <c r="P5" s="76"/>
      <c r="Q5" s="76"/>
      <c r="R5" s="76"/>
      <c r="S5" s="76"/>
      <c r="T5" s="76"/>
      <c r="U5" s="76"/>
      <c r="V5" s="76"/>
      <c r="W5" s="76"/>
    </row>
    <row r="6" spans="1:35" x14ac:dyDescent="0.35">
      <c r="A6" s="76"/>
      <c r="B6" s="76"/>
      <c r="C6" s="76"/>
      <c r="D6" s="76"/>
      <c r="E6" s="76"/>
      <c r="F6" s="76"/>
      <c r="G6" s="76"/>
      <c r="H6" s="76"/>
      <c r="I6" s="76"/>
      <c r="J6" s="76"/>
      <c r="K6" s="76"/>
      <c r="L6" s="76"/>
      <c r="M6" s="76"/>
      <c r="N6" s="76"/>
      <c r="O6" s="76"/>
      <c r="P6" s="76"/>
      <c r="Q6" s="76"/>
      <c r="R6" s="76"/>
      <c r="S6" s="76"/>
      <c r="T6" s="76"/>
      <c r="U6" s="76"/>
      <c r="V6" s="76"/>
      <c r="W6" s="76"/>
    </row>
    <row r="7" spans="1:35" x14ac:dyDescent="0.35">
      <c r="D7" s="76"/>
    </row>
    <row r="10" spans="1:35" s="7" customFormat="1" ht="132" customHeight="1" x14ac:dyDescent="0.35">
      <c r="A10" s="78" t="str">
        <f>$A$2&amp;SUBSTITUTE(A3," ","")</f>
        <v>_1.OngridILR_withoutfreezercomp0-&lt;60L</v>
      </c>
      <c r="B10" s="78" t="str">
        <f>$A$2&amp;SUBSTITUTE(A4," ","")</f>
        <v>_1.OngridILR_withoutfreezercomp60-&lt;120L</v>
      </c>
      <c r="C10" s="78" t="str">
        <f>$A$2&amp;SUBSTITUTE(A5," ","")</f>
        <v>_1.OngridILR_withoutfreezercomp&gt;-120L</v>
      </c>
      <c r="D10" s="78" t="str">
        <f>$B$2&amp;SUBSTITUTE(B3," ","")</f>
        <v>_2.OngridILR_withfreezercomp0-&lt;60L</v>
      </c>
      <c r="E10" s="78" t="str">
        <f>$B$2&amp;SUBSTITUTE(B4," ","")</f>
        <v>_2.OngridILR_withfreezercomp60-&lt;120L</v>
      </c>
      <c r="F10" s="78" t="str">
        <f>$C$2&amp;SUBSTITUTE(C3," ","")</f>
        <v>_3.Ongridfreezers60-&lt;120L</v>
      </c>
      <c r="G10" s="78" t="str">
        <f>$C$2&amp;SUBSTITUTE(C4," ","")</f>
        <v>_3.Ongridfreezers&gt;-120L</v>
      </c>
      <c r="H10" s="78" t="str">
        <f>$D$2&amp;SUBSTITUTE(D3," ","")</f>
        <v>_4.OffgridSDDrefrigerators_withoutfreezercomp0-&lt;60L</v>
      </c>
      <c r="I10" s="78" t="str">
        <f>$D$2&amp;SUBSTITUTE(D4," ","")</f>
        <v>_4.OffgridSDDrefrigerators_withoutfreezercomp60-&lt;120L</v>
      </c>
      <c r="J10" s="78" t="str">
        <f>$D$2&amp;SUBSTITUTE(D5," ","")</f>
        <v>_4.OffgridSDDrefrigerators_withoutfreezercomp&gt;-120L</v>
      </c>
      <c r="K10" s="78" t="str">
        <f>$E$2&amp;SUBSTITUTE(E3," ","")</f>
        <v>_5.OffgridSDDrefrigerators_withfreezercomp0-&lt;60L</v>
      </c>
      <c r="L10" s="78" t="str">
        <f>$E$2&amp;SUBSTITUTE(E4," ","")</f>
        <v>_5.OffgridSDDrefrigerators_withfreezercomp60-&lt;120L</v>
      </c>
      <c r="M10" s="78" t="str">
        <f>$E$2&amp;SUBSTITUTE(E5," ","")</f>
        <v>_5.OffgridSDDrefrigerators_withfreezercomp&gt;-120L</v>
      </c>
      <c r="N10" s="78" t="str">
        <f>$F$2&amp;SUBSTITUTE(F3," ","")</f>
        <v>_6.OffgridSDDfreezer0-&lt;60L</v>
      </c>
      <c r="O10" s="78" t="str">
        <f>$F$2&amp;SUBSTITUTE(F4," ","")</f>
        <v>_6.OffgridSDDfreezer60-&lt;120L</v>
      </c>
      <c r="P10" s="78" t="str">
        <f>$F$2&amp;SUBSTITUTE(F5," ","")</f>
        <v>_6.OffgridSDDfreezer&gt;-120L</v>
      </c>
      <c r="Q10" s="78" t="str">
        <f>$G$2&amp;SUBSTITUTE(G3," ","")</f>
        <v>_7.ExistingCCETemperaturemonitoringdevice_30DTRNA</v>
      </c>
      <c r="R10" s="78" t="str">
        <f>$H$2&amp;SUBSTITUTE(H3," ","")</f>
        <v>_8.Remotetemperaturemonitoringdevices_RTMDsWICR</v>
      </c>
      <c r="S10" s="78" t="str">
        <f>$H$2&amp;SUBSTITUTE(H4," ","")</f>
        <v>_8.Remotetemperaturemonitoringdevices_RTMDsRefrigerator</v>
      </c>
      <c r="T10" s="78" t="str">
        <f>$I$2&amp;SUBSTITUTE(I3," ","")</f>
        <v>_9.Longtermpassivedevices5-&lt;10L</v>
      </c>
      <c r="U10" s="78" t="str">
        <f>$J$2&amp;SUBSTITUTE(J3," ","")</f>
        <v>_10.Freezefreevaccinecarriers0-&lt;5L</v>
      </c>
      <c r="V10" s="78" t="str">
        <f>$K$2&amp;SUBSTITUTE(K3," ","")</f>
        <v>_11.Freezefreecoldboxes&gt;-15L</v>
      </c>
      <c r="W10" s="78" t="str">
        <f>$K$2&amp;SUBSTITUTE(K4," ","")</f>
        <v>_11.Freezefreecoldboxes&lt;15L</v>
      </c>
      <c r="X10" s="78" t="str">
        <f>$L$2&amp;SUBSTITUTE(L3," ","")</f>
        <v>_12.VoltageregulatorsforequipmentNA</v>
      </c>
      <c r="Y10" s="78" t="str">
        <f>$M$2&amp;SUBSTITUTE(M3," ","")</f>
        <v>_13.IcepacksNA</v>
      </c>
      <c r="Z10" s="78" t="str">
        <f>$N$2&amp;SUBSTITUTE(N3," ","")</f>
        <v>_14.SparepartsNewOngridILR_withoutfreezercompNA</v>
      </c>
      <c r="AA10" s="78" t="str">
        <f>$O$2&amp;SUBSTITUTE(O3," ","")</f>
        <v>_15.SparepartsNewOngridILR_withfreezercompNA</v>
      </c>
      <c r="AB10" s="78" t="str">
        <f>$P$2&amp;SUBSTITUTE(P3," ","")</f>
        <v>_16.SparepartsNewOngridfreezersNA</v>
      </c>
      <c r="AC10" s="78" t="str">
        <f>$Q$2&amp;SUBSTITUTE(Q3," ","")</f>
        <v>_17.SparepartsNewOffgridSDDrefrigerators_withoutfreezercompNA</v>
      </c>
      <c r="AD10" s="78" t="str">
        <f>$R$2&amp;SUBSTITUTE(R3," ","")</f>
        <v>_18.SparepartsNewOffgridSDDrefrigerators_withfreezercompNA</v>
      </c>
      <c r="AE10" s="78" t="str">
        <f>$S$2&amp;SUBSTITUTE(S3," ","")</f>
        <v>_19.SparepartsNewOffgridSDDfreezerNA</v>
      </c>
      <c r="AF10" s="78" t="str">
        <f>$T$2&amp;SUBSTITUTE(T3," ","")</f>
        <v>_20.AnnualDataSubscriptionrenewalsforExistingRTMDsNA</v>
      </c>
      <c r="AG10" s="78" t="str">
        <f>$U$2&amp;SUBSTITUTE(U3," ","")</f>
        <v>_21.TrainingInpersonNA</v>
      </c>
      <c r="AH10" s="78" t="str">
        <f>$V$2&amp;SUBSTITUTE(V3," ","")</f>
        <v>_22.TrainingRemoteNA</v>
      </c>
      <c r="AI10" s="78" t="str">
        <f>$W$2&amp;SUBSTITUTE(W3," ","")</f>
        <v>_23.TransportablePoweredVaccineStorage_TPVS0-&lt;5L</v>
      </c>
    </row>
    <row r="11" spans="1:35" ht="159.5" x14ac:dyDescent="0.35">
      <c r="A11" s="77" t="s">
        <v>145</v>
      </c>
      <c r="B11" s="77" t="s">
        <v>162</v>
      </c>
      <c r="C11" s="77" t="s">
        <v>180</v>
      </c>
      <c r="D11" s="77" t="s">
        <v>193</v>
      </c>
      <c r="E11" s="77" t="s">
        <v>199</v>
      </c>
      <c r="F11" s="77" t="s">
        <v>201</v>
      </c>
      <c r="G11" s="77" t="s">
        <v>205</v>
      </c>
      <c r="H11" s="77" t="s">
        <v>215</v>
      </c>
      <c r="I11" s="77" t="s">
        <v>224</v>
      </c>
      <c r="J11" s="77" t="s">
        <v>233</v>
      </c>
      <c r="K11" s="77" t="s">
        <v>240</v>
      </c>
      <c r="L11" s="77" t="s">
        <v>251</v>
      </c>
      <c r="M11" s="77" t="s">
        <v>258</v>
      </c>
      <c r="N11" s="77" t="s">
        <v>259</v>
      </c>
      <c r="O11" s="77" t="s">
        <v>261</v>
      </c>
      <c r="P11" s="77"/>
      <c r="Q11" s="77" t="s">
        <v>264</v>
      </c>
      <c r="R11" s="77" t="s">
        <v>270</v>
      </c>
      <c r="S11" s="77" t="s">
        <v>276</v>
      </c>
      <c r="T11" s="77" t="s">
        <v>285</v>
      </c>
      <c r="U11" s="77" t="s">
        <v>288</v>
      </c>
      <c r="V11" s="77" t="s">
        <v>301</v>
      </c>
      <c r="W11" s="77" t="s">
        <v>299</v>
      </c>
      <c r="X11" s="77" t="s">
        <v>303</v>
      </c>
      <c r="Y11" s="113" t="s">
        <v>306</v>
      </c>
      <c r="Z11" s="77" t="s">
        <v>413</v>
      </c>
      <c r="AA11" s="77" t="s">
        <v>414</v>
      </c>
      <c r="AB11" s="77" t="s">
        <v>415</v>
      </c>
      <c r="AC11" s="77" t="s">
        <v>416</v>
      </c>
      <c r="AD11" s="77" t="s">
        <v>417</v>
      </c>
      <c r="AE11" s="113" t="s">
        <v>418</v>
      </c>
      <c r="AF11" s="113" t="s">
        <v>332</v>
      </c>
      <c r="AG11" s="77" t="s">
        <v>345</v>
      </c>
      <c r="AH11" s="77" t="s">
        <v>348</v>
      </c>
      <c r="AI11" s="474" t="s">
        <v>533</v>
      </c>
    </row>
    <row r="12" spans="1:35" ht="174" x14ac:dyDescent="0.35">
      <c r="A12" s="77" t="s">
        <v>150</v>
      </c>
      <c r="B12" s="77" t="s">
        <v>163</v>
      </c>
      <c r="C12" s="77" t="s">
        <v>181</v>
      </c>
      <c r="D12" s="77" t="s">
        <v>194</v>
      </c>
      <c r="E12" s="77"/>
      <c r="F12" s="77" t="s">
        <v>202</v>
      </c>
      <c r="G12" s="77" t="s">
        <v>206</v>
      </c>
      <c r="H12" s="77" t="s">
        <v>216</v>
      </c>
      <c r="I12" s="77" t="s">
        <v>225</v>
      </c>
      <c r="J12" s="77" t="s">
        <v>234</v>
      </c>
      <c r="K12" s="77" t="s">
        <v>241</v>
      </c>
      <c r="L12" s="77" t="s">
        <v>252</v>
      </c>
      <c r="M12" s="77"/>
      <c r="N12" s="77" t="s">
        <v>260</v>
      </c>
      <c r="O12" s="77"/>
      <c r="P12" s="77"/>
      <c r="Q12" s="77" t="s">
        <v>266</v>
      </c>
      <c r="R12" s="77" t="s">
        <v>272</v>
      </c>
      <c r="S12" s="77" t="s">
        <v>278</v>
      </c>
      <c r="T12" s="77"/>
      <c r="U12" s="77" t="s">
        <v>289</v>
      </c>
      <c r="V12" s="77"/>
      <c r="W12" s="77"/>
      <c r="X12" s="77" t="s">
        <v>419</v>
      </c>
      <c r="Y12" s="113" t="s">
        <v>308</v>
      </c>
      <c r="Z12" s="77" t="s">
        <v>420</v>
      </c>
      <c r="AA12" s="77" t="s">
        <v>421</v>
      </c>
      <c r="AB12" s="77" t="s">
        <v>422</v>
      </c>
      <c r="AC12" s="77" t="s">
        <v>423</v>
      </c>
      <c r="AD12" s="77" t="s">
        <v>424</v>
      </c>
      <c r="AE12" s="113" t="s">
        <v>425</v>
      </c>
      <c r="AF12" s="113" t="s">
        <v>334</v>
      </c>
      <c r="AG12" s="113" t="s">
        <v>346</v>
      </c>
      <c r="AH12" s="77" t="s">
        <v>349</v>
      </c>
      <c r="AI12" s="475" t="s">
        <v>534</v>
      </c>
    </row>
    <row r="13" spans="1:35" ht="159.5" x14ac:dyDescent="0.35">
      <c r="A13" s="77" t="s">
        <v>151</v>
      </c>
      <c r="B13" s="77" t="s">
        <v>165</v>
      </c>
      <c r="C13" s="77" t="s">
        <v>183</v>
      </c>
      <c r="D13" s="77" t="s">
        <v>195</v>
      </c>
      <c r="E13" s="77"/>
      <c r="F13" s="77" t="s">
        <v>213</v>
      </c>
      <c r="G13" s="77" t="s">
        <v>207</v>
      </c>
      <c r="H13" s="77" t="s">
        <v>426</v>
      </c>
      <c r="I13" s="77" t="s">
        <v>226</v>
      </c>
      <c r="J13" s="77" t="s">
        <v>235</v>
      </c>
      <c r="K13" s="77" t="s">
        <v>242</v>
      </c>
      <c r="L13" s="77" t="s">
        <v>253</v>
      </c>
      <c r="M13" s="77"/>
      <c r="N13" s="109"/>
      <c r="O13" s="77"/>
      <c r="P13" s="77"/>
      <c r="Q13" s="77" t="s">
        <v>267</v>
      </c>
      <c r="R13" s="77" t="s">
        <v>273</v>
      </c>
      <c r="S13" s="77" t="s">
        <v>281</v>
      </c>
      <c r="T13" s="77"/>
      <c r="U13" s="77" t="s">
        <v>291</v>
      </c>
      <c r="V13" s="77"/>
      <c r="W13" s="77"/>
      <c r="X13" s="109"/>
      <c r="Y13" s="113" t="s">
        <v>309</v>
      </c>
      <c r="Z13" s="77" t="s">
        <v>427</v>
      </c>
      <c r="AA13" s="77" t="s">
        <v>428</v>
      </c>
      <c r="AB13" s="77" t="s">
        <v>429</v>
      </c>
      <c r="AC13" s="77" t="s">
        <v>430</v>
      </c>
      <c r="AD13" s="77" t="s">
        <v>431</v>
      </c>
      <c r="AE13" s="77" t="s">
        <v>432</v>
      </c>
      <c r="AF13" s="113" t="s">
        <v>335</v>
      </c>
      <c r="AG13" s="77" t="s">
        <v>347</v>
      </c>
      <c r="AH13" s="109"/>
      <c r="AI13" s="474" t="s">
        <v>535</v>
      </c>
    </row>
    <row r="14" spans="1:35" ht="130.5" x14ac:dyDescent="0.35">
      <c r="A14" s="77" t="s">
        <v>154</v>
      </c>
      <c r="B14" s="77" t="s">
        <v>166</v>
      </c>
      <c r="C14" s="77" t="s">
        <v>184</v>
      </c>
      <c r="D14" s="77" t="s">
        <v>196</v>
      </c>
      <c r="E14" s="77"/>
      <c r="F14" s="77" t="s">
        <v>214</v>
      </c>
      <c r="G14" s="77" t="s">
        <v>208</v>
      </c>
      <c r="H14" s="77" t="s">
        <v>218</v>
      </c>
      <c r="I14" s="77" t="s">
        <v>227</v>
      </c>
      <c r="J14" s="77" t="s">
        <v>236</v>
      </c>
      <c r="K14" s="77" t="s">
        <v>243</v>
      </c>
      <c r="L14" s="77" t="s">
        <v>254</v>
      </c>
      <c r="M14" s="77"/>
      <c r="N14" s="77"/>
      <c r="O14" s="77"/>
      <c r="P14" s="77"/>
      <c r="Q14" s="109" t="s">
        <v>268</v>
      </c>
      <c r="R14" s="109" t="s">
        <v>274</v>
      </c>
      <c r="S14" s="77" t="s">
        <v>283</v>
      </c>
      <c r="T14" s="77"/>
      <c r="U14" s="77" t="s">
        <v>292</v>
      </c>
      <c r="V14" s="77"/>
      <c r="W14" s="77"/>
      <c r="X14" s="77"/>
      <c r="Y14" s="113" t="s">
        <v>311</v>
      </c>
      <c r="Z14" s="77" t="s">
        <v>433</v>
      </c>
      <c r="AA14" s="77" t="s">
        <v>434</v>
      </c>
      <c r="AB14" s="77" t="s">
        <v>435</v>
      </c>
      <c r="AC14" s="77"/>
      <c r="AD14" s="77" t="s">
        <v>436</v>
      </c>
      <c r="AE14" s="77"/>
      <c r="AF14" s="113" t="s">
        <v>336</v>
      </c>
      <c r="AG14" s="109"/>
      <c r="AH14" s="109"/>
    </row>
    <row r="15" spans="1:35" ht="130.5" x14ac:dyDescent="0.35">
      <c r="A15" s="77" t="s">
        <v>155</v>
      </c>
      <c r="B15" s="77" t="s">
        <v>168</v>
      </c>
      <c r="C15" s="77" t="s">
        <v>185</v>
      </c>
      <c r="D15" s="77" t="s">
        <v>197</v>
      </c>
      <c r="E15" s="77"/>
      <c r="F15" s="77" t="s">
        <v>203</v>
      </c>
      <c r="G15" s="77" t="s">
        <v>209</v>
      </c>
      <c r="H15" s="77" t="s">
        <v>437</v>
      </c>
      <c r="I15" s="77" t="s">
        <v>228</v>
      </c>
      <c r="J15" s="77" t="s">
        <v>237</v>
      </c>
      <c r="K15" s="77" t="s">
        <v>244</v>
      </c>
      <c r="L15" s="77" t="s">
        <v>255</v>
      </c>
      <c r="M15" s="77"/>
      <c r="N15" s="77"/>
      <c r="O15" s="77"/>
      <c r="P15" s="77"/>
      <c r="Q15" s="77"/>
      <c r="R15" s="77" t="s">
        <v>275</v>
      </c>
      <c r="S15" s="77" t="s">
        <v>280</v>
      </c>
      <c r="T15" s="77"/>
      <c r="U15" s="77" t="s">
        <v>294</v>
      </c>
      <c r="V15" s="77"/>
      <c r="W15" s="77"/>
      <c r="X15" s="77"/>
      <c r="Y15" s="113" t="s">
        <v>312</v>
      </c>
      <c r="Z15" s="77" t="s">
        <v>438</v>
      </c>
      <c r="AA15" s="77"/>
      <c r="AB15" s="77" t="s">
        <v>439</v>
      </c>
      <c r="AC15" s="77" t="s">
        <v>440</v>
      </c>
      <c r="AD15" s="77" t="s">
        <v>441</v>
      </c>
      <c r="AE15" s="77"/>
      <c r="AF15" s="113" t="s">
        <v>337</v>
      </c>
      <c r="AG15" s="109"/>
      <c r="AH15" s="109"/>
    </row>
    <row r="16" spans="1:35" ht="130.5" x14ac:dyDescent="0.35">
      <c r="A16" s="77" t="s">
        <v>158</v>
      </c>
      <c r="B16" s="77" t="s">
        <v>169</v>
      </c>
      <c r="C16" s="77" t="s">
        <v>186</v>
      </c>
      <c r="D16" s="77" t="s">
        <v>198</v>
      </c>
      <c r="E16" s="77"/>
      <c r="F16" s="77" t="s">
        <v>204</v>
      </c>
      <c r="G16" s="77" t="s">
        <v>210</v>
      </c>
      <c r="H16" s="77" t="s">
        <v>442</v>
      </c>
      <c r="I16" s="77" t="s">
        <v>229</v>
      </c>
      <c r="J16" s="77" t="s">
        <v>238</v>
      </c>
      <c r="K16" s="77" t="s">
        <v>245</v>
      </c>
      <c r="L16" s="77" t="s">
        <v>256</v>
      </c>
      <c r="M16" s="77"/>
      <c r="N16" s="77"/>
      <c r="O16" s="77"/>
      <c r="P16" s="77"/>
      <c r="Q16" s="77"/>
      <c r="R16" s="77"/>
      <c r="S16" s="109" t="s">
        <v>282</v>
      </c>
      <c r="T16" s="77"/>
      <c r="U16" s="109" t="s">
        <v>296</v>
      </c>
      <c r="V16" s="77"/>
      <c r="W16" s="77"/>
      <c r="X16" s="77"/>
      <c r="Y16" s="113" t="s">
        <v>314</v>
      </c>
      <c r="Z16" s="77" t="s">
        <v>443</v>
      </c>
      <c r="AA16" s="77"/>
      <c r="AB16" s="77" t="s">
        <v>444</v>
      </c>
      <c r="AC16" s="77" t="s">
        <v>445</v>
      </c>
      <c r="AD16" s="77" t="s">
        <v>446</v>
      </c>
      <c r="AE16" s="77"/>
      <c r="AF16" s="113" t="s">
        <v>338</v>
      </c>
      <c r="AG16" s="109"/>
      <c r="AH16" s="109"/>
    </row>
    <row r="17" spans="1:34" ht="116" x14ac:dyDescent="0.35">
      <c r="A17" s="77" t="s">
        <v>159</v>
      </c>
      <c r="B17" s="77" t="s">
        <v>171</v>
      </c>
      <c r="C17" s="77" t="s">
        <v>187</v>
      </c>
      <c r="D17" s="77"/>
      <c r="E17" s="77"/>
      <c r="F17" s="77"/>
      <c r="G17" s="77" t="s">
        <v>205</v>
      </c>
      <c r="H17" s="77" t="s">
        <v>447</v>
      </c>
      <c r="I17" s="77" t="s">
        <v>230</v>
      </c>
      <c r="J17" s="77" t="s">
        <v>239</v>
      </c>
      <c r="K17" s="77" t="s">
        <v>246</v>
      </c>
      <c r="L17" s="77" t="s">
        <v>257</v>
      </c>
      <c r="M17" s="77"/>
      <c r="N17" s="77"/>
      <c r="O17" s="77"/>
      <c r="P17" s="77"/>
      <c r="Q17" s="77"/>
      <c r="R17" s="109"/>
      <c r="S17" s="77"/>
      <c r="T17" s="77"/>
      <c r="U17" s="109" t="s">
        <v>297</v>
      </c>
      <c r="V17" s="77"/>
      <c r="W17" s="77"/>
      <c r="X17" s="77"/>
      <c r="Y17" s="113" t="s">
        <v>315</v>
      </c>
      <c r="Z17" s="77" t="s">
        <v>448</v>
      </c>
      <c r="AA17" s="77"/>
      <c r="AB17" s="77" t="s">
        <v>449</v>
      </c>
      <c r="AC17" s="77" t="s">
        <v>450</v>
      </c>
      <c r="AD17" s="77" t="s">
        <v>451</v>
      </c>
      <c r="AE17" s="77"/>
      <c r="AF17" s="113" t="s">
        <v>340</v>
      </c>
      <c r="AG17" s="109"/>
      <c r="AH17" s="109"/>
    </row>
    <row r="18" spans="1:34" ht="130.5" x14ac:dyDescent="0.35">
      <c r="A18" s="109"/>
      <c r="B18" s="77" t="s">
        <v>173</v>
      </c>
      <c r="C18" s="77" t="s">
        <v>188</v>
      </c>
      <c r="D18" s="77"/>
      <c r="E18" s="77"/>
      <c r="F18" s="77"/>
      <c r="G18" s="77" t="s">
        <v>206</v>
      </c>
      <c r="H18" s="77" t="s">
        <v>220</v>
      </c>
      <c r="I18" s="77" t="s">
        <v>231</v>
      </c>
      <c r="J18" s="77"/>
      <c r="K18" s="77" t="s">
        <v>247</v>
      </c>
      <c r="L18" s="109"/>
      <c r="M18" s="109"/>
      <c r="N18" s="77"/>
      <c r="O18" s="77"/>
      <c r="P18" s="77"/>
      <c r="Q18" s="77"/>
      <c r="R18" s="77"/>
      <c r="S18" s="77"/>
      <c r="T18" s="77"/>
      <c r="U18" s="109"/>
      <c r="V18" s="77"/>
      <c r="W18" s="77"/>
      <c r="X18" s="77"/>
      <c r="Y18" s="113" t="s">
        <v>316</v>
      </c>
      <c r="Z18" s="77" t="s">
        <v>452</v>
      </c>
      <c r="AA18" s="77"/>
      <c r="AB18" s="77" t="s">
        <v>453</v>
      </c>
      <c r="AC18" s="77" t="s">
        <v>454</v>
      </c>
      <c r="AD18" s="77" t="s">
        <v>455</v>
      </c>
      <c r="AE18" s="77"/>
      <c r="AF18" s="113" t="s">
        <v>341</v>
      </c>
      <c r="AG18" s="109"/>
      <c r="AH18" s="109"/>
    </row>
    <row r="19" spans="1:34" ht="130.5" x14ac:dyDescent="0.35">
      <c r="A19" s="77"/>
      <c r="B19" s="77" t="s">
        <v>174</v>
      </c>
      <c r="C19" s="77" t="s">
        <v>189</v>
      </c>
      <c r="D19" s="77"/>
      <c r="E19" s="77"/>
      <c r="F19" s="77"/>
      <c r="G19" s="77" t="s">
        <v>211</v>
      </c>
      <c r="H19" s="77" t="s">
        <v>221</v>
      </c>
      <c r="I19" s="77" t="s">
        <v>232</v>
      </c>
      <c r="J19" s="77"/>
      <c r="K19" s="77" t="s">
        <v>248</v>
      </c>
      <c r="L19" s="77"/>
      <c r="M19" s="77"/>
      <c r="N19" s="77"/>
      <c r="O19" s="77"/>
      <c r="P19" s="77"/>
      <c r="Q19" s="77"/>
      <c r="R19" s="109"/>
      <c r="S19" s="77"/>
      <c r="T19" s="77"/>
      <c r="U19" s="109"/>
      <c r="V19" s="77"/>
      <c r="W19" s="77"/>
      <c r="X19" s="77"/>
      <c r="Y19" s="113" t="s">
        <v>317</v>
      </c>
      <c r="Z19" s="77" t="s">
        <v>456</v>
      </c>
      <c r="AA19" s="77"/>
      <c r="AB19" s="77"/>
      <c r="AC19" s="77" t="s">
        <v>457</v>
      </c>
      <c r="AD19" s="77" t="s">
        <v>458</v>
      </c>
      <c r="AE19" s="77"/>
      <c r="AF19" s="113" t="s">
        <v>342</v>
      </c>
      <c r="AG19" s="109"/>
      <c r="AH19" s="109"/>
    </row>
    <row r="20" spans="1:34" ht="116" x14ac:dyDescent="0.35">
      <c r="A20" s="77"/>
      <c r="B20" s="77" t="s">
        <v>175</v>
      </c>
      <c r="C20" s="77" t="s">
        <v>191</v>
      </c>
      <c r="D20" s="77"/>
      <c r="E20" s="77"/>
      <c r="F20" s="77"/>
      <c r="G20" s="77" t="s">
        <v>212</v>
      </c>
      <c r="H20" s="77" t="s">
        <v>222</v>
      </c>
      <c r="I20" s="77"/>
      <c r="J20" s="77"/>
      <c r="K20" s="77" t="s">
        <v>249</v>
      </c>
      <c r="L20" s="77"/>
      <c r="M20" s="77"/>
      <c r="N20" s="77"/>
      <c r="O20" s="77"/>
      <c r="P20" s="77"/>
      <c r="Q20" s="77"/>
      <c r="R20" s="109"/>
      <c r="S20" s="77"/>
      <c r="T20" s="77"/>
      <c r="U20" s="109"/>
      <c r="V20" s="77"/>
      <c r="W20" s="77"/>
      <c r="X20" s="77"/>
      <c r="Y20" s="113" t="s">
        <v>318</v>
      </c>
      <c r="Z20" s="77" t="s">
        <v>459</v>
      </c>
      <c r="AA20" s="77"/>
      <c r="AB20" s="77"/>
      <c r="AC20" s="77" t="s">
        <v>460</v>
      </c>
      <c r="AD20" s="77" t="s">
        <v>461</v>
      </c>
      <c r="AE20" s="77"/>
      <c r="AF20" s="113" t="s">
        <v>343</v>
      </c>
      <c r="AG20" s="109"/>
      <c r="AH20" s="109"/>
    </row>
    <row r="21" spans="1:34" ht="130.5" x14ac:dyDescent="0.35">
      <c r="A21" s="77"/>
      <c r="B21" s="77" t="s">
        <v>176</v>
      </c>
      <c r="C21" s="77" t="s">
        <v>462</v>
      </c>
      <c r="D21" s="77"/>
      <c r="E21" s="77"/>
      <c r="F21" s="77"/>
      <c r="G21" s="77"/>
      <c r="H21" s="77" t="s">
        <v>223</v>
      </c>
      <c r="I21" s="77"/>
      <c r="J21" s="77"/>
      <c r="K21" s="77" t="s">
        <v>250</v>
      </c>
      <c r="L21" s="77"/>
      <c r="M21" s="77"/>
      <c r="N21" s="77"/>
      <c r="O21" s="77"/>
      <c r="P21" s="77"/>
      <c r="Q21" s="77"/>
      <c r="R21" s="109"/>
      <c r="S21" s="77"/>
      <c r="T21" s="77"/>
      <c r="U21" s="109"/>
      <c r="V21" s="77"/>
      <c r="W21" s="77"/>
      <c r="X21" s="77"/>
      <c r="Y21" s="113" t="s">
        <v>320</v>
      </c>
      <c r="Z21" s="77" t="s">
        <v>463</v>
      </c>
      <c r="AA21" s="77"/>
      <c r="AB21" s="77"/>
      <c r="AC21" s="77" t="s">
        <v>464</v>
      </c>
      <c r="AD21" s="77" t="s">
        <v>465</v>
      </c>
      <c r="AE21" s="77"/>
      <c r="AF21" s="109" t="s">
        <v>333</v>
      </c>
      <c r="AG21" s="109"/>
      <c r="AH21" s="109"/>
    </row>
    <row r="22" spans="1:34" ht="87" x14ac:dyDescent="0.35">
      <c r="A22" s="77"/>
      <c r="B22" s="77" t="s">
        <v>177</v>
      </c>
      <c r="C22" s="109"/>
      <c r="D22" s="77"/>
      <c r="E22" s="77"/>
      <c r="F22" s="77"/>
      <c r="G22" s="77"/>
      <c r="H22" s="109"/>
      <c r="I22" s="77"/>
      <c r="J22" s="77"/>
      <c r="K22" s="77"/>
      <c r="L22" s="77"/>
      <c r="M22" s="77"/>
      <c r="N22" s="77"/>
      <c r="O22" s="77"/>
      <c r="P22" s="77"/>
      <c r="Q22" s="77"/>
      <c r="R22" s="109"/>
      <c r="S22" s="77"/>
      <c r="T22" s="77"/>
      <c r="U22" s="109"/>
      <c r="V22" s="77"/>
      <c r="W22" s="77"/>
      <c r="X22" s="77"/>
      <c r="Y22" s="113" t="s">
        <v>321</v>
      </c>
      <c r="Z22" s="77" t="s">
        <v>466</v>
      </c>
      <c r="AA22" s="77"/>
      <c r="AB22" s="77"/>
      <c r="AC22" s="77" t="s">
        <v>467</v>
      </c>
      <c r="AD22" s="77"/>
      <c r="AE22" s="77"/>
      <c r="AF22" s="109" t="s">
        <v>339</v>
      </c>
      <c r="AG22" s="109"/>
      <c r="AH22" s="109"/>
    </row>
    <row r="23" spans="1:34" ht="87" x14ac:dyDescent="0.35">
      <c r="A23" s="77"/>
      <c r="B23" s="77" t="s">
        <v>178</v>
      </c>
      <c r="C23" s="77"/>
      <c r="D23" s="77"/>
      <c r="E23" s="77"/>
      <c r="F23" s="77"/>
      <c r="G23" s="77"/>
      <c r="H23" s="77"/>
      <c r="I23" s="77"/>
      <c r="J23" s="77"/>
      <c r="K23" s="77"/>
      <c r="L23" s="77"/>
      <c r="M23" s="77"/>
      <c r="N23" s="77"/>
      <c r="O23" s="77"/>
      <c r="P23" s="77"/>
      <c r="Q23" s="77"/>
      <c r="R23" s="109"/>
      <c r="S23" s="77"/>
      <c r="T23" s="77"/>
      <c r="U23" s="109"/>
      <c r="V23" s="77"/>
      <c r="W23" s="77"/>
      <c r="X23" s="77"/>
      <c r="Y23" s="113" t="s">
        <v>322</v>
      </c>
      <c r="Z23" s="77" t="s">
        <v>468</v>
      </c>
      <c r="AA23" s="77"/>
      <c r="AB23" s="77"/>
      <c r="AC23" s="77" t="s">
        <v>469</v>
      </c>
      <c r="AD23" s="77"/>
      <c r="AE23" s="77"/>
      <c r="AF23" s="109"/>
      <c r="AG23" s="109"/>
      <c r="AH23" s="109"/>
    </row>
    <row r="24" spans="1:34" ht="43.5" x14ac:dyDescent="0.35">
      <c r="A24" s="77"/>
      <c r="B24" s="109"/>
      <c r="C24" s="77"/>
      <c r="D24" s="77"/>
      <c r="E24" s="77"/>
      <c r="F24" s="77"/>
      <c r="G24" s="77"/>
      <c r="H24" s="77"/>
      <c r="I24" s="77"/>
      <c r="J24" s="77"/>
      <c r="K24" s="77"/>
      <c r="L24" s="77"/>
      <c r="M24" s="77"/>
      <c r="N24" s="77"/>
      <c r="O24" s="77"/>
      <c r="P24" s="77"/>
      <c r="Q24" s="77"/>
      <c r="R24" s="109"/>
      <c r="S24" s="77"/>
      <c r="T24" s="77"/>
      <c r="U24" s="109"/>
      <c r="V24" s="77"/>
      <c r="W24" s="77"/>
      <c r="X24" s="77"/>
      <c r="Y24" s="113" t="s">
        <v>323</v>
      </c>
      <c r="Z24" s="77" t="s">
        <v>470</v>
      </c>
      <c r="AA24" s="77"/>
      <c r="AB24" s="77"/>
      <c r="AC24" s="77" t="s">
        <v>471</v>
      </c>
      <c r="AD24" s="77"/>
      <c r="AE24" s="77"/>
      <c r="AF24" s="109"/>
      <c r="AG24" s="109"/>
      <c r="AH24" s="109"/>
    </row>
    <row r="25" spans="1:34" ht="58" x14ac:dyDescent="0.35">
      <c r="A25" s="77"/>
      <c r="B25" s="77"/>
      <c r="C25" s="77"/>
      <c r="D25" s="77"/>
      <c r="E25" s="77"/>
      <c r="F25" s="77"/>
      <c r="G25" s="77"/>
      <c r="H25" s="77"/>
      <c r="I25" s="77"/>
      <c r="J25" s="77"/>
      <c r="K25" s="77"/>
      <c r="L25" s="77"/>
      <c r="M25" s="77"/>
      <c r="N25" s="77"/>
      <c r="O25" s="77"/>
      <c r="P25" s="77"/>
      <c r="Q25" s="77"/>
      <c r="R25" s="77"/>
      <c r="S25" s="77"/>
      <c r="T25" s="77"/>
      <c r="U25" s="109"/>
      <c r="V25" s="77"/>
      <c r="W25" s="77"/>
      <c r="X25" s="77"/>
      <c r="Y25" s="77" t="s">
        <v>324</v>
      </c>
      <c r="Z25" s="77" t="s">
        <v>472</v>
      </c>
      <c r="AA25" s="77"/>
      <c r="AB25" s="77"/>
      <c r="AC25" s="77" t="s">
        <v>473</v>
      </c>
      <c r="AD25" s="77"/>
      <c r="AE25" s="77"/>
      <c r="AF25" s="109"/>
      <c r="AG25" s="109"/>
      <c r="AH25" s="109"/>
    </row>
    <row r="26" spans="1:34" ht="58" x14ac:dyDescent="0.35">
      <c r="A26" s="77"/>
      <c r="B26" s="77"/>
      <c r="C26" s="77"/>
      <c r="D26" s="77"/>
      <c r="E26" s="77"/>
      <c r="F26" s="77"/>
      <c r="G26" s="77"/>
      <c r="H26" s="77"/>
      <c r="I26" s="77"/>
      <c r="J26" s="77"/>
      <c r="K26" s="77"/>
      <c r="L26" s="77"/>
      <c r="M26" s="77"/>
      <c r="N26" s="77"/>
      <c r="O26" s="77"/>
      <c r="P26" s="77"/>
      <c r="Q26" s="77"/>
      <c r="R26" s="77"/>
      <c r="S26" s="77"/>
      <c r="T26" s="77"/>
      <c r="U26" s="109"/>
      <c r="V26" s="77"/>
      <c r="W26" s="77"/>
      <c r="X26" s="77"/>
      <c r="Y26" s="77" t="s">
        <v>325</v>
      </c>
      <c r="Z26" s="77" t="s">
        <v>474</v>
      </c>
      <c r="AA26" s="77"/>
      <c r="AB26" s="77"/>
      <c r="AC26" s="77"/>
      <c r="AD26" s="77"/>
      <c r="AE26" s="77"/>
      <c r="AF26" s="109"/>
      <c r="AG26" s="109"/>
      <c r="AH26" s="109"/>
    </row>
    <row r="27" spans="1:34" ht="78" customHeight="1" x14ac:dyDescent="0.35">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t="s">
        <v>475</v>
      </c>
      <c r="AA27" s="109"/>
      <c r="AB27" s="109"/>
      <c r="AC27" s="109"/>
      <c r="AD27" s="109"/>
      <c r="AE27" s="109"/>
      <c r="AF27" s="109"/>
      <c r="AG27" s="109"/>
      <c r="AH27" s="109"/>
    </row>
    <row r="28" spans="1:34" ht="43.5" x14ac:dyDescent="0.35">
      <c r="Z28" s="14" t="s">
        <v>476</v>
      </c>
    </row>
  </sheetData>
  <sheetProtection algorithmName="SHA-512" hashValue="7k0IdGIKZh9LqovQVo0Hg2dbzMzUprSbRY2rCZNKi3V4QjjpKf34xTGHfyi5dxZYdyrIkPTGtT/26np6zsrUeg==" saltValue="ZNdq2WLe4gHM0gIr7Ywu9g==" spinCount="100000" sheet="1" selectLockedCells="1" selectUnlockedCells="1"/>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D7A3C-06B4-4222-AC51-C1D48C12755B}">
  <dimension ref="B2:D56"/>
  <sheetViews>
    <sheetView workbookViewId="0">
      <selection activeCell="S35" sqref="S35"/>
    </sheetView>
  </sheetViews>
  <sheetFormatPr defaultColWidth="8.81640625" defaultRowHeight="14.5" x14ac:dyDescent="0.35"/>
  <cols>
    <col min="2" max="2" width="18.54296875" bestFit="1" customWidth="1"/>
  </cols>
  <sheetData>
    <row r="2" spans="2:4" x14ac:dyDescent="0.35">
      <c r="B2" s="84" t="s">
        <v>477</v>
      </c>
      <c r="D2" t="s">
        <v>478</v>
      </c>
    </row>
    <row r="3" spans="2:4" x14ac:dyDescent="0.35">
      <c r="B3" t="s">
        <v>479</v>
      </c>
      <c r="D3" s="92">
        <v>0.08</v>
      </c>
    </row>
    <row r="4" spans="2:4" x14ac:dyDescent="0.35">
      <c r="B4" t="s">
        <v>480</v>
      </c>
      <c r="D4" s="319">
        <v>8.5000000000000006E-2</v>
      </c>
    </row>
    <row r="5" spans="2:4" x14ac:dyDescent="0.35">
      <c r="B5" t="s">
        <v>481</v>
      </c>
    </row>
    <row r="6" spans="2:4" x14ac:dyDescent="0.35">
      <c r="B6" t="s">
        <v>482</v>
      </c>
    </row>
    <row r="7" spans="2:4" x14ac:dyDescent="0.35">
      <c r="B7" t="s">
        <v>483</v>
      </c>
    </row>
    <row r="8" spans="2:4" x14ac:dyDescent="0.35">
      <c r="B8" t="s">
        <v>484</v>
      </c>
    </row>
    <row r="9" spans="2:4" x14ac:dyDescent="0.35">
      <c r="B9" t="s">
        <v>485</v>
      </c>
    </row>
    <row r="10" spans="2:4" x14ac:dyDescent="0.35">
      <c r="B10" t="s">
        <v>486</v>
      </c>
    </row>
    <row r="11" spans="2:4" x14ac:dyDescent="0.35">
      <c r="B11" t="s">
        <v>487</v>
      </c>
    </row>
    <row r="12" spans="2:4" x14ac:dyDescent="0.35">
      <c r="B12" t="s">
        <v>488</v>
      </c>
    </row>
    <row r="13" spans="2:4" x14ac:dyDescent="0.35">
      <c r="B13" t="s">
        <v>489</v>
      </c>
    </row>
    <row r="14" spans="2:4" x14ac:dyDescent="0.35">
      <c r="B14" t="s">
        <v>490</v>
      </c>
    </row>
    <row r="15" spans="2:4" x14ac:dyDescent="0.35">
      <c r="B15" t="s">
        <v>491</v>
      </c>
    </row>
    <row r="16" spans="2:4" x14ac:dyDescent="0.35">
      <c r="B16" t="s">
        <v>492</v>
      </c>
    </row>
    <row r="17" spans="2:2" x14ac:dyDescent="0.35">
      <c r="B17" t="s">
        <v>493</v>
      </c>
    </row>
    <row r="18" spans="2:2" x14ac:dyDescent="0.35">
      <c r="B18" t="s">
        <v>494</v>
      </c>
    </row>
    <row r="19" spans="2:2" x14ac:dyDescent="0.35">
      <c r="B19" t="s">
        <v>495</v>
      </c>
    </row>
    <row r="20" spans="2:2" x14ac:dyDescent="0.35">
      <c r="B20" t="s">
        <v>496</v>
      </c>
    </row>
    <row r="21" spans="2:2" x14ac:dyDescent="0.35">
      <c r="B21" t="s">
        <v>497</v>
      </c>
    </row>
    <row r="22" spans="2:2" x14ac:dyDescent="0.35">
      <c r="B22" t="s">
        <v>498</v>
      </c>
    </row>
    <row r="23" spans="2:2" x14ac:dyDescent="0.35">
      <c r="B23" t="s">
        <v>499</v>
      </c>
    </row>
    <row r="24" spans="2:2" x14ac:dyDescent="0.35">
      <c r="B24" t="s">
        <v>500</v>
      </c>
    </row>
    <row r="25" spans="2:2" x14ac:dyDescent="0.35">
      <c r="B25" t="s">
        <v>501</v>
      </c>
    </row>
    <row r="26" spans="2:2" x14ac:dyDescent="0.35">
      <c r="B26" t="s">
        <v>502</v>
      </c>
    </row>
    <row r="27" spans="2:2" x14ac:dyDescent="0.35">
      <c r="B27" t="s">
        <v>503</v>
      </c>
    </row>
    <row r="28" spans="2:2" x14ac:dyDescent="0.35">
      <c r="B28" t="s">
        <v>504</v>
      </c>
    </row>
    <row r="29" spans="2:2" x14ac:dyDescent="0.35">
      <c r="B29" t="s">
        <v>505</v>
      </c>
    </row>
    <row r="30" spans="2:2" x14ac:dyDescent="0.35">
      <c r="B30" t="s">
        <v>506</v>
      </c>
    </row>
    <row r="31" spans="2:2" x14ac:dyDescent="0.35">
      <c r="B31" t="s">
        <v>507</v>
      </c>
    </row>
    <row r="32" spans="2:2" x14ac:dyDescent="0.35">
      <c r="B32" t="s">
        <v>508</v>
      </c>
    </row>
    <row r="33" spans="2:2" x14ac:dyDescent="0.35">
      <c r="B33" t="s">
        <v>509</v>
      </c>
    </row>
    <row r="34" spans="2:2" x14ac:dyDescent="0.35">
      <c r="B34" t="s">
        <v>510</v>
      </c>
    </row>
    <row r="35" spans="2:2" x14ac:dyDescent="0.35">
      <c r="B35" t="s">
        <v>511</v>
      </c>
    </row>
    <row r="36" spans="2:2" x14ac:dyDescent="0.35">
      <c r="B36" t="s">
        <v>512</v>
      </c>
    </row>
    <row r="37" spans="2:2" x14ac:dyDescent="0.35">
      <c r="B37" t="s">
        <v>513</v>
      </c>
    </row>
    <row r="38" spans="2:2" x14ac:dyDescent="0.35">
      <c r="B38" t="s">
        <v>514</v>
      </c>
    </row>
    <row r="39" spans="2:2" x14ac:dyDescent="0.35">
      <c r="B39" t="s">
        <v>515</v>
      </c>
    </row>
    <row r="40" spans="2:2" x14ac:dyDescent="0.35">
      <c r="B40" t="s">
        <v>516</v>
      </c>
    </row>
    <row r="41" spans="2:2" x14ac:dyDescent="0.35">
      <c r="B41" t="s">
        <v>517</v>
      </c>
    </row>
    <row r="42" spans="2:2" x14ac:dyDescent="0.35">
      <c r="B42" t="s">
        <v>518</v>
      </c>
    </row>
    <row r="43" spans="2:2" x14ac:dyDescent="0.35">
      <c r="B43" t="s">
        <v>519</v>
      </c>
    </row>
    <row r="44" spans="2:2" x14ac:dyDescent="0.35">
      <c r="B44" t="s">
        <v>520</v>
      </c>
    </row>
    <row r="45" spans="2:2" x14ac:dyDescent="0.35">
      <c r="B45" t="s">
        <v>521</v>
      </c>
    </row>
    <row r="46" spans="2:2" x14ac:dyDescent="0.35">
      <c r="B46" t="s">
        <v>522</v>
      </c>
    </row>
    <row r="47" spans="2:2" x14ac:dyDescent="0.35">
      <c r="B47" t="s">
        <v>523</v>
      </c>
    </row>
    <row r="48" spans="2:2" x14ac:dyDescent="0.35">
      <c r="B48" t="s">
        <v>524</v>
      </c>
    </row>
    <row r="49" spans="2:2" x14ac:dyDescent="0.35">
      <c r="B49" t="s">
        <v>525</v>
      </c>
    </row>
    <row r="50" spans="2:2" x14ac:dyDescent="0.35">
      <c r="B50" t="s">
        <v>526</v>
      </c>
    </row>
    <row r="51" spans="2:2" x14ac:dyDescent="0.35">
      <c r="B51" t="s">
        <v>527</v>
      </c>
    </row>
    <row r="52" spans="2:2" x14ac:dyDescent="0.35">
      <c r="B52" t="s">
        <v>528</v>
      </c>
    </row>
    <row r="53" spans="2:2" x14ac:dyDescent="0.35">
      <c r="B53" t="s">
        <v>529</v>
      </c>
    </row>
    <row r="54" spans="2:2" x14ac:dyDescent="0.35">
      <c r="B54" t="s">
        <v>530</v>
      </c>
    </row>
    <row r="55" spans="2:2" x14ac:dyDescent="0.35">
      <c r="B55" t="s">
        <v>531</v>
      </c>
    </row>
    <row r="56" spans="2:2" x14ac:dyDescent="0.35">
      <c r="B56" t="s">
        <v>532</v>
      </c>
    </row>
  </sheetData>
  <sheetProtection algorithmName="SHA-512" hashValue="oPRLwCNInjmZ8hLQprVLbTdVG3NiMXxYOWL2hJdDYHvTbKymlFneblHdcQvUn/7DE8vzeGiIFjm6PK0srwjgNA==" saltValue="3hlxlXeT6CrD4CA7grFu4g==" spinCount="100000" sheet="1" objects="1" scenarios="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e81ae692a6b49768f319a7f7719c9c0 xmlns="700359ba-e36c-422a-9925-ddada98091a9">
      <Terms xmlns="http://schemas.microsoft.com/office/infopath/2007/PartnerControls"/>
    </pe81ae692a6b49768f319a7f7719c9c0>
    <e37ceaa0d61b4bfeb3c21883d9680a10 xmlns="d0706217-df7c-4bf4-936d-b09aa3b837af">
      <Terms xmlns="http://schemas.microsoft.com/office/infopath/2007/PartnerControls">
        <TermInfo xmlns="http://schemas.microsoft.com/office/infopath/2007/PartnerControls">
          <TermName xmlns="http://schemas.microsoft.com/office/infopath/2007/PartnerControls">Health Systems and Immunization Strengthening</TermName>
          <TermId xmlns="http://schemas.microsoft.com/office/infopath/2007/PartnerControls">317fd45e-5f94-413a-aa1a-58c6cf1eaf9b</TermId>
        </TermInfo>
      </Terms>
    </e37ceaa0d61b4bfeb3c21883d9680a10>
    <oaccbf0bcc574f75aa77b841ffd7bc19 xmlns="700359ba-e36c-422a-9925-ddada98091a9">
      <Terms xmlns="http://schemas.microsoft.com/office/infopath/2007/PartnerControls"/>
    </oaccbf0bcc574f75aa77b841ffd7bc19>
    <bbf6f4caffa74114b8081d68858b812e xmlns="700359ba-e36c-422a-9925-ddada98091a9">
      <Terms xmlns="http://schemas.microsoft.com/office/infopath/2007/PartnerControls"/>
    </bbf6f4caffa74114b8081d68858b812e>
    <e47ceaa0d61b4bfeb3c21883d9680a10 xmlns="d0706217-df7c-4bf4-936d-b09aa3b837af">
      <Terms xmlns="http://schemas.microsoft.com/office/infopath/2007/PartnerControls"/>
    </e47ceaa0d61b4bfeb3c21883d9680a10>
    <n77ad5cd43aa466bb2098d7a5ff62477 xmlns="700359ba-e36c-422a-9925-ddada98091a9">
      <Terms xmlns="http://schemas.microsoft.com/office/infopath/2007/PartnerControls"/>
    </n77ad5cd43aa466bb2098d7a5ff62477>
    <f172ab98ad93463d9a6af05ce5da4f2f xmlns="700359ba-e36c-422a-9925-ddada98091a9">
      <Terms xmlns="http://schemas.microsoft.com/office/infopath/2007/PartnerControls"/>
    </f172ab98ad93463d9a6af05ce5da4f2f>
    <n169e2c9352346cf85f9723e82b9094d xmlns="d0706217-df7c-4bf4-936d-b09aa3b837af">
      <Terms xmlns="http://schemas.microsoft.com/office/infopath/2007/PartnerControls"/>
    </n169e2c9352346cf85f9723e82b9094d>
    <le9d97f3bd374b61b397133b88eb0f9d xmlns="d0706217-df7c-4bf4-936d-b09aa3b837af">
      <Terms xmlns="http://schemas.microsoft.com/office/infopath/2007/PartnerControls"/>
    </le9d97f3bd374b61b397133b88eb0f9d>
    <e57ceaa0d61b4bfeb3c21883d9680a10 xmlns="d0706217-df7c-4bf4-936d-b09aa3b837af">
      <Terms xmlns="http://schemas.microsoft.com/office/infopath/2007/PartnerControls"/>
    </e57ceaa0d61b4bfeb3c21883d9680a10>
    <TaxCatchAll xmlns="d0706217-df7c-4bf4-936d-b09aa3b837af">
      <Value>1890</Value>
    </TaxCatchAll>
    <i4a50af2c0e64ae9b81ffeca8af7ed0f xmlns="d0706217-df7c-4bf4-936d-b09aa3b837af">
      <Terms xmlns="http://schemas.microsoft.com/office/infopath/2007/PartnerControls"/>
    </i4a50af2c0e64ae9b81ffeca8af7ed0f>
    <m01d92cd1af846fc8259fd1db678cd76 xmlns="700359ba-e36c-422a-9925-ddada98091a9">
      <Terms xmlns="http://schemas.microsoft.com/office/infopath/2007/PartnerControls"/>
    </m01d92cd1af846fc8259fd1db678cd76>
    <e17ceaa0d61b4bfeb3c21883d9680a10 xmlns="d0706217-df7c-4bf4-936d-b09aa3b837af">
      <Terms xmlns="http://schemas.microsoft.com/office/infopath/2007/PartnerControls"/>
    </e17ceaa0d61b4bfeb3c21883d9680a10>
    <i15b6667c80d4f308357e591caf47090 xmlns="700359ba-e36c-422a-9925-ddada98091a9">
      <Terms xmlns="http://schemas.microsoft.com/office/infopath/2007/PartnerControls"/>
    </i15b6667c80d4f308357e591caf47090>
    <d1cc8e3ce74548b4802b698dbb551d86 xmlns="d0706217-df7c-4bf4-936d-b09aa3b837af">
      <Terms xmlns="http://schemas.microsoft.com/office/infopath/2007/PartnerControls"/>
    </d1cc8e3ce74548b4802b698dbb551d86>
    <bc1b0c83348b4f048615cacd6d83a4a9 xmlns="700359ba-e36c-422a-9925-ddada98091a9">
      <Terms xmlns="http://schemas.microsoft.com/office/infopath/2007/PartnerControls"/>
    </bc1b0c83348b4f048615cacd6d83a4a9>
    <e77ceaa0d61b4bfeb3c21883d9680a10 xmlns="d0706217-df7c-4bf4-936d-b09aa3b837af">
      <Terms xmlns="http://schemas.microsoft.com/office/infopath/2007/PartnerControls"/>
    </e77ceaa0d61b4bfeb3c21883d9680a10>
    <e27ceaa0d61b4bfeb3c21883d9680a10 xmlns="d0706217-df7c-4bf4-936d-b09aa3b837af">
      <Terms xmlns="http://schemas.microsoft.com/office/infopath/2007/PartnerControls"/>
    </e27ceaa0d61b4bfeb3c21883d9680a10>
    <_dlc_DocId xmlns="700359ba-e36c-422a-9925-ddada98091a9">GAVI-1207364406-945161</_dlc_DocId>
    <_dlc_DocIdUrl xmlns="700359ba-e36c-422a-9925-ddada98091a9">
      <Url>https://gavinet.sharepoint.com/teams/COP/hsi/_layouts/15/DocIdRedir.aspx?ID=GAVI-1207364406-945161</Url>
      <Description>GAVI-1207364406-945161</Description>
    </_dlc_DocIdUrl>
    <lcf76f155ced4ddcb4097134ff3c332f xmlns="0a8bb9ce-fedb-41d8-b350-adff6aad9f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93cb0222-e980-4273-ad97-85dba3159c09" ContentTypeId="0x0101009954897F3EE3CC4ABB9FB9EDAC9CDEBC"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Gavi Document" ma:contentTypeID="0x0101009954897F3EE3CC4ABB9FB9EDAC9CDEBC0049912127F5182A4D8EDB6B2BE6B04460" ma:contentTypeVersion="165" ma:contentTypeDescription="Gavi Document content type " ma:contentTypeScope="" ma:versionID="aeccd48c105575a562b4c81a79b07953">
  <xsd:schema xmlns:xsd="http://www.w3.org/2001/XMLSchema" xmlns:xs="http://www.w3.org/2001/XMLSchema" xmlns:p="http://schemas.microsoft.com/office/2006/metadata/properties" xmlns:ns2="d0706217-df7c-4bf4-936d-b09aa3b837af" xmlns:ns3="700359ba-e36c-422a-9925-ddada98091a9" xmlns:ns4="0a8bb9ce-fedb-41d8-b350-adff6aad9f5b" targetNamespace="http://schemas.microsoft.com/office/2006/metadata/properties" ma:root="true" ma:fieldsID="76568d4fd39f6d3afbbd8ae2c0adb0d6" ns2:_="" ns3:_="" ns4:_="">
    <xsd:import namespace="d0706217-df7c-4bf4-936d-b09aa3b837af"/>
    <xsd:import namespace="700359ba-e36c-422a-9925-ddada98091a9"/>
    <xsd:import namespace="0a8bb9ce-fedb-41d8-b350-adff6aad9f5b"/>
    <xsd:element name="properties">
      <xsd:complexType>
        <xsd:sequence>
          <xsd:element name="documentManagement">
            <xsd:complexType>
              <xsd:all>
                <xsd:element ref="ns2:TaxCatchAll" minOccurs="0"/>
                <xsd:element ref="ns2:d1cc8e3ce74548b4802b698dbb551d86" minOccurs="0"/>
                <xsd:element ref="ns3:_dlc_DocId" minOccurs="0"/>
                <xsd:element ref="ns3:_dlc_DocIdUrl" minOccurs="0"/>
                <xsd:element ref="ns3:_dlc_DocIdPersistId" minOccurs="0"/>
                <xsd:element ref="ns3:oaccbf0bcc574f75aa77b841ffd7bc19" minOccurs="0"/>
                <xsd:element ref="ns2:e47ceaa0d61b4bfeb3c21883d9680a10" minOccurs="0"/>
                <xsd:element ref="ns3:n77ad5cd43aa466bb2098d7a5ff62477" minOccurs="0"/>
                <xsd:element ref="ns3:bbf6f4caffa74114b8081d68858b812e" minOccurs="0"/>
                <xsd:element ref="ns3:m01d92cd1af846fc8259fd1db678cd76" minOccurs="0"/>
                <xsd:element ref="ns2:i4a50af2c0e64ae9b81ffeca8af7ed0f" minOccurs="0"/>
                <xsd:element ref="ns3:pe81ae692a6b49768f319a7f7719c9c0" minOccurs="0"/>
                <xsd:element ref="ns2:e57ceaa0d61b4bfeb3c21883d9680a10" minOccurs="0"/>
                <xsd:element ref="ns3:i15b6667c80d4f308357e591caf47090" minOccurs="0"/>
                <xsd:element ref="ns3:bc1b0c83348b4f048615cacd6d83a4a9" minOccurs="0"/>
                <xsd:element ref="ns2:TaxCatchAllLabel" minOccurs="0"/>
                <xsd:element ref="ns3:f172ab98ad93463d9a6af05ce5da4f2f" minOccurs="0"/>
                <xsd:element ref="ns2:e77ceaa0d61b4bfeb3c21883d9680a10" minOccurs="0"/>
                <xsd:element ref="ns2:e27ceaa0d61b4bfeb3c21883d9680a10" minOccurs="0"/>
                <xsd:element ref="ns2:n169e2c9352346cf85f9723e82b9094d" minOccurs="0"/>
                <xsd:element ref="ns2:e37ceaa0d61b4bfeb3c21883d9680a10" minOccurs="0"/>
                <xsd:element ref="ns2:le9d97f3bd374b61b397133b88eb0f9d" minOccurs="0"/>
                <xsd:element ref="ns2:e17ceaa0d61b4bfeb3c21883d9680a10" minOccurs="0"/>
                <xsd:element ref="ns4:MediaServiceAutoKeyPoints" minOccurs="0"/>
                <xsd:element ref="ns4:MediaServiceKeyPoints" minOccurs="0"/>
                <xsd:element ref="ns4:MediaLengthInSecond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20" nillable="true" ma:displayName="Taxonomy Catch All Column" ma:description="" ma:hidden="true" ma:list="{be8d0b83-5287-4986-bb7f-bce56a97355c}" ma:internalName="TaxCatchAll" ma:showField="CatchAllData"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d1cc8e3ce74548b4802b698dbb551d86" ma:index="21" nillable="true" ma:taxonomy="true" ma:internalName="d1cc8e3ce74548b4802b698dbb551d86" ma:taxonomyFieldName="Programme_x0020_and_x0020_project_x0020_management" ma:displayName="Programme Management and Evaluation" ma:default="" ma:fieldId="{d1cc8e3c-e745-48b4-802b-698dbb551d86}" ma:taxonomyMulti="true" ma:sspId="93cb0222-e980-4273-ad97-85dba3159c09" ma:termSetId="2427873c-79ae-423d-9eea-f88facaca1dc" ma:anchorId="00000000-0000-0000-0000-000000000000" ma:open="false" ma:isKeyword="false">
      <xsd:complexType>
        <xsd:sequence>
          <xsd:element ref="pc:Terms" minOccurs="0" maxOccurs="1"/>
        </xsd:sequence>
      </xsd:complexType>
    </xsd:element>
    <xsd:element name="e47ceaa0d61b4bfeb3c21883d9680a10" ma:index="26" nillable="true" ma:taxonomy="true" ma:internalName="e47ceaa0d61b4bfeb3c21883d9680a10" ma:taxonomyFieldName="Health" ma:displayName="Diseases" ma:default="" ma:fieldId="{e47ceaa0-d61b-4bfe-b3c2-1883d9680a10}" ma:taxonomyMulti="true" ma:sspId="93cb0222-e980-4273-ad97-85dba3159c09" ma:termSetId="20ac6292-eacc-418b-877a-88a7e47492c9" ma:anchorId="00000000-0000-0000-0000-000000000000" ma:open="false" ma:isKeyword="false">
      <xsd:complexType>
        <xsd:sequence>
          <xsd:element ref="pc:Terms" minOccurs="0" maxOccurs="1"/>
        </xsd:sequence>
      </xsd:complexType>
    </xsd:element>
    <xsd:element name="i4a50af2c0e64ae9b81ffeca8af7ed0f" ma:index="32" nillable="true" ma:taxonomy="true" ma:internalName="i4a50af2c0e64ae9b81ffeca8af7ed0f" ma:taxonomyFieldName="Health_x0020_System_x0020_Strengthening" ma:displayName="Health System Strengthening" ma:default="" ma:fieldId="{24a50af2-c0e6-4ae9-b81f-feca8af7ed0f}" ma:taxonomyMulti="true" ma:sspId="93cb0222-e980-4273-ad97-85dba3159c09" ma:termSetId="7db51020-b08f-40f3-ab45-ce8e4eb05c42" ma:anchorId="00000000-0000-0000-0000-000000000000" ma:open="false" ma:isKeyword="false">
      <xsd:complexType>
        <xsd:sequence>
          <xsd:element ref="pc:Terms" minOccurs="0" maxOccurs="1"/>
        </xsd:sequence>
      </xsd:complexType>
    </xsd:element>
    <xsd:element name="e57ceaa0d61b4bfeb3c21883d9680a10" ma:index="34" nillable="true" ma:taxonomy="true" ma:internalName="e57ceaa0d61b4bfeb3c21883d9680a10" ma:taxonomyFieldName="Vaccine" ma:displayName="Vaccine" ma:default="" ma:fieldId="{e57ceaa0-d61b-4bfe-b3c2-1883d9680a10}" ma:taxonomyMulti="true" ma:sspId="93cb0222-e980-4273-ad97-85dba3159c09" ma:termSetId="8a33af0e-2cfd-4af3-88bf-ba7a9bf0a549" ma:anchorId="00000000-0000-0000-0000-000000000000" ma:open="false" ma:isKeyword="false">
      <xsd:complexType>
        <xsd:sequence>
          <xsd:element ref="pc:Terms" minOccurs="0" maxOccurs="1"/>
        </xsd:sequence>
      </xsd:complexType>
    </xsd:element>
    <xsd:element name="TaxCatchAllLabel" ma:index="38" nillable="true" ma:displayName="Taxonomy Catch All Column1" ma:description="" ma:hidden="true" ma:list="{be8d0b83-5287-4986-bb7f-bce56a97355c}" ma:internalName="TaxCatchAllLabel" ma:readOnly="true" ma:showField="CatchAllDataLabel"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e77ceaa0d61b4bfeb3c21883d9680a10" ma:index="40" nillable="true" ma:taxonomy="true" ma:internalName="e77ceaa0d61b4bfeb3c21883d9680a10" ma:taxonomyFieldName="Country" ma:displayName="Country" ma:default="" ma:fieldId="{e77ceaa0-d61b-4bfe-b3c2-1883d9680a10}" ma:taxonomyMulti="true" ma:sspId="93cb0222-e980-4273-ad97-85dba3159c09" ma:termSetId="e4166a66-416d-4f77-9f1c-1f6d37c060b2" ma:anchorId="00000000-0000-0000-0000-000000000000" ma:open="false" ma:isKeyword="false">
      <xsd:complexType>
        <xsd:sequence>
          <xsd:element ref="pc:Terms" minOccurs="0" maxOccurs="1"/>
        </xsd:sequence>
      </xsd:complexType>
    </xsd:element>
    <xsd:element name="e27ceaa0d61b4bfeb3c21883d9680a10" ma:index="41" nillable="true" ma:taxonomy="true" ma:internalName="e27ceaa0d61b4bfeb3c21883d9680a10" ma:taxonomyFieldName="Donors_x0020_and_x0020_Partners" ma:displayName="Donors and Partners" ma:default="" ma:fieldId="{e27ceaa0-d61b-4bfe-b3c2-1883d9680a10}" ma:taxonomyMulti="true" ma:sspId="93cb0222-e980-4273-ad97-85dba3159c09" ma:termSetId="d8f5b35d-5d47-4f4c-aca3-6942c5649230" ma:anchorId="00000000-0000-0000-0000-000000000000" ma:open="false" ma:isKeyword="false">
      <xsd:complexType>
        <xsd:sequence>
          <xsd:element ref="pc:Terms" minOccurs="0" maxOccurs="1"/>
        </xsd:sequence>
      </xsd:complexType>
    </xsd:element>
    <xsd:element name="n169e2c9352346cf85f9723e82b9094d" ma:index="43" nillable="true" ma:taxonomy="true" ma:internalName="n169e2c9352346cf85f9723e82b9094d" ma:taxonomyFieldName="Governance" ma:displayName="Governance" ma:default="" ma:fieldId="{7169e2c9-3523-46cf-85f9-723e82b9094d}" ma:taxonomyMulti="true" ma:sspId="93cb0222-e980-4273-ad97-85dba3159c09" ma:termSetId="2ddc4741-2ea1-45c6-bf30-60925171b35b" ma:anchorId="00000000-0000-0000-0000-000000000000" ma:open="false" ma:isKeyword="false">
      <xsd:complexType>
        <xsd:sequence>
          <xsd:element ref="pc:Terms" minOccurs="0" maxOccurs="1"/>
        </xsd:sequence>
      </xsd:complexType>
    </xsd:element>
    <xsd:element name="e37ceaa0d61b4bfeb3c21883d9680a10" ma:index="44" nillable="true" ma:taxonomy="true" ma:internalName="e37ceaa0d61b4bfeb3c21883d9680a10" ma:taxonomyFieldName="Depto" ma:displayName="Department, Team, Role" ma:default="" ma:fieldId="{e37ceaa0-d61b-4bfe-b3c2-1883d9680a10}" ma:taxonomyMulti="true" ma:sspId="93cb0222-e980-4273-ad97-85dba3159c09" ma:termSetId="7532c898-6c4c-469f-ad2f-0427e24a0bbd" ma:anchorId="00000000-0000-0000-0000-000000000000" ma:open="false" ma:isKeyword="false">
      <xsd:complexType>
        <xsd:sequence>
          <xsd:element ref="pc:Terms" minOccurs="0" maxOccurs="1"/>
        </xsd:sequence>
      </xsd:complexType>
    </xsd:element>
    <xsd:element name="le9d97f3bd374b61b397133b88eb0f9d" ma:index="45" nillable="true" ma:taxonomy="true" ma:internalName="le9d97f3bd374b61b397133b88eb0f9d" ma:taxonomyFieldName="International_x0020_Development" ma:displayName="International Development" ma:default="" ma:fieldId="{5e9d97f3-bd37-4b61-b397-133b88eb0f9d}" ma:taxonomyMulti="true" ma:sspId="93cb0222-e980-4273-ad97-85dba3159c09" ma:termSetId="a9e14dcf-53c0-4500-a166-7e3ba950ac84" ma:anchorId="00000000-0000-0000-0000-000000000000" ma:open="false" ma:isKeyword="false">
      <xsd:complexType>
        <xsd:sequence>
          <xsd:element ref="pc:Terms" minOccurs="0" maxOccurs="1"/>
        </xsd:sequence>
      </xsd:complexType>
    </xsd:element>
    <xsd:element name="e17ceaa0d61b4bfeb3c21883d9680a10" ma:index="47" nillable="true" ma:taxonomy="true" ma:internalName="e17ceaa0d61b4bfeb3c21883d9680a10" ma:taxonomyFieldName="Language" ma:displayName="Language" ma:default="" ma:fieldId="{e17ceaa0-d61b-4bfe-b3c2-1883d9680a10}" ma:taxonomyMulti="true" ma:sspId="93cb0222-e980-4273-ad97-85dba3159c09" ma:termSetId="dafc3d39-9c91-4285-8f1a-88297d4800b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0359ba-e36c-422a-9925-ddada98091a9"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oaccbf0bcc574f75aa77b841ffd7bc19" ma:index="25" nillable="true" ma:taxonomy="true" ma:internalName="oaccbf0bcc574f75aa77b841ffd7bc19" ma:taxonomyFieldName="Country_x0020_Type" ma:displayName="Country Type" ma:default="" ma:fieldId="{8accbf0b-cc57-4f75-aa77-b841ffd7bc19}" ma:sspId="93cb0222-e980-4273-ad97-85dba3159c09" ma:termSetId="71bd4815-b0bd-492c-a723-b2e5c0e416b0" ma:anchorId="00000000-0000-0000-0000-000000000000" ma:open="false" ma:isKeyword="false">
      <xsd:complexType>
        <xsd:sequence>
          <xsd:element ref="pc:Terms" minOccurs="0" maxOccurs="1"/>
        </xsd:sequence>
      </xsd:complexType>
    </xsd:element>
    <xsd:element name="n77ad5cd43aa466bb2098d7a5ff62477" ma:index="27" nillable="true" ma:taxonomy="true" ma:internalName="n77ad5cd43aa466bb2098d7a5ff62477" ma:taxonomyFieldName="Document_x0020_Type" ma:displayName="Document Type" ma:default="" ma:fieldId="{777ad5cd-43aa-466b-b209-8d7a5ff62477}" ma:sspId="93cb0222-e980-4273-ad97-85dba3159c09" ma:termSetId="2bd0b307-d904-448c-84b4-32a697fa5fb5" ma:anchorId="00000000-0000-0000-0000-000000000000" ma:open="false" ma:isKeyword="false">
      <xsd:complexType>
        <xsd:sequence>
          <xsd:element ref="pc:Terms" minOccurs="0" maxOccurs="1"/>
        </xsd:sequence>
      </xsd:complexType>
    </xsd:element>
    <xsd:element name="bbf6f4caffa74114b8081d68858b812e" ma:index="29" nillable="true" ma:taxonomy="true" ma:internalName="bbf6f4caffa74114b8081d68858b812e" ma:taxonomyFieldName="Finance" ma:displayName="Finance" ma:default="" ma:fieldId="{bbf6f4ca-ffa7-4114-b808-1d68858b812e}" ma:sspId="93cb0222-e980-4273-ad97-85dba3159c09" ma:termSetId="fba9d9b3-0d38-4e92-8c85-2e58e13b0381" ma:anchorId="00000000-0000-0000-0000-000000000000" ma:open="false" ma:isKeyword="false">
      <xsd:complexType>
        <xsd:sequence>
          <xsd:element ref="pc:Terms" minOccurs="0" maxOccurs="1"/>
        </xsd:sequence>
      </xsd:complexType>
    </xsd:element>
    <xsd:element name="m01d92cd1af846fc8259fd1db678cd76" ma:index="31" nillable="true" ma:taxonomy="true" ma:internalName="m01d92cd1af846fc8259fd1db678cd76" ma:taxonomyFieldName="IT_x0020_Systems" ma:displayName="IT Systems" ma:default="" ma:fieldId="{601d92cd-1af8-46fc-8259-fd1db678cd76}" ma:sspId="93cb0222-e980-4273-ad97-85dba3159c09" ma:termSetId="54eaa39d-b3e0-4701-b90d-6829a342c0cf" ma:anchorId="00000000-0000-0000-0000-000000000000" ma:open="false" ma:isKeyword="false">
      <xsd:complexType>
        <xsd:sequence>
          <xsd:element ref="pc:Terms" minOccurs="0" maxOccurs="1"/>
        </xsd:sequence>
      </xsd:complexType>
    </xsd:element>
    <xsd:element name="pe81ae692a6b49768f319a7f7719c9c0" ma:index="33" nillable="true" ma:taxonomy="true" ma:internalName="pe81ae692a6b49768f319a7f7719c9c0" ma:taxonomyFieldName="Location1" ma:displayName="Location" ma:default="" ma:fieldId="{9e81ae69-2a6b-4976-8f31-9a7f7719c9c0}" ma:sspId="93cb0222-e980-4273-ad97-85dba3159c09" ma:termSetId="9c2b41eb-c277-498e-8304-66faea1a1721" ma:anchorId="00000000-0000-0000-0000-000000000000" ma:open="false" ma:isKeyword="false">
      <xsd:complexType>
        <xsd:sequence>
          <xsd:element ref="pc:Terms" minOccurs="0" maxOccurs="1"/>
        </xsd:sequence>
      </xsd:complexType>
    </xsd:element>
    <xsd:element name="i15b6667c80d4f308357e591caf47090" ma:index="35" nillable="true" ma:taxonomy="true" ma:internalName="i15b6667c80d4f308357e591caf47090" ma:taxonomyFieldName="Market_x0020_Shaping" ma:displayName="Market Shaping" ma:default="" ma:fieldId="{215b6667-c80d-4f30-8357-e591caf47090}" ma:sspId="93cb0222-e980-4273-ad97-85dba3159c09" ma:termSetId="90c66778-aba1-42d5-a246-380678ffff81" ma:anchorId="00000000-0000-0000-0000-000000000000" ma:open="false" ma:isKeyword="false">
      <xsd:complexType>
        <xsd:sequence>
          <xsd:element ref="pc:Terms" minOccurs="0" maxOccurs="1"/>
        </xsd:sequence>
      </xsd:complexType>
    </xsd:element>
    <xsd:element name="bc1b0c83348b4f048615cacd6d83a4a9" ma:index="37" nillable="true" ma:taxonomy="true" ma:internalName="bc1b0c83348b4f048615cacd6d83a4a9" ma:taxonomyFieldName="Risk" ma:displayName="Risk" ma:default="" ma:fieldId="{bc1b0c83-348b-4f04-8615-cacd6d83a4a9}" ma:sspId="93cb0222-e980-4273-ad97-85dba3159c09" ma:termSetId="b40eb6db-bcc3-43aa-8311-bef557d111d6" ma:anchorId="00000000-0000-0000-0000-000000000000" ma:open="false" ma:isKeyword="false">
      <xsd:complexType>
        <xsd:sequence>
          <xsd:element ref="pc:Terms" minOccurs="0" maxOccurs="1"/>
        </xsd:sequence>
      </xsd:complexType>
    </xsd:element>
    <xsd:element name="f172ab98ad93463d9a6af05ce5da4f2f" ma:index="39" nillable="true" ma:taxonomy="true" ma:internalName="f172ab98ad93463d9a6af05ce5da4f2f" ma:taxonomyFieldName="Strategy_x0020_and_x0020_Policy" ma:displayName="Strategy and Policy" ma:default="" ma:fieldId="{f172ab98-ad93-463d-9a6a-f05ce5da4f2f}" ma:sspId="93cb0222-e980-4273-ad97-85dba3159c09" ma:termSetId="49b673ae-6d3b-405b-a0cb-7ee9858d32d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8bb9ce-fedb-41d8-b350-adff6aad9f5b" elementFormDefault="qualified">
    <xsd:import namespace="http://schemas.microsoft.com/office/2006/documentManagement/types"/>
    <xsd:import namespace="http://schemas.microsoft.com/office/infopath/2007/PartnerControls"/>
    <xsd:element name="MediaServiceAutoKeyPoints" ma:index="49" nillable="true" ma:displayName="MediaServiceAutoKeyPoints" ma:hidden="true" ma:internalName="MediaServiceAutoKeyPoints" ma:readOnly="true">
      <xsd:simpleType>
        <xsd:restriction base="dms:Note"/>
      </xsd:simpleType>
    </xsd:element>
    <xsd:element name="MediaServiceKeyPoints" ma:index="50" nillable="true" ma:displayName="KeyPoints" ma:internalName="MediaServiceKeyPoints" ma:readOnly="true">
      <xsd:simpleType>
        <xsd:restriction base="dms:Note">
          <xsd:maxLength value="255"/>
        </xsd:restriction>
      </xsd:simpleType>
    </xsd:element>
    <xsd:element name="MediaLengthInSeconds" ma:index="51" nillable="true" ma:displayName="Length (seconds)" ma:internalName="MediaLengthInSeconds" ma:readOnly="true">
      <xsd:simpleType>
        <xsd:restriction base="dms:Unknown"/>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9FCF9A-26F7-4BA0-ACE8-63D4EB2665F4}">
  <ds:schemaRefs>
    <ds:schemaRef ds:uri="http://schemas.microsoft.com/office/2006/metadata/properties"/>
    <ds:schemaRef ds:uri="http://schemas.microsoft.com/office/infopath/2007/PartnerControls"/>
    <ds:schemaRef ds:uri="700359ba-e36c-422a-9925-ddada98091a9"/>
    <ds:schemaRef ds:uri="d0706217-df7c-4bf4-936d-b09aa3b837af"/>
    <ds:schemaRef ds:uri="0a8bb9ce-fedb-41d8-b350-adff6aad9f5b"/>
  </ds:schemaRefs>
</ds:datastoreItem>
</file>

<file path=customXml/itemProps2.xml><?xml version="1.0" encoding="utf-8"?>
<ds:datastoreItem xmlns:ds="http://schemas.openxmlformats.org/officeDocument/2006/customXml" ds:itemID="{FD1DEB82-FB4B-4409-B551-4B169D376380}">
  <ds:schemaRefs>
    <ds:schemaRef ds:uri="http://schemas.microsoft.com/sharepoint/v3/contenttype/forms"/>
  </ds:schemaRefs>
</ds:datastoreItem>
</file>

<file path=customXml/itemProps3.xml><?xml version="1.0" encoding="utf-8"?>
<ds:datastoreItem xmlns:ds="http://schemas.openxmlformats.org/officeDocument/2006/customXml" ds:itemID="{8C57B2DB-154F-4BBF-99CD-9FA2134E43B6}">
  <ds:schemaRefs>
    <ds:schemaRef ds:uri="Microsoft.SharePoint.Taxonomy.ContentTypeSync"/>
  </ds:schemaRefs>
</ds:datastoreItem>
</file>

<file path=customXml/itemProps4.xml><?xml version="1.0" encoding="utf-8"?>
<ds:datastoreItem xmlns:ds="http://schemas.openxmlformats.org/officeDocument/2006/customXml" ds:itemID="{897BAB79-1443-4DD8-AF3B-31F3BF964004}">
  <ds:schemaRefs>
    <ds:schemaRef ds:uri="http://schemas.microsoft.com/sharepoint/events"/>
  </ds:schemaRefs>
</ds:datastoreItem>
</file>

<file path=customXml/itemProps5.xml><?xml version="1.0" encoding="utf-8"?>
<ds:datastoreItem xmlns:ds="http://schemas.openxmlformats.org/officeDocument/2006/customXml" ds:itemID="{BBC8C37F-1A4B-481F-ABAA-447AB884B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700359ba-e36c-422a-9925-ddada98091a9"/>
    <ds:schemaRef ds:uri="0a8bb9ce-fedb-41d8-b350-adff6aad9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87</vt:i4>
      </vt:variant>
    </vt:vector>
  </HeadingPairs>
  <TitlesOfParts>
    <vt:vector size="94" baseType="lpstr">
      <vt:lpstr>Cover Page and Instructions</vt:lpstr>
      <vt:lpstr>CCE Options Summary</vt:lpstr>
      <vt:lpstr>Options_CCE Model Selection</vt:lpstr>
      <vt:lpstr>Specified CCE Model Price List</vt:lpstr>
      <vt:lpstr>Reference_Dropdown1</vt:lpstr>
      <vt:lpstr>Reference_Dropdowns2</vt:lpstr>
      <vt:lpstr>Dropdowns3_countries</vt:lpstr>
      <vt:lpstr>_1.OngridILR_withoutfreezercomp</vt:lpstr>
      <vt:lpstr>_1.OngridILR_withoutfreezercomp__120L</vt:lpstr>
      <vt:lpstr>_1.OngridILR_withoutfreezercomp_120L</vt:lpstr>
      <vt:lpstr>_1.OngridILR_withoutfreezercomp0__60L</vt:lpstr>
      <vt:lpstr>_1.OngridILR_withoutfreezercomp60__120L</vt:lpstr>
      <vt:lpstr>_1.OngridILR_withoutfreezercomp60__90L</vt:lpstr>
      <vt:lpstr>_1.OngridILR_withoutfreezercomp60_90L</vt:lpstr>
      <vt:lpstr>_1.OngridILR_withoutfreezercomp90__120L</vt:lpstr>
      <vt:lpstr>_1.OngridILR_withoutfreezercomp90_120L</vt:lpstr>
      <vt:lpstr>_10.Freezefreevaccinecarriers</vt:lpstr>
      <vt:lpstr>_10.Freezefreevaccinecarriers0__5L</vt:lpstr>
      <vt:lpstr>_11.Freezefreecoldboxes</vt:lpstr>
      <vt:lpstr>_11.Freezefreecoldboxes__15L</vt:lpstr>
      <vt:lpstr>_11.Freezefreecoldboxes_15L</vt:lpstr>
      <vt:lpstr>_12.Voltageregulatorsforequipment</vt:lpstr>
      <vt:lpstr>_12.VoltageregulatorsforequipmentNA</vt:lpstr>
      <vt:lpstr>_13.Icepacks</vt:lpstr>
      <vt:lpstr>_13.IcepacksNA</vt:lpstr>
      <vt:lpstr>_14.SparepartsNewOngridILR_withoutfreezercomp</vt:lpstr>
      <vt:lpstr>_14.SparepartsNewOngridILR_withoutfreezercompNA</vt:lpstr>
      <vt:lpstr>_15.SparepartsNewOngridILR_withfreezercomp</vt:lpstr>
      <vt:lpstr>_15.SparepartsNewOngridILR_withfreezercompNA</vt:lpstr>
      <vt:lpstr>_16.SparepartsNewOngridfreezers</vt:lpstr>
      <vt:lpstr>_16.SparepartsNewOngridfreezersNA</vt:lpstr>
      <vt:lpstr>_17.SparepartsNewOffgridSDDrefrigerators_withoutfreezercomp</vt:lpstr>
      <vt:lpstr>_17.SparepartsNewOffgridSDDrefrigerators_withoutfreezercompNA</vt:lpstr>
      <vt:lpstr>_18.SparepartsNewOffgridSDDrefrigerators_withfreezercomp</vt:lpstr>
      <vt:lpstr>_18.SparepartsNewOffgridSDDrefrigerators_withfreezercompNA</vt:lpstr>
      <vt:lpstr>_19.SparepartsNewOffgridSDDfreezer</vt:lpstr>
      <vt:lpstr>_19.SparepartsNewOffgridSDDfreezerNA</vt:lpstr>
      <vt:lpstr>_2.OngridILR_withfreezercomp</vt:lpstr>
      <vt:lpstr>_2.OngridILR_withfreezercomp0__60L</vt:lpstr>
      <vt:lpstr>_2.OngridILR_withfreezercomp30__60L</vt:lpstr>
      <vt:lpstr>_2.OngridILR_withfreezercomp30_60L</vt:lpstr>
      <vt:lpstr>_2.OngridILR_withfreezercomp60__120L</vt:lpstr>
      <vt:lpstr>_2.OngridILR_withfreezercomp60__90L</vt:lpstr>
      <vt:lpstr>_2.OngridILR_withfreezercomp60_90L</vt:lpstr>
      <vt:lpstr>_20.AnnualDataSubscriptionrenewalsforExistingRTMDs</vt:lpstr>
      <vt:lpstr>_20.AnnualDataSubscriptionrenewalsforExistingRTMDsNA</vt:lpstr>
      <vt:lpstr>_21.TrainingInPerson</vt:lpstr>
      <vt:lpstr>_21.TrainingInPersonNA</vt:lpstr>
      <vt:lpstr>_22.TrainingRemote</vt:lpstr>
      <vt:lpstr>_22.TrainingRemoteNA</vt:lpstr>
      <vt:lpstr>_23.TransportablePoweredVaccineStorage_TPVS</vt:lpstr>
      <vt:lpstr>_23.TransportablePoweredVaccineStorage_TPVS0__5L</vt:lpstr>
      <vt:lpstr>_3.Ongridfreezers</vt:lpstr>
      <vt:lpstr>_3.Ongridfreezers__120L</vt:lpstr>
      <vt:lpstr>_3.Ongridfreezers_120L</vt:lpstr>
      <vt:lpstr>_3.Ongridfreezers60__120L</vt:lpstr>
      <vt:lpstr>_3.Ongridfreezers90__120L</vt:lpstr>
      <vt:lpstr>_3.Ongridfreezers90_120L</vt:lpstr>
      <vt:lpstr>_4.OffgridSDDrefrigerators_withoutfreezercomp</vt:lpstr>
      <vt:lpstr>_4.OffgridSDDrefrigerators_withoutfreezercomp__120L</vt:lpstr>
      <vt:lpstr>_4.OffgridSDDrefrigerators_withoutfreezercomp__30L</vt:lpstr>
      <vt:lpstr>_4.OffgridSDDrefrigerators_withoutfreezercomp_30L</vt:lpstr>
      <vt:lpstr>_4.OffgridSDDrefrigerators_withoutfreezercomp0__60L</vt:lpstr>
      <vt:lpstr>_4.OffgridSDDrefrigerators_withoutfreezercomp30__60L</vt:lpstr>
      <vt:lpstr>_4.OffgridSDDrefrigerators_withoutfreezercomp30_60L</vt:lpstr>
      <vt:lpstr>_4.OffgridSDDrefrigerators_withoutfreezercomp60__120L</vt:lpstr>
      <vt:lpstr>_4.OffgridSDDrefrigerators_withoutfreezercomp60__90L</vt:lpstr>
      <vt:lpstr>_4.OffgridSDDrefrigerators_withoutfreezercomp60_90L</vt:lpstr>
      <vt:lpstr>_4.OffgridSDDrefrigerators_withoutfreezercomp90__120L</vt:lpstr>
      <vt:lpstr>_5.OffgridSDDrefrigerators_withfreezercomp</vt:lpstr>
      <vt:lpstr>'Options_CCE Model Selection'!_5.OffgridSDDrefrigerators_withfreezercomp__120L</vt:lpstr>
      <vt:lpstr>_5.OffgridSDDrefrigerators_withfreezercomp0__60L</vt:lpstr>
      <vt:lpstr>_5.OffgridSDDrefrigerators_withfreezercomp60__120L</vt:lpstr>
      <vt:lpstr>_6.OffgridSDDfreezer</vt:lpstr>
      <vt:lpstr>_6.OffgridSDDfreezer__120L</vt:lpstr>
      <vt:lpstr>_6.OffgridSDDfreezer0__60L</vt:lpstr>
      <vt:lpstr>_6.OffgridSDDfreezer60__120L</vt:lpstr>
      <vt:lpstr>_6.OngridILR_withoutfreezercomp</vt:lpstr>
      <vt:lpstr>_6.OngridILR_withoutfreezercomp30__60L</vt:lpstr>
      <vt:lpstr>_6.OngridILR_withoutfreezercomp60__90L</vt:lpstr>
      <vt:lpstr>_6.OngridILR_withoutfreezercomp90__120L</vt:lpstr>
      <vt:lpstr>_7.ExistingCCETemperaturemonitoringdevice_30DTR</vt:lpstr>
      <vt:lpstr>_7.ExistingCCETemperaturemonitoringdevice_30DTRNA</vt:lpstr>
      <vt:lpstr>_7.OngridILR_withfreezercomp</vt:lpstr>
      <vt:lpstr>_7.OngridILR_withfreezercomp30__60L</vt:lpstr>
      <vt:lpstr>_7.OngridILR_withfreezercomp60__90L</vt:lpstr>
      <vt:lpstr>_8.Remotetemperaturemonitoringdevices_RTMDs</vt:lpstr>
      <vt:lpstr>_8.Remotetemperaturemonitoringdevices_RTMDsRefrigerator</vt:lpstr>
      <vt:lpstr>_8.Remotetemperaturemonitoringdevices_RTMDsWICR</vt:lpstr>
      <vt:lpstr>_9.Longtermpassivedevices</vt:lpstr>
      <vt:lpstr>_9.Longtermpassivedevices5__10L</vt:lpstr>
      <vt:lpstr>Deleted</vt:lpstr>
      <vt:lpstr>HBCD___90_spare_parts</vt:lpstr>
      <vt:lpstr>typeofequipment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szaidi@gavi.org</dc:creator>
  <cp:keywords/>
  <dc:description/>
  <cp:lastModifiedBy>Eugene Adu Afari (Consultant)</cp:lastModifiedBy>
  <cp:revision/>
  <dcterms:created xsi:type="dcterms:W3CDTF">2017-03-23T13:52:16Z</dcterms:created>
  <dcterms:modified xsi:type="dcterms:W3CDTF">2024-12-20T17:10:36Z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2019-12-17T14:07:20Z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fe98bf14-763a-48ce-b8a4-0000f0ac0507</vt:lpwstr>
  </property>
  <property fmtid="{D5CDD505-2E9C-101B-9397-08002B2CF9AE}" pid="8" name="MSIP_Label_0a957285-7815-485a-9751-5b273b784ad5_ContentBits">
    <vt:lpwstr>0</vt:lpwstr>
  </property>
  <property fmtid="{D5CDD505-2E9C-101B-9397-08002B2CF9AE}" pid="9" name="ContentTypeId">
    <vt:lpwstr>0x0101009954897F3EE3CC4ABB9FB9EDAC9CDEBC0049912127F5182A4D8EDB6B2BE6B04460</vt:lpwstr>
  </property>
  <property fmtid="{D5CDD505-2E9C-101B-9397-08002B2CF9AE}" pid="10" name="TaxKeyword">
    <vt:lpwstr/>
  </property>
  <property fmtid="{D5CDD505-2E9C-101B-9397-08002B2CF9AE}" pid="11" name="TaxKeywordTaxHTField">
    <vt:lpwstr/>
  </property>
  <property fmtid="{D5CDD505-2E9C-101B-9397-08002B2CF9AE}" pid="12" name="Strategy_x0020_and_x0020_Policy">
    <vt:lpwstr/>
  </property>
  <property fmtid="{D5CDD505-2E9C-101B-9397-08002B2CF9AE}" pid="13" name="Donors_x0020_and_x0020_Partners">
    <vt:lpwstr/>
  </property>
  <property fmtid="{D5CDD505-2E9C-101B-9397-08002B2CF9AE}" pid="14" name="Risk">
    <vt:lpwstr/>
  </property>
  <property fmtid="{D5CDD505-2E9C-101B-9397-08002B2CF9AE}" pid="15" name="Document_x0020_Type">
    <vt:lpwstr/>
  </property>
  <property fmtid="{D5CDD505-2E9C-101B-9397-08002B2CF9AE}" pid="16" name="Health">
    <vt:lpwstr/>
  </property>
  <property fmtid="{D5CDD505-2E9C-101B-9397-08002B2CF9AE}" pid="17" name="Vaccine">
    <vt:lpwstr/>
  </property>
  <property fmtid="{D5CDD505-2E9C-101B-9397-08002B2CF9AE}" pid="18" name="Depto">
    <vt:lpwstr>1890;#Health Systems and Immunization Strengthening|317fd45e-5f94-413a-aa1a-58c6cf1eaf9b</vt:lpwstr>
  </property>
  <property fmtid="{D5CDD505-2E9C-101B-9397-08002B2CF9AE}" pid="19" name="International_x0020_Development">
    <vt:lpwstr/>
  </property>
  <property fmtid="{D5CDD505-2E9C-101B-9397-08002B2CF9AE}" pid="20" name="kfa83adfad8641678ddaedda80d7e126">
    <vt:lpwstr/>
  </property>
  <property fmtid="{D5CDD505-2E9C-101B-9397-08002B2CF9AE}" pid="21" name="_dlc_DocIdItemGuid">
    <vt:lpwstr>ec21cf6b-d146-4f09-848c-20ccbe0902b0</vt:lpwstr>
  </property>
  <property fmtid="{D5CDD505-2E9C-101B-9397-08002B2CF9AE}" pid="22" name="Country_x0020_Type">
    <vt:lpwstr/>
  </property>
  <property fmtid="{D5CDD505-2E9C-101B-9397-08002B2CF9AE}" pid="23" name="Country">
    <vt:lpwstr/>
  </property>
  <property fmtid="{D5CDD505-2E9C-101B-9397-08002B2CF9AE}" pid="24" name="Governance">
    <vt:lpwstr/>
  </property>
  <property fmtid="{D5CDD505-2E9C-101B-9397-08002B2CF9AE}" pid="25" name="Health_x0020_System_x0020_Strengthening">
    <vt:lpwstr/>
  </property>
  <property fmtid="{D5CDD505-2E9C-101B-9397-08002B2CF9AE}" pid="26" name="Test">
    <vt:lpwstr/>
  </property>
  <property fmtid="{D5CDD505-2E9C-101B-9397-08002B2CF9AE}" pid="27" name="Market_x0020_Shaping">
    <vt:lpwstr/>
  </property>
  <property fmtid="{D5CDD505-2E9C-101B-9397-08002B2CF9AE}" pid="28" name="Programme_x0020_and_x0020_project_x0020_management">
    <vt:lpwstr/>
  </property>
  <property fmtid="{D5CDD505-2E9C-101B-9397-08002B2CF9AE}" pid="29" name="Finance">
    <vt:lpwstr/>
  </property>
  <property fmtid="{D5CDD505-2E9C-101B-9397-08002B2CF9AE}" pid="30" name="IT_x0020_Systems">
    <vt:lpwstr/>
  </property>
  <property fmtid="{D5CDD505-2E9C-101B-9397-08002B2CF9AE}" pid="31" name="Location1">
    <vt:lpwstr/>
  </property>
  <property fmtid="{D5CDD505-2E9C-101B-9397-08002B2CF9AE}" pid="32" name="Language">
    <vt:lpwstr/>
  </property>
  <property fmtid="{D5CDD505-2E9C-101B-9397-08002B2CF9AE}" pid="33" name="Donors and Partners">
    <vt:lpwstr/>
  </property>
  <property fmtid="{D5CDD505-2E9C-101B-9397-08002B2CF9AE}" pid="34" name="International Development">
    <vt:lpwstr/>
  </property>
  <property fmtid="{D5CDD505-2E9C-101B-9397-08002B2CF9AE}" pid="35" name="Market Shaping">
    <vt:lpwstr/>
  </property>
  <property fmtid="{D5CDD505-2E9C-101B-9397-08002B2CF9AE}" pid="36" name="Programme and project management">
    <vt:lpwstr/>
  </property>
  <property fmtid="{D5CDD505-2E9C-101B-9397-08002B2CF9AE}" pid="37" name="Strategy and Policy">
    <vt:lpwstr/>
  </property>
  <property fmtid="{D5CDD505-2E9C-101B-9397-08002B2CF9AE}" pid="38" name="Document Type">
    <vt:lpwstr/>
  </property>
  <property fmtid="{D5CDD505-2E9C-101B-9397-08002B2CF9AE}" pid="39" name="Country Type">
    <vt:lpwstr/>
  </property>
  <property fmtid="{D5CDD505-2E9C-101B-9397-08002B2CF9AE}" pid="40" name="Health System Strengthening">
    <vt:lpwstr/>
  </property>
  <property fmtid="{D5CDD505-2E9C-101B-9397-08002B2CF9AE}" pid="41" name="IT Systems">
    <vt:lpwstr/>
  </property>
  <property fmtid="{D5CDD505-2E9C-101B-9397-08002B2CF9AE}" pid="42" name="MediaServiceImageTags">
    <vt:lpwstr/>
  </property>
</Properties>
</file>