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mc:AlternateContent xmlns:mc="http://schemas.openxmlformats.org/markup-compatibility/2006">
    <mc:Choice Requires="x15">
      <x15ac:absPath xmlns:x15ac="http://schemas.microsoft.com/office/spreadsheetml/2010/11/ac" url="C:\Users\CHAI\Box Sync\Ashok folder\COVID-19\Gavi Covid CCE WG\"/>
    </mc:Choice>
  </mc:AlternateContent>
  <xr:revisionPtr revIDLastSave="0" documentId="8_{FED5978F-FCCC-4CF0-8C72-02548DCC9549}" xr6:coauthVersionLast="46" xr6:coauthVersionMax="46" xr10:uidLastSave="{00000000-0000-0000-0000-000000000000}"/>
  <workbookProtection workbookAlgorithmName="SHA-512" workbookHashValue="O8QfAABUdOb5qVgDa/0Z+fHrrq24R5Ra/+64F9mVzkr3zpt2yh+iH1QG2LRPdOM+wxaBXLRBB0V+lcfO1xP5Fw==" workbookSaltValue="UKqnLJNbONBBMhUmYoXUXw==" workbookSpinCount="100000" lockStructure="1"/>
  <bookViews>
    <workbookView xWindow="-120" yWindow="-120" windowWidth="20730" windowHeight="11160" xr2:uid="{00000000-000D-0000-FFFF-FFFF00000000}"/>
  </bookViews>
  <sheets>
    <sheet name="Page de couverture et instructi" sheetId="1" r:id="rId1"/>
    <sheet name="Résumé des options d'ECF" sheetId="8" r:id="rId2"/>
    <sheet name="Option A_Choix du modèle d'ECF" sheetId="3" r:id="rId3"/>
    <sheet name="Option B_Choix du modèle d'ECF" sheetId="9" r:id="rId4"/>
    <sheet name="Option C_Choix du modèle d'ECF" sheetId="10" r:id="rId5"/>
    <sheet name="Modèle de liste de prix spécifi" sheetId="2" r:id="rId6"/>
  </sheets>
  <externalReferences>
    <externalReference r:id="rId7"/>
  </externalReferences>
  <definedNames>
    <definedName name="_1.Chambresfroidesdeplainpied">'Modèle de liste de prix spécifi'!$E$4:$E$26</definedName>
    <definedName name="_10.CongélateurhorsréseauSDD">'Modèle de liste de prix spécifi'!$E$119:$E$121</definedName>
    <definedName name="_11.Outildesuividelatempérature_30DTR">'Modèle de liste de prix spécifi'!$E$122:$E$126</definedName>
    <definedName name="_12.Dispositifsdesurveillanceàdistancedelatempérature_RTMD">'Modèle de liste de prix spécifi'!$E$127:$E$140</definedName>
    <definedName name="_13.Portevaccinstraditionnels">'Modèle de liste de prix spécifi'!$E$141:$E$154</definedName>
    <definedName name="_14.Portevaccinshorsgel">'Modèle de liste de prix spécifi'!$E$155:$E$157</definedName>
    <definedName name="_15.Glacièrespourvaccinstraditionnelles">'Modèle de liste de prix spécifi'!$E$158:$E$173</definedName>
    <definedName name="_16.Glacièreshorsgel">'Modèle de liste de prix spécifi'!$E$174</definedName>
    <definedName name="_17.Régulateursdetensionpouréquipement">'Modèle de liste de prix spécifi'!$E$175:$E$187</definedName>
    <definedName name="_18.Packsdeglace">'Modèle de liste de prix spécifi'!$E$188:$E$201</definedName>
    <definedName name="_19.PiècesderechangepourlesnouveauxéquipementsILRsanscongélateur">'Modèle de liste de prix spécifi'!$E$202:$E$226</definedName>
    <definedName name="_2.Chambresfroidesdeplainpiedaveccongélateurs">'Modèle de liste de prix spécifi'!$E$27:$E$34</definedName>
    <definedName name="_20.PiècesderechangepourlesnouveauxéquipementsILRaveccongélateur">'Modèle de liste de prix spécifi'!$E$227:$E$230</definedName>
    <definedName name="_21.Piècesderechangepourlesnouveauxcongélateurs">'Modèle de liste de prix spécifi'!$E$231:$E$238</definedName>
    <definedName name="_22.PiècesderechangepourlesnouveauxSDDaveccomp.congélateur">'Modèle de liste de prix spécifi'!$E$239:$E$265</definedName>
    <definedName name="_23.PiècesderechangepourlesnouveauxSDDsanscomp.congélateur">'Modèle de liste de prix spécifi'!$E$266:$E$275</definedName>
    <definedName name="_24.NouveauxcongélateursSDDpiècesderechange">'Modèle de liste de prix spécifi'!$E$276:$E$278</definedName>
    <definedName name="_3.Locationàcourttermepourchambresfroides">'Modèle de liste de prix spécifi'!$E$35:$E$38</definedName>
    <definedName name="_4.Locationdechambresfroidesdeplainpiedoudechambresdecongélation">'Modèle de liste de prix spécifi'!$E$39:$E$42</definedName>
    <definedName name="_5.RéfrigérateurILRàgaineréfrigérantesurréseau_sanscomp.congélateur">'Modèle de liste de prix spécifi'!$E$43:$E$68</definedName>
    <definedName name="_6.ILRsurréseau_aveccomp.congélateur">'Modèle de liste de prix spécifi'!$E$69:$E$72</definedName>
    <definedName name="_7.Congélateurssurréseau">'Modèle de liste de prix spécifi'!$E$73:$E$80</definedName>
    <definedName name="_8.RéfrigérateurshorsréseauSDD_sanscomp.congélateur">'Modèle de liste de prix spécifi'!$E$81:$E$108</definedName>
    <definedName name="_9.RéfrigérateurshorsréseauSDD_aveccomp.congélateur">'Modèle de liste de prix spécifi'!$E$109:$E$118</definedName>
    <definedName name="_xlnm._FilterDatabase" localSheetId="5" hidden="1">'Modèle de liste de prix spécifi'!$A$3:$O$278</definedName>
    <definedName name="equipmentwithnoservicecost">'Modèle de liste de prix spécifi'!$AB$14,'Modèle de liste de prix spécifi'!$AB$16:$AB$27</definedName>
    <definedName name="typeofequipment">'Modèle de liste de prix spécifi'!$AB$4:$AB$27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O87" i="2"/>
  <c r="N87" i="2"/>
  <c r="I45" i="10"/>
  <c r="I45" i="9"/>
  <c r="I45" i="3"/>
  <c r="F29" i="10"/>
  <c r="F30" i="3"/>
  <c r="D11" i="8"/>
  <c r="C11" i="8"/>
  <c r="D12" i="8"/>
  <c r="C12" i="8"/>
  <c r="D13" i="8"/>
  <c r="C13" i="8"/>
  <c r="L34" i="3"/>
  <c r="H34" i="10"/>
  <c r="F34" i="10"/>
  <c r="E34" i="10"/>
  <c r="D34" i="10"/>
  <c r="C34" i="10"/>
  <c r="H33" i="10"/>
  <c r="F33" i="10"/>
  <c r="E33" i="10"/>
  <c r="D33" i="10"/>
  <c r="C33" i="10"/>
  <c r="H32" i="10"/>
  <c r="F32" i="10"/>
  <c r="E32" i="10"/>
  <c r="D32" i="10"/>
  <c r="C32" i="10"/>
  <c r="H31" i="10"/>
  <c r="F31" i="10"/>
  <c r="E31" i="10"/>
  <c r="D31" i="10"/>
  <c r="C31" i="10"/>
  <c r="H30" i="10"/>
  <c r="F30" i="10"/>
  <c r="E30" i="10"/>
  <c r="D30" i="10"/>
  <c r="C30" i="10"/>
  <c r="H29" i="10"/>
  <c r="E29" i="10"/>
  <c r="D29" i="10"/>
  <c r="C29" i="10"/>
  <c r="H28" i="10"/>
  <c r="F28" i="10"/>
  <c r="E28" i="10"/>
  <c r="D28" i="10"/>
  <c r="C28" i="10"/>
  <c r="H27" i="10"/>
  <c r="F27" i="10"/>
  <c r="E27" i="10"/>
  <c r="D27" i="10"/>
  <c r="C27" i="10"/>
  <c r="H26" i="10"/>
  <c r="F26" i="10"/>
  <c r="E26" i="10"/>
  <c r="D26" i="10"/>
  <c r="C26" i="10"/>
  <c r="H25" i="10"/>
  <c r="F25" i="10"/>
  <c r="E25" i="10"/>
  <c r="D25" i="10"/>
  <c r="C25" i="10"/>
  <c r="F24" i="10"/>
  <c r="H24" i="10"/>
  <c r="E24" i="10"/>
  <c r="D24" i="10"/>
  <c r="C24" i="10"/>
  <c r="F23" i="10"/>
  <c r="H23" i="10"/>
  <c r="E23" i="10"/>
  <c r="D23" i="10"/>
  <c r="C23" i="10"/>
  <c r="F22" i="10"/>
  <c r="H22" i="10"/>
  <c r="E22" i="10"/>
  <c r="D22" i="10"/>
  <c r="C22" i="10"/>
  <c r="F21" i="10"/>
  <c r="H21" i="10"/>
  <c r="E21" i="10"/>
  <c r="D21" i="10"/>
  <c r="C21" i="10"/>
  <c r="H20" i="10"/>
  <c r="F20" i="10"/>
  <c r="E20" i="10"/>
  <c r="D20" i="10"/>
  <c r="C20" i="10"/>
  <c r="F19" i="10"/>
  <c r="H19" i="10"/>
  <c r="E19" i="10"/>
  <c r="D19" i="10"/>
  <c r="C19" i="10"/>
  <c r="F18" i="10"/>
  <c r="H18" i="10"/>
  <c r="E18" i="10"/>
  <c r="D18" i="10"/>
  <c r="C18" i="10"/>
  <c r="F17" i="10"/>
  <c r="H17" i="10"/>
  <c r="E17" i="10"/>
  <c r="D17" i="10"/>
  <c r="C17" i="10"/>
  <c r="F16" i="10"/>
  <c r="H16" i="10"/>
  <c r="E16" i="10"/>
  <c r="D16" i="10"/>
  <c r="C16" i="10"/>
  <c r="F15" i="10"/>
  <c r="H15" i="10"/>
  <c r="E15" i="10"/>
  <c r="D15" i="10"/>
  <c r="C15" i="10"/>
  <c r="F14" i="10"/>
  <c r="H14" i="10"/>
  <c r="E14" i="10"/>
  <c r="D14" i="10"/>
  <c r="C14" i="10"/>
  <c r="F13" i="10"/>
  <c r="H13" i="10"/>
  <c r="E13" i="10"/>
  <c r="D13" i="10"/>
  <c r="C13" i="10"/>
  <c r="F12" i="10"/>
  <c r="H12" i="10"/>
  <c r="E12" i="10"/>
  <c r="D12" i="10"/>
  <c r="C12" i="10"/>
  <c r="F11" i="10"/>
  <c r="H11" i="10"/>
  <c r="E11" i="10"/>
  <c r="D11" i="10"/>
  <c r="C11" i="10"/>
  <c r="F10" i="10"/>
  <c r="H10" i="10"/>
  <c r="E10" i="10"/>
  <c r="D10" i="10"/>
  <c r="C10" i="10"/>
  <c r="F9" i="10"/>
  <c r="H9" i="10"/>
  <c r="E9" i="10"/>
  <c r="D9" i="10"/>
  <c r="C9" i="10"/>
  <c r="F8" i="10"/>
  <c r="H8" i="10"/>
  <c r="E8" i="10"/>
  <c r="D8" i="10"/>
  <c r="C8" i="10"/>
  <c r="F7" i="10"/>
  <c r="H7" i="10"/>
  <c r="E7" i="10"/>
  <c r="D7" i="10"/>
  <c r="C7" i="10"/>
  <c r="F6" i="10"/>
  <c r="H6" i="10"/>
  <c r="E6" i="10"/>
  <c r="D6" i="10"/>
  <c r="C6" i="10"/>
  <c r="F5" i="10"/>
  <c r="H5" i="10"/>
  <c r="E5" i="10"/>
  <c r="D5" i="10"/>
  <c r="C5" i="10"/>
  <c r="F4" i="10"/>
  <c r="H4" i="10"/>
  <c r="E4" i="10"/>
  <c r="D4" i="10"/>
  <c r="C4" i="10"/>
  <c r="H34" i="9"/>
  <c r="F34" i="9"/>
  <c r="E34" i="9"/>
  <c r="D34" i="9"/>
  <c r="C34" i="9"/>
  <c r="H33" i="9"/>
  <c r="F33" i="9"/>
  <c r="E33" i="9"/>
  <c r="D33" i="9"/>
  <c r="C33" i="9"/>
  <c r="H32" i="9"/>
  <c r="F32" i="9"/>
  <c r="E32" i="9"/>
  <c r="D32" i="9"/>
  <c r="C32" i="9"/>
  <c r="H31" i="9"/>
  <c r="F31" i="9"/>
  <c r="E31" i="9"/>
  <c r="D31" i="9"/>
  <c r="C31" i="9"/>
  <c r="H30" i="9"/>
  <c r="F30" i="9"/>
  <c r="E30" i="9"/>
  <c r="D30" i="9"/>
  <c r="C30" i="9"/>
  <c r="H29" i="9"/>
  <c r="F29" i="9"/>
  <c r="E29" i="9"/>
  <c r="D29" i="9"/>
  <c r="C29" i="9"/>
  <c r="H28" i="9"/>
  <c r="F28" i="9"/>
  <c r="E28" i="9"/>
  <c r="D28" i="9"/>
  <c r="C28" i="9"/>
  <c r="H27" i="9"/>
  <c r="F27" i="9"/>
  <c r="E27" i="9"/>
  <c r="D27" i="9"/>
  <c r="C27" i="9"/>
  <c r="H26" i="9"/>
  <c r="F26" i="9"/>
  <c r="E26" i="9"/>
  <c r="D26" i="9"/>
  <c r="C26" i="9"/>
  <c r="H25" i="9"/>
  <c r="F25" i="9"/>
  <c r="E25" i="9"/>
  <c r="D25" i="9"/>
  <c r="C25" i="9"/>
  <c r="H24" i="9"/>
  <c r="F24" i="9"/>
  <c r="E24" i="9"/>
  <c r="D24" i="9"/>
  <c r="C24" i="9"/>
  <c r="H23" i="9"/>
  <c r="F23" i="9"/>
  <c r="E23" i="9"/>
  <c r="D23" i="9"/>
  <c r="C23" i="9"/>
  <c r="F22" i="9"/>
  <c r="H22" i="9"/>
  <c r="E22" i="9"/>
  <c r="D22" i="9"/>
  <c r="C22" i="9"/>
  <c r="F21" i="9"/>
  <c r="H21" i="9"/>
  <c r="E21" i="9"/>
  <c r="D21" i="9"/>
  <c r="C21" i="9"/>
  <c r="H20" i="9"/>
  <c r="F20" i="9"/>
  <c r="E20" i="9"/>
  <c r="D20" i="9"/>
  <c r="C20" i="9"/>
  <c r="F19" i="9"/>
  <c r="H19" i="9"/>
  <c r="E19" i="9"/>
  <c r="D19" i="9"/>
  <c r="C19" i="9"/>
  <c r="F18" i="9"/>
  <c r="H18" i="9"/>
  <c r="E18" i="9"/>
  <c r="D18" i="9"/>
  <c r="C18" i="9"/>
  <c r="F17" i="9"/>
  <c r="H17" i="9"/>
  <c r="E17" i="9"/>
  <c r="D17" i="9"/>
  <c r="C17" i="9"/>
  <c r="F16" i="9"/>
  <c r="H16" i="9"/>
  <c r="E16" i="9"/>
  <c r="D16" i="9"/>
  <c r="C16" i="9"/>
  <c r="F15" i="9"/>
  <c r="H15" i="9"/>
  <c r="E15" i="9"/>
  <c r="D15" i="9"/>
  <c r="C15" i="9"/>
  <c r="F14" i="9"/>
  <c r="H14" i="9"/>
  <c r="E14" i="9"/>
  <c r="D14" i="9"/>
  <c r="C14" i="9"/>
  <c r="F13" i="9"/>
  <c r="H13" i="9"/>
  <c r="E13" i="9"/>
  <c r="D13" i="9"/>
  <c r="C13" i="9"/>
  <c r="F12" i="9"/>
  <c r="H12" i="9"/>
  <c r="E12" i="9"/>
  <c r="D12" i="9"/>
  <c r="C12" i="9"/>
  <c r="F11" i="9"/>
  <c r="H11" i="9"/>
  <c r="E11" i="9"/>
  <c r="D11" i="9"/>
  <c r="C11" i="9"/>
  <c r="F10" i="9"/>
  <c r="H10" i="9"/>
  <c r="E10" i="9"/>
  <c r="D10" i="9"/>
  <c r="C10" i="9"/>
  <c r="F9" i="9"/>
  <c r="H9" i="9"/>
  <c r="E9" i="9"/>
  <c r="D9" i="9"/>
  <c r="C9" i="9"/>
  <c r="F8" i="9"/>
  <c r="H8" i="9"/>
  <c r="E8" i="9"/>
  <c r="D8" i="9"/>
  <c r="C8" i="9"/>
  <c r="F7" i="9"/>
  <c r="H7" i="9"/>
  <c r="E7" i="9"/>
  <c r="D7" i="9"/>
  <c r="C7" i="9"/>
  <c r="F6" i="9"/>
  <c r="H6" i="9"/>
  <c r="E6" i="9"/>
  <c r="D6" i="9"/>
  <c r="C6" i="9"/>
  <c r="F5" i="9"/>
  <c r="H5" i="9"/>
  <c r="E5" i="9"/>
  <c r="D5" i="9"/>
  <c r="C5" i="9"/>
  <c r="F4" i="9"/>
  <c r="H4" i="9"/>
  <c r="E4" i="9"/>
  <c r="D4" i="9"/>
  <c r="C4" i="9"/>
  <c r="C4" i="3"/>
  <c r="H33" i="3"/>
  <c r="F34" i="3"/>
  <c r="H34" i="3"/>
  <c r="E34" i="3"/>
  <c r="D34" i="3"/>
  <c r="C34" i="3"/>
  <c r="F33" i="3"/>
  <c r="E33" i="3"/>
  <c r="D33" i="3"/>
  <c r="C33" i="3"/>
  <c r="H32" i="3"/>
  <c r="F32" i="3"/>
  <c r="E32" i="3"/>
  <c r="D32" i="3"/>
  <c r="C32" i="3"/>
  <c r="H31" i="3"/>
  <c r="F31" i="3"/>
  <c r="E31" i="3"/>
  <c r="D31" i="3"/>
  <c r="C31" i="3"/>
  <c r="H30" i="3"/>
  <c r="E30" i="3"/>
  <c r="D30" i="3"/>
  <c r="C30" i="3"/>
  <c r="H29" i="3"/>
  <c r="F29" i="3"/>
  <c r="E29" i="3"/>
  <c r="D29" i="3"/>
  <c r="C29" i="3"/>
  <c r="H28" i="3"/>
  <c r="F28" i="3"/>
  <c r="E28" i="3"/>
  <c r="D28" i="3"/>
  <c r="C28" i="3"/>
  <c r="H27" i="3"/>
  <c r="F27" i="3"/>
  <c r="E27" i="3"/>
  <c r="D27" i="3"/>
  <c r="C27" i="3"/>
  <c r="H26" i="3"/>
  <c r="F26" i="3"/>
  <c r="E26" i="3"/>
  <c r="D26" i="3"/>
  <c r="C26" i="3"/>
  <c r="H25" i="3"/>
  <c r="F25" i="3"/>
  <c r="E25" i="3"/>
  <c r="D25" i="3"/>
  <c r="C25" i="3"/>
  <c r="H24" i="3"/>
  <c r="F24" i="3"/>
  <c r="E24" i="3"/>
  <c r="D24" i="3"/>
  <c r="C24" i="3"/>
  <c r="F23" i="3"/>
  <c r="H23" i="3"/>
  <c r="E23" i="3"/>
  <c r="D23" i="3"/>
  <c r="C23" i="3"/>
  <c r="F22" i="3"/>
  <c r="H22" i="3"/>
  <c r="E22" i="3"/>
  <c r="D22" i="3"/>
  <c r="C22" i="3"/>
  <c r="F21" i="3"/>
  <c r="H21" i="3"/>
  <c r="E21" i="3"/>
  <c r="D21" i="3"/>
  <c r="C21" i="3"/>
  <c r="H20" i="3"/>
  <c r="F20" i="3"/>
  <c r="E20" i="3"/>
  <c r="D20" i="3"/>
  <c r="C20" i="3"/>
  <c r="F19" i="3"/>
  <c r="H19" i="3"/>
  <c r="E19" i="3"/>
  <c r="D19" i="3"/>
  <c r="C19" i="3"/>
  <c r="F18" i="3"/>
  <c r="H18" i="3"/>
  <c r="E18" i="3"/>
  <c r="D18" i="3"/>
  <c r="C18" i="3"/>
  <c r="F17" i="3"/>
  <c r="H17" i="3"/>
  <c r="E17" i="3"/>
  <c r="D17" i="3"/>
  <c r="C17" i="3"/>
  <c r="F16" i="3"/>
  <c r="H16" i="3"/>
  <c r="E16" i="3"/>
  <c r="D16" i="3"/>
  <c r="C16" i="3"/>
  <c r="F15" i="3"/>
  <c r="H15" i="3"/>
  <c r="E15" i="3"/>
  <c r="D15" i="3"/>
  <c r="C15" i="3"/>
  <c r="F14" i="3"/>
  <c r="H14" i="3"/>
  <c r="E14" i="3"/>
  <c r="D14" i="3"/>
  <c r="C14" i="3"/>
  <c r="F13" i="3"/>
  <c r="H13" i="3"/>
  <c r="E13" i="3"/>
  <c r="D13" i="3"/>
  <c r="C13" i="3"/>
  <c r="F12" i="3"/>
  <c r="H12" i="3"/>
  <c r="E12" i="3"/>
  <c r="D12" i="3"/>
  <c r="C12" i="3"/>
  <c r="F11" i="3"/>
  <c r="H11" i="3"/>
  <c r="E11" i="3"/>
  <c r="D11" i="3"/>
  <c r="C11" i="3"/>
  <c r="F10" i="3"/>
  <c r="H10" i="3"/>
  <c r="E10" i="3"/>
  <c r="D10" i="3"/>
  <c r="C10" i="3"/>
  <c r="F9" i="3"/>
  <c r="H9" i="3"/>
  <c r="E9" i="3"/>
  <c r="D9" i="3"/>
  <c r="C9" i="3"/>
  <c r="F8" i="3"/>
  <c r="H8" i="3"/>
  <c r="E8" i="3"/>
  <c r="D8" i="3"/>
  <c r="C8" i="3"/>
  <c r="F7" i="3"/>
  <c r="H7" i="3"/>
  <c r="E7" i="3"/>
  <c r="D7" i="3"/>
  <c r="C7" i="3"/>
  <c r="F6" i="3"/>
  <c r="H6" i="3"/>
  <c r="E6" i="3"/>
  <c r="D6" i="3"/>
  <c r="C6" i="3"/>
  <c r="F5" i="3"/>
  <c r="H5" i="3"/>
  <c r="E5" i="3"/>
  <c r="D5" i="3"/>
  <c r="C5" i="3"/>
  <c r="F4" i="3"/>
  <c r="H4" i="3"/>
  <c r="E4" i="3"/>
  <c r="D4" i="3"/>
  <c r="O136" i="2"/>
  <c r="N136" i="2"/>
  <c r="O135" i="2"/>
  <c r="N135" i="2"/>
  <c r="O134" i="2"/>
  <c r="N134" i="2"/>
  <c r="O133" i="2"/>
  <c r="N133" i="2"/>
  <c r="O132" i="2"/>
  <c r="N132" i="2"/>
  <c r="O131" i="2"/>
  <c r="N131" i="2"/>
  <c r="O130" i="2"/>
  <c r="N130" i="2"/>
  <c r="O129" i="2"/>
  <c r="N129" i="2"/>
  <c r="O128" i="2"/>
  <c r="N128" i="2"/>
  <c r="N68" i="2"/>
  <c r="O68" i="2"/>
  <c r="O201" i="2"/>
  <c r="O192" i="2"/>
  <c r="N201" i="2"/>
  <c r="N192" i="2"/>
  <c r="O173" i="2"/>
  <c r="O166" i="2"/>
  <c r="O161" i="2"/>
  <c r="N173" i="2"/>
  <c r="N166" i="2"/>
  <c r="N161" i="2"/>
  <c r="O154" i="2"/>
  <c r="O149" i="2"/>
  <c r="N154" i="2"/>
  <c r="N149" i="2"/>
  <c r="H173" i="2"/>
  <c r="H172" i="2"/>
  <c r="H171" i="2"/>
  <c r="H170" i="2"/>
  <c r="H169" i="2"/>
  <c r="H168" i="2"/>
  <c r="H167" i="2"/>
  <c r="H166" i="2"/>
  <c r="H165" i="2"/>
  <c r="H164" i="2"/>
  <c r="H163" i="2"/>
  <c r="H162" i="2"/>
  <c r="H161" i="2"/>
  <c r="H160" i="2"/>
  <c r="H159" i="2"/>
  <c r="H158" i="2"/>
  <c r="H154" i="2"/>
  <c r="H153" i="2"/>
  <c r="H152" i="2"/>
  <c r="H151" i="2"/>
  <c r="H150" i="2"/>
  <c r="H149" i="2"/>
  <c r="H148" i="2"/>
  <c r="H147" i="2"/>
  <c r="H146" i="2"/>
  <c r="H145" i="2"/>
  <c r="H144" i="2"/>
  <c r="H143" i="2"/>
  <c r="H142" i="2"/>
  <c r="H141" i="2"/>
  <c r="AD21" i="2"/>
  <c r="AD22" i="2"/>
  <c r="AD18" i="2"/>
  <c r="AD16" i="2"/>
  <c r="O35" i="2"/>
  <c r="N35" i="2"/>
  <c r="O38" i="2"/>
  <c r="N38" i="2"/>
  <c r="O37" i="2"/>
  <c r="O36" i="2"/>
  <c r="N36" i="2"/>
  <c r="N37" i="2"/>
  <c r="N139" i="2"/>
  <c r="O139" i="2"/>
  <c r="N137" i="2"/>
  <c r="O137" i="2"/>
  <c r="L34" i="10"/>
  <c r="L33" i="10"/>
  <c r="L32" i="10"/>
  <c r="L30" i="10"/>
  <c r="L29" i="10"/>
  <c r="L28" i="10"/>
  <c r="L27" i="10"/>
  <c r="L26" i="10"/>
  <c r="L25" i="10"/>
  <c r="L24" i="10"/>
  <c r="L23" i="10"/>
  <c r="L22" i="10"/>
  <c r="L21" i="10"/>
  <c r="L20" i="10"/>
  <c r="L19" i="10"/>
  <c r="L18" i="10"/>
  <c r="L17" i="10"/>
  <c r="L16" i="10"/>
  <c r="L15" i="10"/>
  <c r="L14" i="10"/>
  <c r="L13" i="10"/>
  <c r="L12" i="10"/>
  <c r="L11" i="10"/>
  <c r="L10" i="10"/>
  <c r="L9" i="10"/>
  <c r="L8" i="10"/>
  <c r="L7" i="10"/>
  <c r="L6" i="10"/>
  <c r="L5" i="10"/>
  <c r="L4" i="10"/>
  <c r="L34" i="9"/>
  <c r="L32" i="9"/>
  <c r="L31" i="9"/>
  <c r="L30" i="9"/>
  <c r="L29" i="9"/>
  <c r="L28" i="9"/>
  <c r="L27" i="9"/>
  <c r="L26" i="9"/>
  <c r="L25" i="9"/>
  <c r="L24" i="9"/>
  <c r="L23" i="9"/>
  <c r="L22" i="9"/>
  <c r="L21" i="9"/>
  <c r="L20" i="9"/>
  <c r="L19" i="9"/>
  <c r="L18" i="9"/>
  <c r="L17" i="9"/>
  <c r="L16" i="9"/>
  <c r="L15" i="9"/>
  <c r="L14" i="9"/>
  <c r="L13" i="9"/>
  <c r="L12" i="9"/>
  <c r="L11" i="9"/>
  <c r="L10" i="9"/>
  <c r="L9" i="9"/>
  <c r="L8" i="9"/>
  <c r="L7" i="9"/>
  <c r="L6" i="9"/>
  <c r="L5" i="9"/>
  <c r="L4" i="9"/>
  <c r="J26" i="10"/>
  <c r="J24" i="10"/>
  <c r="J23" i="10"/>
  <c r="J20" i="10"/>
  <c r="J19" i="10"/>
  <c r="J18" i="10"/>
  <c r="J17" i="10"/>
  <c r="J16" i="10"/>
  <c r="J15" i="10"/>
  <c r="J14" i="10"/>
  <c r="J13" i="10"/>
  <c r="J12" i="10"/>
  <c r="J11" i="10"/>
  <c r="J10" i="10"/>
  <c r="J9" i="10"/>
  <c r="J8" i="10"/>
  <c r="J7" i="10"/>
  <c r="J6" i="10"/>
  <c r="J5" i="10"/>
  <c r="J4" i="10"/>
  <c r="J27" i="9"/>
  <c r="J24" i="9"/>
  <c r="J23" i="9"/>
  <c r="J20" i="9"/>
  <c r="J19" i="9"/>
  <c r="J18" i="9"/>
  <c r="J17" i="9"/>
  <c r="J16" i="9"/>
  <c r="J15" i="9"/>
  <c r="J14" i="9"/>
  <c r="J13" i="9"/>
  <c r="J12" i="9"/>
  <c r="J11" i="9"/>
  <c r="J10" i="9"/>
  <c r="J9" i="9"/>
  <c r="J8" i="9"/>
  <c r="J7" i="9"/>
  <c r="J6" i="9"/>
  <c r="J5" i="9"/>
  <c r="J4" i="9"/>
  <c r="J24" i="3"/>
  <c r="J23" i="3"/>
  <c r="J20" i="3"/>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4" i="3"/>
  <c r="AD7" i="2"/>
  <c r="O40" i="2"/>
  <c r="O41" i="2"/>
  <c r="O42" i="2"/>
  <c r="O39" i="2"/>
  <c r="N40" i="2"/>
  <c r="N41" i="2"/>
  <c r="N42" i="2"/>
  <c r="N39" i="2"/>
  <c r="O187" i="2"/>
  <c r="N187" i="2"/>
  <c r="O186" i="2"/>
  <c r="N186" i="2"/>
  <c r="O185" i="2"/>
  <c r="N185" i="2"/>
  <c r="O184" i="2"/>
  <c r="N184" i="2"/>
  <c r="O183" i="2"/>
  <c r="N183" i="2"/>
  <c r="O182" i="2"/>
  <c r="N182" i="2"/>
  <c r="O181" i="2"/>
  <c r="N181" i="2"/>
  <c r="O180" i="2"/>
  <c r="N180" i="2"/>
  <c r="O179" i="2"/>
  <c r="N179" i="2"/>
  <c r="O178" i="2"/>
  <c r="N178" i="2"/>
  <c r="O177" i="2"/>
  <c r="N177" i="2"/>
  <c r="O176" i="2"/>
  <c r="N176" i="2"/>
  <c r="O175" i="2"/>
  <c r="N175" i="2"/>
  <c r="B11" i="8"/>
  <c r="B12" i="8"/>
  <c r="B13" i="8"/>
  <c r="J19" i="3"/>
  <c r="J18" i="3"/>
  <c r="J13" i="3"/>
  <c r="J11" i="3"/>
  <c r="J14" i="3"/>
  <c r="J12" i="3"/>
  <c r="J15" i="3"/>
  <c r="J16" i="3"/>
  <c r="J17" i="3"/>
  <c r="J5" i="3"/>
  <c r="J6" i="3"/>
  <c r="J7" i="3"/>
  <c r="J8" i="3"/>
  <c r="J9" i="3"/>
  <c r="J10" i="3"/>
  <c r="I52" i="10"/>
  <c r="I54" i="10"/>
  <c r="D14" i="8"/>
  <c r="I52" i="9"/>
  <c r="I54" i="9"/>
  <c r="C14" i="8"/>
  <c r="J21" i="9"/>
  <c r="J22" i="9"/>
  <c r="J32" i="9"/>
  <c r="J28" i="10"/>
  <c r="J22" i="10"/>
  <c r="J33" i="3"/>
  <c r="J26" i="9"/>
  <c r="J31" i="9"/>
  <c r="J30" i="9"/>
  <c r="J21" i="10"/>
  <c r="J32" i="10"/>
  <c r="J27" i="10"/>
  <c r="J30" i="10"/>
  <c r="J28" i="9"/>
  <c r="J33" i="10"/>
  <c r="J34" i="9"/>
  <c r="J29" i="10"/>
  <c r="J34" i="10"/>
  <c r="J29" i="9"/>
  <c r="J25" i="9"/>
  <c r="J25" i="10"/>
  <c r="J25" i="3"/>
  <c r="J26" i="3"/>
  <c r="J32" i="3"/>
  <c r="J21" i="3"/>
  <c r="J30" i="3"/>
  <c r="J22" i="3"/>
  <c r="J27" i="3"/>
  <c r="J28" i="3"/>
  <c r="J31" i="3"/>
  <c r="J29" i="3"/>
  <c r="I52" i="3"/>
  <c r="I54" i="3"/>
  <c r="B14" i="8"/>
  <c r="I35" i="9"/>
  <c r="I50" i="9"/>
  <c r="I35" i="10"/>
  <c r="I50" i="10"/>
  <c r="N4" i="2"/>
  <c r="O4" i="2"/>
  <c r="N9" i="2"/>
  <c r="O9" i="2"/>
  <c r="N18" i="2"/>
  <c r="O18" i="2"/>
  <c r="N5" i="2"/>
  <c r="O5" i="2"/>
  <c r="N10" i="2"/>
  <c r="O10" i="2"/>
  <c r="N11" i="2"/>
  <c r="O11" i="2"/>
  <c r="N19" i="2"/>
  <c r="O19" i="2"/>
  <c r="N20" i="2"/>
  <c r="O20" i="2"/>
  <c r="N6" i="2"/>
  <c r="O6" i="2"/>
  <c r="N12" i="2"/>
  <c r="O12" i="2"/>
  <c r="N13" i="2"/>
  <c r="O13" i="2"/>
  <c r="N21" i="2"/>
  <c r="O21" i="2"/>
  <c r="N22" i="2"/>
  <c r="O22" i="2"/>
  <c r="N7" i="2"/>
  <c r="O7" i="2"/>
  <c r="N14" i="2"/>
  <c r="O14" i="2"/>
  <c r="N15" i="2"/>
  <c r="O15" i="2"/>
  <c r="N23" i="2"/>
  <c r="O23" i="2"/>
  <c r="N24" i="2"/>
  <c r="O24" i="2"/>
  <c r="N8" i="2"/>
  <c r="O8" i="2"/>
  <c r="N16" i="2"/>
  <c r="O16" i="2"/>
  <c r="N17" i="2"/>
  <c r="O17" i="2"/>
  <c r="N25" i="2"/>
  <c r="O25" i="2"/>
  <c r="N26" i="2"/>
  <c r="O26" i="2"/>
  <c r="N27" i="2"/>
  <c r="O27" i="2"/>
  <c r="N28" i="2"/>
  <c r="O28" i="2"/>
  <c r="N29" i="2"/>
  <c r="O29" i="2"/>
  <c r="N30" i="2"/>
  <c r="O30" i="2"/>
  <c r="N33" i="2"/>
  <c r="O33" i="2"/>
  <c r="N34" i="2"/>
  <c r="O34" i="2"/>
  <c r="N31" i="2"/>
  <c r="O31" i="2"/>
  <c r="N32" i="2"/>
  <c r="O32" i="2"/>
  <c r="I47" i="9"/>
  <c r="I47" i="10"/>
  <c r="I56" i="9"/>
  <c r="C15" i="8"/>
  <c r="I56" i="10"/>
  <c r="D15" i="8"/>
  <c r="N60" i="2"/>
  <c r="O60" i="2"/>
  <c r="AD6" i="2"/>
  <c r="AD5" i="2"/>
  <c r="AD4" i="2"/>
  <c r="H174" i="2"/>
  <c r="O63" i="2"/>
  <c r="N63" i="2"/>
  <c r="H63" i="2"/>
  <c r="O107" i="2"/>
  <c r="N107" i="2"/>
  <c r="H107" i="2"/>
  <c r="O58" i="2"/>
  <c r="N58" i="2"/>
  <c r="H58" i="2"/>
  <c r="O102" i="2"/>
  <c r="N102" i="2"/>
  <c r="H102" i="2"/>
  <c r="AD27" i="2"/>
  <c r="AD26" i="2"/>
  <c r="AD25" i="2"/>
  <c r="AD24" i="2"/>
  <c r="AD23" i="2"/>
  <c r="AD13" i="2"/>
  <c r="AD20" i="2"/>
  <c r="O62" i="2"/>
  <c r="N62" i="2"/>
  <c r="O54" i="2"/>
  <c r="H54" i="2"/>
  <c r="O49" i="2"/>
  <c r="N49" i="2"/>
  <c r="O106" i="2"/>
  <c r="N106" i="2"/>
  <c r="O99" i="2"/>
  <c r="N99" i="2"/>
  <c r="N54" i="2"/>
  <c r="O94" i="2"/>
  <c r="N94" i="2"/>
  <c r="O126" i="2"/>
  <c r="N126" i="2"/>
  <c r="O71" i="2"/>
  <c r="N71" i="2"/>
  <c r="O174" i="2"/>
  <c r="N174" i="2"/>
  <c r="H157" i="2"/>
  <c r="O53" i="2"/>
  <c r="O45" i="2"/>
  <c r="O44" i="2"/>
  <c r="N44" i="2"/>
  <c r="H44" i="2"/>
  <c r="O70" i="2"/>
  <c r="N70" i="2"/>
  <c r="H70" i="2"/>
  <c r="O52" i="2"/>
  <c r="N52" i="2"/>
  <c r="H52" i="2"/>
  <c r="O96" i="2"/>
  <c r="N96" i="2"/>
  <c r="H96" i="2"/>
  <c r="H53" i="2"/>
  <c r="H45" i="2"/>
  <c r="O108" i="2"/>
  <c r="H108" i="2"/>
  <c r="O89" i="2"/>
  <c r="H89" i="2"/>
  <c r="N67" i="2"/>
  <c r="H67" i="2"/>
  <c r="O120" i="2"/>
  <c r="N120" i="2"/>
  <c r="H115" i="2"/>
  <c r="O91" i="2"/>
  <c r="N91" i="2"/>
  <c r="H91" i="2"/>
  <c r="H69" i="2"/>
  <c r="O72" i="2"/>
  <c r="N72" i="2"/>
  <c r="H72" i="2"/>
  <c r="O69" i="2"/>
  <c r="N69" i="2"/>
  <c r="O83" i="2"/>
  <c r="N83" i="2"/>
  <c r="O43" i="2"/>
  <c r="N43" i="2"/>
  <c r="N86" i="2"/>
  <c r="O86" i="2"/>
  <c r="O50" i="2"/>
  <c r="O59" i="2"/>
  <c r="O65" i="2"/>
  <c r="N50" i="2"/>
  <c r="N59" i="2"/>
  <c r="N65" i="2"/>
  <c r="O119" i="2"/>
  <c r="N119" i="2"/>
  <c r="O122" i="2"/>
  <c r="N122" i="2"/>
  <c r="O127" i="2"/>
  <c r="N127" i="2"/>
  <c r="O140" i="2"/>
  <c r="N140" i="2"/>
  <c r="O138" i="2"/>
  <c r="N138" i="2"/>
  <c r="O125" i="2"/>
  <c r="N125" i="2"/>
  <c r="O124" i="2"/>
  <c r="N124" i="2"/>
  <c r="O123" i="2"/>
  <c r="N123" i="2"/>
  <c r="AD9" i="2"/>
  <c r="AD10" i="2"/>
  <c r="AD11" i="2"/>
  <c r="AD12" i="2"/>
  <c r="AD14" i="2"/>
  <c r="AD15" i="2"/>
  <c r="AD17" i="2"/>
  <c r="AD19" i="2"/>
  <c r="AD8" i="2"/>
  <c r="O121" i="2"/>
  <c r="N121" i="2"/>
  <c r="O118" i="2"/>
  <c r="N118" i="2"/>
  <c r="O117" i="2"/>
  <c r="N117" i="2"/>
  <c r="O116" i="2"/>
  <c r="N116" i="2"/>
  <c r="O112" i="2"/>
  <c r="N112" i="2"/>
  <c r="O110" i="2"/>
  <c r="N110" i="2"/>
  <c r="O105" i="2"/>
  <c r="N105" i="2"/>
  <c r="O104" i="2"/>
  <c r="N104" i="2"/>
  <c r="O103" i="2"/>
  <c r="N103" i="2"/>
  <c r="O100" i="2"/>
  <c r="N100" i="2"/>
  <c r="O101" i="2"/>
  <c r="N101" i="2"/>
  <c r="O98" i="2"/>
  <c r="N98" i="2"/>
  <c r="O97" i="2"/>
  <c r="N97" i="2"/>
  <c r="O95" i="2"/>
  <c r="N95" i="2"/>
  <c r="O114" i="2"/>
  <c r="N114" i="2"/>
  <c r="O93" i="2"/>
  <c r="N93" i="2"/>
  <c r="O92" i="2"/>
  <c r="N92" i="2"/>
  <c r="O90" i="2"/>
  <c r="N90" i="2"/>
  <c r="O88" i="2"/>
  <c r="N88" i="2"/>
  <c r="O85" i="2"/>
  <c r="N85" i="2"/>
  <c r="O84" i="2"/>
  <c r="N84" i="2"/>
  <c r="O82" i="2"/>
  <c r="N82" i="2"/>
  <c r="O109" i="2"/>
  <c r="N109" i="2"/>
  <c r="O81" i="2"/>
  <c r="N81" i="2"/>
  <c r="O80" i="2"/>
  <c r="N80" i="2"/>
  <c r="O79" i="2"/>
  <c r="N79" i="2"/>
  <c r="O78" i="2"/>
  <c r="N78" i="2"/>
  <c r="O77" i="2"/>
  <c r="N77" i="2"/>
  <c r="O76" i="2"/>
  <c r="N76" i="2"/>
  <c r="O75" i="2"/>
  <c r="N75" i="2"/>
  <c r="O74" i="2"/>
  <c r="N74" i="2"/>
  <c r="O73" i="2"/>
  <c r="N73" i="2"/>
  <c r="O66" i="2"/>
  <c r="N66" i="2"/>
  <c r="O64" i="2"/>
  <c r="N64" i="2"/>
  <c r="O61" i="2"/>
  <c r="N61" i="2"/>
  <c r="O57" i="2"/>
  <c r="N57" i="2"/>
  <c r="O56" i="2"/>
  <c r="N56" i="2"/>
  <c r="O55" i="2"/>
  <c r="N55" i="2"/>
  <c r="O51" i="2"/>
  <c r="N51" i="2"/>
  <c r="O48" i="2"/>
  <c r="N48" i="2"/>
  <c r="O47" i="2"/>
  <c r="N47" i="2"/>
  <c r="O46" i="2"/>
  <c r="N46" i="2"/>
  <c r="N45" i="2"/>
  <c r="N108" i="2"/>
  <c r="O67" i="2"/>
  <c r="N53" i="2"/>
  <c r="N89" i="2"/>
  <c r="J4" i="3"/>
  <c r="I35" i="3"/>
  <c r="I47" i="3"/>
  <c r="I50" i="3"/>
  <c r="I56" i="3"/>
  <c r="B15" i="8"/>
  <c r="D16" i="8"/>
  <c r="C16" i="8"/>
  <c r="B16" i="8"/>
</calcChain>
</file>

<file path=xl/sharedStrings.xml><?xml version="1.0" encoding="utf-8"?>
<sst xmlns="http://schemas.openxmlformats.org/spreadsheetml/2006/main" count="2645" uniqueCount="451">
  <si>
    <t>Demande de soutien aux équipements de la chaîne du froid pour le COVAX</t>
  </si>
  <si>
    <t xml:space="preserve">Pays </t>
  </si>
  <si>
    <t>Liens vers les feuilles de calcul dans ce dossier</t>
  </si>
  <si>
    <t>Résumé des options d'ECF</t>
  </si>
  <si>
    <t>Option A_Choix du modèle d'ECF</t>
  </si>
  <si>
    <t>Option B_Choix du modèle d'ECF</t>
  </si>
  <si>
    <t>Option C_Choix du modèle d'ECF</t>
  </si>
  <si>
    <t>Modèle de liste de prix spécifique d'ECF.</t>
  </si>
  <si>
    <t xml:space="preserve">Inserer le nom du pays </t>
  </si>
  <si>
    <r>
      <rPr>
        <sz val="11"/>
        <color theme="1"/>
        <rFont val="Calibri"/>
        <family val="2"/>
        <scheme val="minor"/>
      </rPr>
      <t>1.</t>
    </r>
    <r>
      <rPr>
        <sz val="11"/>
        <color theme="1"/>
        <rFont val="Calibri"/>
        <family val="2"/>
        <scheme val="minor"/>
      </rPr>
      <t xml:space="preserve"> </t>
    </r>
    <r>
      <rPr>
        <sz val="11"/>
        <color theme="1"/>
        <rFont val="Calibri"/>
        <family val="2"/>
        <scheme val="minor"/>
      </rPr>
      <t>Ce modèle doit être rempli par TOUS les pays qui sollicitent le soutien aux équipements de la chaîne du froid pour le COVAX.</t>
    </r>
    <r>
      <rPr>
        <sz val="11"/>
        <color theme="1"/>
        <rFont val="Calibri"/>
        <family val="2"/>
        <scheme val="minor"/>
      </rPr>
      <t xml:space="preserve"> </t>
    </r>
    <r>
      <rPr>
        <b/>
        <sz val="11"/>
        <color rgb="FF000000"/>
        <rFont val="Calibri"/>
        <family val="2"/>
        <scheme val="minor"/>
      </rPr>
      <t>Les 3 feuilles de choix du modèle d'ECF doivent être remplies pour que la demande soit prise en considération.</t>
    </r>
  </si>
  <si>
    <r>
      <rPr>
        <sz val="11"/>
        <color theme="1"/>
        <rFont val="Calibri"/>
        <family val="2"/>
        <scheme val="minor"/>
      </rPr>
      <t>2.</t>
    </r>
    <r>
      <rPr>
        <sz val="11"/>
        <color theme="1"/>
        <rFont val="Calibri"/>
        <family val="2"/>
        <scheme val="minor"/>
      </rPr>
      <t xml:space="preserve"> </t>
    </r>
    <r>
      <rPr>
        <sz val="11"/>
        <color theme="1"/>
        <rFont val="Calibri"/>
        <family val="2"/>
        <scheme val="minor"/>
      </rPr>
      <t>La feuille de calcul « liste des prix des modèles d'ECF spécifiés" offre une vue d'ensemble de la budgétisation des prix par type d'équipements :</t>
    </r>
    <r>
      <rPr>
        <sz val="11"/>
        <color theme="1"/>
        <rFont val="Calibri"/>
        <family val="2"/>
        <scheme val="minor"/>
      </rPr>
      <t xml:space="preserve"> </t>
    </r>
    <r>
      <rPr>
        <b/>
        <sz val="11"/>
        <color theme="1"/>
        <rFont val="Calibri"/>
        <family val="2"/>
        <scheme val="minor"/>
      </rPr>
      <t>"Prix unitaire indicatif des équipements PQS" + "Estimation des services groupés"</t>
    </r>
    <r>
      <rPr>
        <sz val="11"/>
        <color theme="1"/>
        <rFont val="Calibri"/>
        <family val="2"/>
        <scheme val="minor"/>
      </rPr>
      <t xml:space="preserve"> </t>
    </r>
    <r>
      <rPr>
        <sz val="11"/>
        <color theme="1"/>
        <rFont val="Calibri"/>
        <family val="2"/>
        <scheme val="minor"/>
      </rPr>
      <t>Les candidats ne sont PAS tenus de remplir cette feuille.</t>
    </r>
  </si>
  <si>
    <r>
      <rPr>
        <sz val="11"/>
        <color theme="1"/>
        <rFont val="Calibri"/>
        <family val="2"/>
        <scheme val="minor"/>
      </rPr>
      <t xml:space="preserve">          </t>
    </r>
    <r>
      <rPr>
        <sz val="11"/>
        <color theme="1"/>
        <rFont val="Calibri"/>
        <family val="2"/>
        <scheme val="minor"/>
      </rPr>
      <t>a) À des fins de planification budgétaire, les estimations des ensembles de services sont :</t>
    </r>
    <r>
      <rPr>
        <sz val="11"/>
        <color theme="1"/>
        <rFont val="Calibri"/>
        <family val="2"/>
        <scheme val="minor"/>
      </rPr>
      <t xml:space="preserve"> 
                        </t>
    </r>
    <r>
      <rPr>
        <sz val="11"/>
        <color theme="1"/>
        <rFont val="Calibri"/>
        <family val="2"/>
        <scheme val="minor"/>
      </rPr>
      <t>Pour les</t>
    </r>
    <r>
      <rPr>
        <b/>
        <sz val="11"/>
        <color theme="1"/>
        <rFont val="Calibri"/>
        <family val="2"/>
        <scheme val="minor"/>
      </rPr>
      <t xml:space="preserve"> chambres froides de plain-pied</t>
    </r>
    <r>
      <rPr>
        <sz val="11"/>
        <color theme="1"/>
        <rFont val="Calibri"/>
        <family val="2"/>
        <scheme val="minor"/>
      </rPr>
      <t>:</t>
    </r>
    <r>
      <rPr>
        <sz val="11"/>
        <color theme="1"/>
        <rFont val="Calibri"/>
        <family val="2"/>
        <scheme val="minor"/>
      </rPr>
      <t xml:space="preserve"> </t>
    </r>
    <r>
      <rPr>
        <sz val="11"/>
        <color theme="1"/>
        <rFont val="Calibri"/>
        <family val="2"/>
        <scheme val="minor"/>
      </rPr>
      <t xml:space="preserve">11 000-15 000 USD (10 cbm); 16 500-23 000 USD (30cbm), 18 500-26 000 USD (40cbm)
                            </t>
    </r>
    <r>
      <rPr>
        <b/>
        <sz val="11"/>
        <color theme="1"/>
        <rFont val="Calibri"/>
        <family val="2"/>
        <scheme val="minor"/>
      </rPr>
      <t xml:space="preserve"> Chambres froides de plain pied et chambres de congélation à double entrée</t>
    </r>
    <r>
      <rPr>
        <sz val="11"/>
        <color theme="1"/>
        <rFont val="Calibri"/>
        <family val="2"/>
        <scheme val="minor"/>
      </rPr>
      <t xml:space="preserve"> </t>
    </r>
    <r>
      <rPr>
        <sz val="11"/>
        <color theme="1"/>
        <rFont val="Calibri"/>
        <family val="2"/>
        <scheme val="minor"/>
      </rPr>
      <t xml:space="preserve">26 000-38 000 USD (25 cbm WIC/15 cbm WIF) 
                               </t>
    </r>
    <r>
      <rPr>
        <b/>
        <sz val="11"/>
        <color theme="1"/>
        <rFont val="Calibri"/>
        <family val="2"/>
        <scheme val="minor"/>
      </rPr>
      <t>Équipement sur le réseau:</t>
    </r>
    <r>
      <rPr>
        <b/>
        <sz val="11"/>
        <color theme="1"/>
        <rFont val="Calibri"/>
        <family val="2"/>
        <scheme val="minor"/>
      </rPr>
      <t xml:space="preserve"> </t>
    </r>
    <r>
      <rPr>
        <sz val="11"/>
        <color theme="1"/>
        <rFont val="Calibri"/>
        <family val="2"/>
        <scheme val="minor"/>
      </rPr>
      <t xml:space="preserve">400-1 350 USD, 
										</t>
    </r>
    <r>
      <rPr>
        <b/>
        <sz val="11"/>
        <color theme="1"/>
        <rFont val="Calibri"/>
        <family val="2"/>
        <scheme val="minor"/>
      </rPr>
      <t>Equipements hors réseau:</t>
    </r>
    <r>
      <rPr>
        <b/>
        <sz val="11"/>
        <color theme="1"/>
        <rFont val="Calibri"/>
        <family val="2"/>
        <scheme val="minor"/>
      </rPr>
      <t xml:space="preserve"> </t>
    </r>
    <r>
      <rPr>
        <b/>
        <sz val="11"/>
        <color theme="1"/>
        <rFont val="Calibri"/>
        <family val="2"/>
        <scheme val="minor"/>
      </rPr>
      <t>650-2 150 USD (panneaux montés au sol), 1 300-4 000 USD (panneaux montés sur poteau) 
                               Dispositifs de surveillance à distance de la température</t>
    </r>
    <r>
      <rPr>
        <sz val="11"/>
        <color theme="1"/>
        <rFont val="Calibri"/>
        <family val="2"/>
        <scheme val="minor"/>
      </rPr>
      <t>:</t>
    </r>
    <r>
      <rPr>
        <b/>
        <sz val="11"/>
        <color theme="1"/>
        <rFont val="Calibri"/>
        <family val="2"/>
        <scheme val="minor"/>
      </rPr>
      <t xml:space="preserve"> </t>
    </r>
    <r>
      <rPr>
        <b/>
        <sz val="11"/>
        <color theme="1"/>
        <rFont val="Calibri"/>
        <family val="2"/>
        <scheme val="minor"/>
      </rPr>
      <t>200-400 USD</t>
    </r>
  </si>
  <si>
    <r>
      <rPr>
        <sz val="11"/>
        <color theme="1"/>
        <rFont val="Calibri"/>
        <family val="2"/>
        <scheme val="minor"/>
      </rPr>
      <t xml:space="preserve">          </t>
    </r>
    <r>
      <rPr>
        <sz val="11"/>
        <color theme="1"/>
        <rFont val="Calibri"/>
        <family val="2"/>
        <scheme val="minor"/>
      </rPr>
      <t xml:space="preserve">c) Les pays devraient planifier leurs budgets en fonction des </t>
    </r>
    <r>
      <rPr>
        <b/>
        <sz val="11"/>
        <color theme="1"/>
        <rFont val="Calibri"/>
        <family val="2"/>
        <scheme val="minor"/>
      </rPr>
      <t>estimations de la limite inférieure</t>
    </r>
    <r>
      <rPr>
        <sz val="11"/>
        <color theme="1"/>
        <rFont val="Calibri"/>
        <family val="2"/>
        <scheme val="minor"/>
      </rPr>
      <t xml:space="preserve"> des services groupés (par exemple 400 USD pour les équipements en réseau) pour les équipements de la chaîne du froid à installer dans les établissements de santé dont les coûts de transport dans le pays sont faibles (par exemple, temps de déplacement courts, infrastructure de haute qualité), des </t>
    </r>
    <r>
      <rPr>
        <b/>
        <sz val="11"/>
        <color theme="1"/>
        <rFont val="Calibri"/>
        <family val="2"/>
        <scheme val="minor"/>
      </rPr>
      <t>estimations de la limite supérieure</t>
    </r>
    <r>
      <rPr>
        <sz val="11"/>
        <color theme="1"/>
        <rFont val="Calibri"/>
        <family val="2"/>
        <scheme val="minor"/>
      </rPr>
      <t xml:space="preserve"> (par exemple, 2 150 USD pour les équipements hors réseau) pour les équipements de la chaîne du froid à installer dans les établissements de santé dont les coûts de transport dans le pays sont élevés (par exemple, temps de déplacement longs, infrastructure de basse qualité) et des </t>
    </r>
    <r>
      <rPr>
        <b/>
        <sz val="11"/>
        <color theme="1"/>
        <rFont val="Calibri"/>
        <family val="2"/>
        <scheme val="minor"/>
      </rPr>
      <t>estimations intermédiaires</t>
    </r>
    <r>
      <rPr>
        <sz val="11"/>
        <color theme="1"/>
        <rFont val="Calibri"/>
        <family val="2"/>
        <scheme val="minor"/>
      </rPr>
      <t>, le cas échéant.</t>
    </r>
    <r>
      <rPr>
        <sz val="11"/>
        <color theme="1"/>
        <rFont val="Calibri"/>
        <family val="2"/>
        <scheme val="minor"/>
      </rPr>
      <t xml:space="preserve"> </t>
    </r>
    <r>
      <rPr>
        <sz val="11"/>
        <color theme="1"/>
        <rFont val="Calibri"/>
        <family val="2"/>
        <scheme val="minor"/>
      </rPr>
      <t>Les petites quantités commandées peuvent nécessiter des budgets se rapprochant des limites supérieures.</t>
    </r>
  </si>
  <si>
    <r>
      <rPr>
        <sz val="11"/>
        <color theme="1"/>
        <rFont val="Calibri"/>
        <family val="2"/>
        <scheme val="minor"/>
      </rPr>
      <t>3.</t>
    </r>
    <r>
      <rPr>
        <sz val="11"/>
        <color theme="1"/>
        <rFont val="Calibri"/>
        <family val="2"/>
        <scheme val="minor"/>
      </rPr>
      <t xml:space="preserve"> </t>
    </r>
    <r>
      <rPr>
        <sz val="11"/>
        <color theme="1"/>
        <rFont val="Calibri"/>
        <family val="2"/>
        <scheme val="minor"/>
      </rPr>
      <t>La feuille de calcul du "</t>
    </r>
    <r>
      <rPr>
        <b/>
        <sz val="11"/>
        <color theme="1"/>
        <rFont val="Calibri"/>
        <family val="2"/>
        <scheme val="minor"/>
      </rPr>
      <t>Choix du modèle d'ECF A/B/C</t>
    </r>
    <r>
      <rPr>
        <sz val="11"/>
        <color theme="1"/>
        <rFont val="Calibri"/>
        <family val="2"/>
        <scheme val="minor"/>
      </rPr>
      <t>" doit être utilisée pour dresser le budget de (du total des) ECF demandés.</t>
    </r>
    <r>
      <rPr>
        <sz val="11"/>
        <color theme="1"/>
        <rFont val="Calibri"/>
        <family val="2"/>
        <scheme val="minor"/>
      </rPr>
      <t xml:space="preserve"> </t>
    </r>
    <r>
      <rPr>
        <sz val="11"/>
        <color theme="1"/>
        <rFont val="Calibri"/>
        <family val="2"/>
        <scheme val="minor"/>
      </rPr>
      <t xml:space="preserve">Il est </t>
    </r>
    <r>
      <rPr>
        <b/>
        <sz val="11"/>
        <color theme="1"/>
        <rFont val="Calibri"/>
        <family val="2"/>
        <scheme val="minor"/>
      </rPr>
      <t>obligatoire de dresser les 3 options/budgets</t>
    </r>
    <r>
      <rPr>
        <sz val="11"/>
        <color theme="1"/>
        <rFont val="Calibri"/>
        <family val="2"/>
        <scheme val="minor"/>
      </rPr>
      <t xml:space="preserve"> et de</t>
    </r>
    <r>
      <rPr>
        <b/>
        <sz val="11"/>
        <color theme="1"/>
        <rFont val="Calibri"/>
        <family val="2"/>
        <scheme val="minor"/>
      </rPr>
      <t xml:space="preserve"> refléter 3 choix de marques différentes (sauf s'il n'y a pas trois marques disponibles, par exemple pour les glacières hors-gel)</t>
    </r>
    <r>
      <rPr>
        <sz val="11"/>
        <color theme="1"/>
        <rFont val="Calibri"/>
        <family val="2"/>
        <scheme val="minor"/>
      </rPr>
      <t>.</t>
    </r>
    <r>
      <rPr>
        <b/>
        <sz val="11"/>
        <color theme="1"/>
        <rFont val="Calibri"/>
        <family val="2"/>
        <scheme val="minor"/>
      </rPr>
      <t xml:space="preserve"> </t>
    </r>
    <r>
      <rPr>
        <sz val="11"/>
        <color theme="1"/>
        <rFont val="Calibri"/>
        <family val="2"/>
        <scheme val="minor"/>
      </rPr>
      <t xml:space="preserve">
</t>
    </r>
    <r>
      <rPr>
        <sz val="11"/>
        <color theme="1"/>
        <rFont val="Calibri"/>
        <family val="2"/>
        <scheme val="minor"/>
      </rPr>
      <t>Pour chaque catégorie de produits et chaque taille d'équipement (si vous sélectionnez plusieurs options de différentes tailles de volume dans une catégorie de produits, par exemple un grand IRL et un petit ILR), le nombre d'unités doit être le même dans les trois fiches budgétaires.</t>
    </r>
    <r>
      <rPr>
        <sz val="11"/>
        <color theme="1"/>
        <rFont val="Calibri"/>
        <family val="2"/>
        <scheme val="minor"/>
      </rPr>
      <t xml:space="preserve"> </t>
    </r>
    <r>
      <rPr>
        <sz val="11"/>
        <color theme="1"/>
        <rFont val="Calibri"/>
        <family val="2"/>
        <scheme val="minor"/>
      </rPr>
      <t>Par exemple, si vous avez besoin de 100 unités d'IRL 120L, chaque option budgétaire doit refléter la même quantité pour les différentes marques.</t>
    </r>
  </si>
  <si>
    <r>
      <rPr>
        <sz val="11"/>
        <color theme="1"/>
        <rFont val="Calibri"/>
        <family val="2"/>
        <scheme val="minor"/>
      </rPr>
      <t>ACTION DU PAYS -&gt; Dans cette feuille, les pays doivent:</t>
    </r>
  </si>
  <si>
    <r>
      <rPr>
        <i/>
        <sz val="11"/>
        <color theme="1"/>
        <rFont val="Calibri"/>
        <family val="2"/>
        <scheme val="minor"/>
      </rPr>
      <t xml:space="preserve">            </t>
    </r>
    <r>
      <rPr>
        <i/>
        <sz val="11"/>
        <color theme="1"/>
        <rFont val="Calibri"/>
        <family val="2"/>
        <scheme val="minor"/>
      </rPr>
      <t>a) Sélectionner le "</t>
    </r>
    <r>
      <rPr>
        <b/>
        <i/>
        <sz val="11"/>
        <color theme="1"/>
        <rFont val="Calibri"/>
        <family val="2"/>
        <scheme val="minor"/>
      </rPr>
      <t>modèle</t>
    </r>
    <r>
      <rPr>
        <i/>
        <sz val="11"/>
        <color theme="1"/>
        <rFont val="Calibri"/>
        <family val="2"/>
        <scheme val="minor"/>
      </rPr>
      <t>" parmi la liste des types d'équipements.</t>
    </r>
    <r>
      <rPr>
        <i/>
        <sz val="11"/>
        <color rgb="FF000000"/>
        <rFont val="Calibri"/>
        <family val="2"/>
        <scheme val="minor"/>
      </rPr>
      <t xml:space="preserve"> </t>
    </r>
  </si>
  <si>
    <r>
      <rPr>
        <i/>
        <sz val="11"/>
        <color theme="1"/>
        <rFont val="Calibri"/>
        <family val="2"/>
        <scheme val="minor"/>
      </rPr>
      <t xml:space="preserve">            </t>
    </r>
    <r>
      <rPr>
        <i/>
        <sz val="11"/>
        <color theme="1"/>
        <rFont val="Calibri"/>
        <family val="2"/>
        <scheme val="minor"/>
      </rPr>
      <t>b) Renseigner le "</t>
    </r>
    <r>
      <rPr>
        <b/>
        <i/>
        <sz val="11"/>
        <color theme="1"/>
        <rFont val="Calibri"/>
        <family val="2"/>
        <scheme val="minor"/>
      </rPr>
      <t>Coût indicatif des services groupés</t>
    </r>
    <r>
      <rPr>
        <i/>
        <sz val="11"/>
        <color theme="1"/>
        <rFont val="Calibri"/>
        <family val="2"/>
        <scheme val="minor"/>
      </rPr>
      <t>" ainsi que le "</t>
    </r>
    <r>
      <rPr>
        <b/>
        <i/>
        <sz val="11"/>
        <color theme="1"/>
        <rFont val="Calibri"/>
        <family val="2"/>
        <scheme val="minor"/>
      </rPr>
      <t>Nombre d'équipement</t>
    </r>
    <r>
      <rPr>
        <i/>
        <sz val="11"/>
        <color theme="1"/>
        <rFont val="Calibri"/>
        <family val="2"/>
        <scheme val="minor"/>
      </rPr>
      <t>s" demandés</t>
    </r>
    <r>
      <rPr>
        <i/>
        <sz val="11"/>
        <color rgb="FF000000"/>
        <rFont val="Calibri"/>
        <family val="2"/>
        <scheme val="minor"/>
      </rPr>
      <t xml:space="preserve"> </t>
    </r>
  </si>
  <si>
    <r>
      <rPr>
        <sz val="11"/>
        <color theme="1"/>
        <rFont val="Calibri"/>
        <family val="2"/>
        <scheme val="minor"/>
      </rPr>
      <t>Les indications "</t>
    </r>
    <r>
      <rPr>
        <b/>
        <sz val="11"/>
        <color theme="1"/>
        <rFont val="Calibri"/>
        <family val="2"/>
        <scheme val="minor"/>
      </rPr>
      <t>marque</t>
    </r>
    <r>
      <rPr>
        <sz val="11"/>
        <color theme="1"/>
        <rFont val="Calibri"/>
        <family val="2"/>
        <scheme val="minor"/>
      </rPr>
      <t>", "</t>
    </r>
    <r>
      <rPr>
        <b/>
        <sz val="11"/>
        <color theme="1"/>
        <rFont val="Calibri"/>
        <family val="2"/>
        <scheme val="minor"/>
      </rPr>
      <t>capacité en matière de stockage des vaccins</t>
    </r>
    <r>
      <rPr>
        <sz val="11"/>
        <color theme="1"/>
        <rFont val="Calibri"/>
        <family val="2"/>
        <scheme val="minor"/>
      </rPr>
      <t>",  "</t>
    </r>
    <r>
      <rPr>
        <b/>
        <sz val="11"/>
        <color theme="1"/>
        <rFont val="Calibri"/>
        <family val="2"/>
        <scheme val="minor"/>
      </rPr>
      <t>capacité brute de congélation</t>
    </r>
    <r>
      <rPr>
        <sz val="11"/>
        <color theme="1"/>
        <rFont val="Calibri"/>
        <family val="2"/>
        <scheme val="minor"/>
      </rPr>
      <t>" et "</t>
    </r>
    <r>
      <rPr>
        <b/>
        <sz val="11"/>
        <color theme="1"/>
        <rFont val="Calibri"/>
        <family val="2"/>
        <scheme val="minor"/>
      </rPr>
      <t>prix unitaire indicatif du PQS</t>
    </r>
    <r>
      <rPr>
        <sz val="11"/>
        <color theme="1"/>
        <rFont val="Calibri"/>
        <family val="2"/>
        <scheme val="minor"/>
      </rPr>
      <t>" seront automatiquement remplis à partir de la feuille de calcul des "liste des prix des modèles d'ECF".</t>
    </r>
    <r>
      <rPr>
        <sz val="11"/>
        <color theme="1"/>
        <rFont val="Calibri"/>
        <family val="2"/>
        <scheme val="minor"/>
      </rPr>
      <t xml:space="preserve">  </t>
    </r>
  </si>
  <si>
    <r>
      <rPr>
        <sz val="11"/>
        <color theme="1"/>
        <rFont val="Calibri"/>
        <family val="2"/>
        <scheme val="minor"/>
      </rPr>
      <t xml:space="preserve">- Les pays doivent </t>
    </r>
    <r>
      <rPr>
        <b/>
        <sz val="11"/>
        <color theme="1"/>
        <rFont val="Calibri"/>
        <family val="2"/>
        <scheme val="minor"/>
      </rPr>
      <t>demander spécifiquement 30 DTR ou RTMD et/ou régulateurs de tension</t>
    </r>
    <r>
      <rPr>
        <sz val="11"/>
        <color theme="1"/>
        <rFont val="Calibri"/>
        <family val="2"/>
        <scheme val="minor"/>
      </rPr>
      <t xml:space="preserve"> dans les rubriques du modèle s'ils sont </t>
    </r>
    <r>
      <rPr>
        <b/>
        <sz val="11"/>
        <color theme="1"/>
        <rFont val="Calibri"/>
        <family val="2"/>
        <scheme val="minor"/>
      </rPr>
      <t>achetés pour des équipements existants (dans le pays)</t>
    </r>
    <r>
      <rPr>
        <sz val="11"/>
        <color theme="1"/>
        <rFont val="Calibri"/>
        <family val="2"/>
        <scheme val="minor"/>
      </rPr>
      <t xml:space="preserve"> ou (le cas échéant) uniquement </t>
    </r>
    <r>
      <rPr>
        <b/>
        <sz val="11"/>
        <color theme="1"/>
        <rFont val="Calibri"/>
        <family val="2"/>
        <scheme val="minor"/>
      </rPr>
      <t>pour les unités où ils prévoient de stocker des vaccins contre la Covid.</t>
    </r>
    <r>
      <rPr>
        <b/>
        <sz val="11"/>
        <color rgb="FF000000"/>
        <rFont val="Calibri"/>
        <family val="2"/>
        <scheme val="minor"/>
      </rPr>
      <t xml:space="preserve"> </t>
    </r>
  </si>
  <si>
    <r>
      <rPr>
        <sz val="11"/>
        <color rgb="FF000000"/>
        <rFont val="Calibri"/>
        <family val="2"/>
        <scheme val="minor"/>
      </rPr>
      <t xml:space="preserve">- Le mécanisme de financement soutiendra l'achat de </t>
    </r>
    <r>
      <rPr>
        <b/>
        <sz val="11"/>
        <color rgb="FF000000"/>
        <rFont val="Calibri"/>
        <family val="2"/>
        <scheme val="minor"/>
      </rPr>
      <t>pièces de rechange pour les ECF nouvellement achetés.</t>
    </r>
    <r>
      <rPr>
        <sz val="11"/>
        <color rgb="FF000000"/>
        <rFont val="Calibri"/>
        <family val="2"/>
        <scheme val="minor"/>
      </rPr>
      <t xml:space="preserve"> </t>
    </r>
    <r>
      <rPr>
        <sz val="11"/>
        <color rgb="FF000000"/>
        <rFont val="Calibri"/>
        <family val="2"/>
        <scheme val="minor"/>
      </rPr>
      <t>Les prix des pièces de rechange figurent sur le catalogue d'approvisionnement de l'UNICEF</t>
    </r>
  </si>
  <si>
    <t>Voir le lien vers le catalogue de l'UNICEF pour le prix des pièces de rechange</t>
  </si>
  <si>
    <r>
      <rPr>
        <sz val="11"/>
        <color theme="1"/>
        <rFont val="Calibri"/>
        <family val="2"/>
        <scheme val="minor"/>
      </rPr>
      <t xml:space="preserve">- Un </t>
    </r>
    <r>
      <rPr>
        <b/>
        <sz val="11"/>
        <color theme="1"/>
        <rFont val="Calibri"/>
        <family val="2"/>
        <scheme val="minor"/>
      </rPr>
      <t>forfait de 6% additionnel sur le coût total des équipements</t>
    </r>
    <r>
      <rPr>
        <sz val="11"/>
        <color theme="1"/>
        <rFont val="Calibri"/>
        <family val="2"/>
        <scheme val="minor"/>
      </rPr>
      <t xml:space="preserve"> a été intégré dans le </t>
    </r>
    <r>
      <rPr>
        <b/>
        <sz val="11"/>
        <color theme="1"/>
        <rFont val="Calibri"/>
        <family val="2"/>
        <scheme val="minor"/>
      </rPr>
      <t>budget</t>
    </r>
    <r>
      <rPr>
        <sz val="11"/>
        <color theme="1"/>
        <rFont val="Calibri"/>
        <family val="2"/>
        <scheme val="minor"/>
      </rPr>
      <t>.</t>
    </r>
    <r>
      <rPr>
        <sz val="11"/>
        <color theme="1"/>
        <rFont val="Calibri"/>
        <family val="2"/>
        <scheme val="minor"/>
      </rPr>
      <t xml:space="preserve"> </t>
    </r>
    <r>
      <rPr>
        <sz val="11"/>
        <color theme="1"/>
        <rFont val="Calibri"/>
        <family val="2"/>
        <scheme val="minor"/>
      </rPr>
      <t>Ceci couvrira les variations monétaires, les surestaries et les coûts associés.</t>
    </r>
  </si>
  <si>
    <r>
      <rPr>
        <sz val="11"/>
        <color theme="1"/>
        <rFont val="Calibri"/>
        <family val="2"/>
        <scheme val="minor"/>
      </rPr>
      <t xml:space="preserve">- Une </t>
    </r>
    <r>
      <rPr>
        <b/>
        <sz val="11"/>
        <color theme="1"/>
        <rFont val="Calibri"/>
        <family val="2"/>
        <scheme val="minor"/>
      </rPr>
      <t>commission d'achat de 5%</t>
    </r>
    <r>
      <rPr>
        <sz val="11"/>
        <color theme="1"/>
        <rFont val="Calibri"/>
        <family val="2"/>
        <scheme val="minor"/>
      </rPr>
      <t xml:space="preserve"> sera prélevée sur le budget de l'équipement pour couvrir les frais administratifs de l'UNICEF.</t>
    </r>
    <r>
      <rPr>
        <sz val="11"/>
        <color theme="1"/>
        <rFont val="Calibri"/>
        <family val="2"/>
        <scheme val="minor"/>
      </rPr>
      <t xml:space="preserve"> </t>
    </r>
    <r>
      <rPr>
        <sz val="11"/>
        <color theme="1"/>
        <rFont val="Calibri"/>
        <family val="2"/>
        <scheme val="minor"/>
      </rPr>
      <t>Pour les pays qui choisissent la location de chambres froides de plain-pied, un coût de soutien au programme de 8 % sera prélevé sur le budget total de la location.</t>
    </r>
  </si>
  <si>
    <r>
      <rPr>
        <sz val="11"/>
        <color theme="1"/>
        <rFont val="Calibri"/>
        <family val="2"/>
        <scheme val="minor"/>
      </rPr>
      <t>4.</t>
    </r>
    <r>
      <rPr>
        <sz val="11"/>
        <color theme="1"/>
        <rFont val="Calibri"/>
        <family val="2"/>
        <scheme val="minor"/>
      </rPr>
      <t xml:space="preserve"> </t>
    </r>
    <r>
      <rPr>
        <sz val="11"/>
        <color theme="1"/>
        <rFont val="Calibri"/>
        <family val="2"/>
        <scheme val="minor"/>
      </rPr>
      <t>La feuille de calcul "</t>
    </r>
    <r>
      <rPr>
        <b/>
        <sz val="11"/>
        <color theme="1"/>
        <rFont val="Calibri"/>
        <family val="2"/>
        <scheme val="minor"/>
      </rPr>
      <t>Résumé des options d’ECF</t>
    </r>
    <r>
      <rPr>
        <sz val="11"/>
        <color theme="1"/>
        <rFont val="Calibri"/>
        <family val="2"/>
        <scheme val="minor"/>
      </rPr>
      <t>" doit être utilisée pour comparer les budgets totaux des différentes options du modèle d’ECF sélectionné</t>
    </r>
    <r>
      <rPr>
        <sz val="11"/>
        <color theme="1"/>
        <rFont val="Calibri"/>
        <family val="2"/>
        <scheme val="minor"/>
      </rPr>
      <t xml:space="preserve"> </t>
    </r>
  </si>
  <si>
    <r>
      <rPr>
        <sz val="11"/>
        <color theme="1"/>
        <rFont val="Calibri"/>
        <family val="2"/>
        <scheme val="minor"/>
      </rPr>
      <t>Dans cette feuille, la section 1 est remplie automatiquement sur la base des données du pays mentionnées dans la feuille de calcul "</t>
    </r>
    <r>
      <rPr>
        <b/>
        <sz val="11"/>
        <color theme="1"/>
        <rFont val="Calibri"/>
        <family val="2"/>
        <scheme val="minor"/>
      </rPr>
      <t>Choix du modèle d'ECF A/B/C</t>
    </r>
    <r>
      <rPr>
        <sz val="11"/>
        <color theme="1"/>
        <rFont val="Calibri"/>
        <family val="2"/>
        <scheme val="minor"/>
      </rPr>
      <t>".</t>
    </r>
    <r>
      <rPr>
        <sz val="11"/>
        <color theme="1"/>
        <rFont val="Calibri"/>
        <family val="2"/>
        <scheme val="minor"/>
      </rPr>
      <t xml:space="preserve"> </t>
    </r>
  </si>
  <si>
    <r>
      <rPr>
        <sz val="11"/>
        <color theme="1"/>
        <rFont val="Calibri"/>
        <family val="2"/>
        <scheme val="minor"/>
      </rPr>
      <t xml:space="preserve">          </t>
    </r>
    <r>
      <rPr>
        <sz val="11"/>
        <color theme="1"/>
        <rFont val="Calibri"/>
        <family val="2"/>
        <scheme val="minor"/>
      </rPr>
      <t xml:space="preserve">- Le </t>
    </r>
    <r>
      <rPr>
        <b/>
        <sz val="11"/>
        <color theme="1"/>
        <rFont val="Calibri"/>
        <family val="2"/>
        <scheme val="minor"/>
      </rPr>
      <t xml:space="preserve">nombre total d'unités d’ECF à acheter (WICR+ILR+SDD) </t>
    </r>
    <r>
      <rPr>
        <sz val="11"/>
        <color theme="1"/>
        <rFont val="Calibri"/>
        <family val="2"/>
        <scheme val="minor"/>
      </rPr>
      <t>correspond au nombre total d'unités WICR, WIFR, ILR et SDD qui sont achetées dans le cadre des options A, B et C</t>
    </r>
  </si>
  <si>
    <r>
      <rPr>
        <sz val="11"/>
        <color theme="1"/>
        <rFont val="Calibri"/>
        <family val="2"/>
        <scheme val="minor"/>
      </rPr>
      <t xml:space="preserve">- Le </t>
    </r>
    <r>
      <rPr>
        <b/>
        <sz val="11"/>
        <color theme="1"/>
        <rFont val="Calibri"/>
        <family val="2"/>
        <scheme val="minor"/>
      </rPr>
      <t>nombre total de WICR/FR à louer</t>
    </r>
    <r>
      <rPr>
        <sz val="11"/>
        <color theme="1"/>
        <rFont val="Calibri"/>
        <family val="2"/>
        <scheme val="minor"/>
      </rPr>
      <t xml:space="preserve"> correspond au nombre total d'unités WICR proposées pour location à long et à court terme</t>
    </r>
  </si>
  <si>
    <r>
      <rPr>
        <sz val="11"/>
        <color theme="1"/>
        <rFont val="Calibri"/>
        <family val="2"/>
        <scheme val="minor"/>
      </rPr>
      <t xml:space="preserve">- Les </t>
    </r>
    <r>
      <rPr>
        <b/>
        <sz val="11"/>
        <color theme="1"/>
        <rFont val="Calibri"/>
        <family val="2"/>
        <scheme val="minor"/>
      </rPr>
      <t>coûts totaux de location</t>
    </r>
    <r>
      <rPr>
        <sz val="11"/>
        <color theme="1"/>
        <rFont val="Calibri"/>
        <family val="2"/>
        <scheme val="minor"/>
      </rPr>
      <t xml:space="preserve"> correspondent aux coûts totaux de location (y compris les frais de passation de marchés)</t>
    </r>
  </si>
  <si>
    <r>
      <rPr>
        <sz val="11"/>
        <color theme="1"/>
        <rFont val="Calibri"/>
        <family val="2"/>
        <scheme val="minor"/>
      </rPr>
      <t xml:space="preserve"> </t>
    </r>
    <r>
      <rPr>
        <sz val="11"/>
        <color theme="1"/>
        <rFont val="Calibri"/>
        <family val="2"/>
        <scheme val="minor"/>
      </rPr>
      <t xml:space="preserve">- Le </t>
    </r>
    <r>
      <rPr>
        <b/>
        <sz val="11"/>
        <color theme="1"/>
        <rFont val="Calibri"/>
        <family val="2"/>
        <scheme val="minor"/>
      </rPr>
      <t>budget total (Tous les dispositifs)</t>
    </r>
    <r>
      <rPr>
        <sz val="11"/>
        <color theme="1"/>
        <rFont val="Calibri"/>
        <family val="2"/>
        <scheme val="minor"/>
      </rPr>
      <t xml:space="preserve"> correspond au coût total de l'achat d’ECF pour tous les achats de dispositifs (y compris le forfait de 6 %, les frais de transport, les frais de location et les frais d'achat de l'UNICEF) pour chaque option et met en évidence l'option la plus rentable sur une base moyenne en USD/ECF.</t>
    </r>
  </si>
  <si>
    <r>
      <rPr>
        <i/>
        <sz val="11"/>
        <color theme="1"/>
        <rFont val="Calibri"/>
        <family val="2"/>
        <scheme val="minor"/>
      </rPr>
      <t xml:space="preserve">            </t>
    </r>
    <r>
      <rPr>
        <i/>
        <sz val="11"/>
        <color theme="1"/>
        <rFont val="Calibri"/>
        <family val="2"/>
        <scheme val="minor"/>
      </rPr>
      <t xml:space="preserve">a) </t>
    </r>
    <r>
      <rPr>
        <b/>
        <i/>
        <sz val="11"/>
        <color theme="1"/>
        <rFont val="Calibri"/>
        <family val="2"/>
        <scheme val="minor"/>
      </rPr>
      <t>Finaliser</t>
    </r>
    <r>
      <rPr>
        <i/>
        <sz val="11"/>
        <color theme="1"/>
        <rFont val="Calibri"/>
        <family val="2"/>
        <scheme val="minor"/>
      </rPr>
      <t xml:space="preserve"> l'option du modèle d’ECF (cellule E11)</t>
    </r>
  </si>
  <si>
    <r>
      <rPr>
        <i/>
        <sz val="11"/>
        <color theme="1"/>
        <rFont val="Calibri"/>
        <family val="2"/>
        <scheme val="minor"/>
      </rPr>
      <t xml:space="preserve">            </t>
    </r>
    <r>
      <rPr>
        <i/>
        <sz val="11"/>
        <color theme="1"/>
        <rFont val="Calibri"/>
        <family val="2"/>
        <scheme val="minor"/>
      </rPr>
      <t xml:space="preserve">b) </t>
    </r>
    <r>
      <rPr>
        <b/>
        <i/>
        <sz val="11"/>
        <color theme="1"/>
        <rFont val="Calibri"/>
        <family val="2"/>
        <scheme val="minor"/>
      </rPr>
      <t>Expliquer</t>
    </r>
    <r>
      <rPr>
        <i/>
        <sz val="11"/>
        <color theme="1"/>
        <rFont val="Calibri"/>
        <family val="2"/>
        <scheme val="minor"/>
      </rPr>
      <t xml:space="preserve"> les raisons du choix final de l'option du modèle d’ECF (cellule A18)</t>
    </r>
  </si>
  <si>
    <t>Comparaison sommaire des choix de pays</t>
  </si>
  <si>
    <r>
      <rPr>
        <i/>
        <sz val="11"/>
        <color theme="4"/>
        <rFont val="Calibri"/>
        <family val="2"/>
        <scheme val="minor"/>
      </rPr>
      <t>L'objectif de cette feuille est de permettre aux décideurs de comparer les implications financières des options de sélection des ECF inscrites dans les feuilles de sélection des ECF (l'option la plus rentable est mise en évidence en vert).</t>
    </r>
    <r>
      <rPr>
        <i/>
        <sz val="11"/>
        <color theme="4"/>
        <rFont val="Calibri"/>
        <family val="2"/>
        <scheme val="minor"/>
      </rPr>
      <t xml:space="preserve"> </t>
    </r>
    <r>
      <rPr>
        <i/>
        <sz val="11"/>
        <color theme="4"/>
        <rFont val="Calibri"/>
        <family val="2"/>
        <scheme val="minor"/>
      </rPr>
      <t>Les totaux des unités et du coût ( cellules B11-D12) sont automatiquement calculés à partir des données de la feuille de calcul (Choix du modèle d'ECF A/B/C).</t>
    </r>
    <r>
      <rPr>
        <i/>
        <sz val="11"/>
        <color rgb="FFFF0000"/>
        <rFont val="Calibri"/>
        <family val="2"/>
        <scheme val="minor"/>
      </rPr>
      <t xml:space="preserve"> </t>
    </r>
  </si>
  <si>
    <r>
      <rPr>
        <i/>
        <sz val="11"/>
        <color rgb="FFFF0000"/>
        <rFont val="Calibri"/>
        <family val="2"/>
        <scheme val="minor"/>
      </rPr>
      <t>Remarque:</t>
    </r>
    <r>
      <rPr>
        <i/>
        <sz val="11"/>
        <color rgb="FFFF0000"/>
        <rFont val="Calibri"/>
        <family val="2"/>
        <scheme val="minor"/>
      </rPr>
      <t xml:space="preserve"> </t>
    </r>
    <r>
      <rPr>
        <i/>
        <u/>
        <sz val="11"/>
        <color rgb="FFFF0000"/>
        <rFont val="Calibri"/>
        <family val="2"/>
        <scheme val="minor"/>
      </rPr>
      <t>Le pays DOIT indiquer son option préférée ci-dessous uniquement après avoir saisi les trois choix de modèle d’ECF dans les feuilles de travail à onglets bleus (Choix du modèle d'ECF A/B/C)</t>
    </r>
    <r>
      <rPr>
        <i/>
        <u/>
        <sz val="11"/>
        <color rgb="FFFF0000"/>
        <rFont val="Calibri"/>
        <family val="2"/>
        <scheme val="minor"/>
      </rPr>
      <t xml:space="preserve"> </t>
    </r>
  </si>
  <si>
    <t>Section 1 : Comparaison de la rentabilité des choix du modèle d’ECF</t>
  </si>
  <si>
    <t>Option A</t>
  </si>
  <si>
    <t>Option B</t>
  </si>
  <si>
    <t>Option C</t>
  </si>
  <si>
    <t xml:space="preserve">Option préférée par le Pays </t>
  </si>
  <si>
    <t>Total des unités d’ECF à acheter (WICR+ILR+SDD)</t>
  </si>
  <si>
    <t>Total des unités WICR pour location à long terme</t>
  </si>
  <si>
    <t>Total des unités WICR pour location "relais" à court terme</t>
  </si>
  <si>
    <t>Total Frais de location*</t>
  </si>
  <si>
    <t>Budget total (tous les dispositifs)**</t>
  </si>
  <si>
    <t>*L'option la plus rentable</t>
  </si>
  <si>
    <t>* Comprend les frais de passation de marchés de services d'approvisionnement</t>
  </si>
  <si>
    <t>**La ligne budgétaire totale représente le total des besoins budgétaires, y compris les coûts des équipements, le forfait, le fret international, les frais de location et les frais d'achat et de passation de marchés de l'UNICEF pour chaque option</t>
  </si>
  <si>
    <t>Section 2 : Veuillez expliquer ci-dessous les raisons pour lesquelles vous avez choisi l'option finale</t>
  </si>
  <si>
    <t>TOTAL</t>
  </si>
  <si>
    <t>Type d'équipement</t>
  </si>
  <si>
    <t>Modèle</t>
  </si>
  <si>
    <t>Marque</t>
  </si>
  <si>
    <t>Capacité en matière de stockage des vaccins (L)</t>
  </si>
  <si>
    <t>Capacité brute de congélation</t>
  </si>
  <si>
    <t>Prix unitaire indicatif du PQS, $US</t>
  </si>
  <si>
    <t>Coût indicatif des ensembles de services $US</t>
  </si>
  <si>
    <t>Coût total par unité en USD y compris les services</t>
  </si>
  <si>
    <t>Nombre d'équipements</t>
  </si>
  <si>
    <t>Montant total en USD</t>
  </si>
  <si>
    <t>Sélectionner dans le menu déroulant</t>
  </si>
  <si>
    <t xml:space="preserve">Entrer le coût du service qui doit être dans la fourchette selon le type d'équipement </t>
  </si>
  <si>
    <t>Entrer la quantité</t>
  </si>
  <si>
    <t>_3. Location à court terme pour chambres froides</t>
  </si>
  <si>
    <t>_4. Location de chambres froides de plain pied ou de chambres de congélation</t>
  </si>
  <si>
    <t>_5. Réfrigérateur ILR à gaine réfrigérante sur réseau_sans comp. congélateur</t>
  </si>
  <si>
    <t>_6. ILR sur réseau_avec comp. congélateur</t>
  </si>
  <si>
    <t>_7. Congélateurs sur réseau</t>
  </si>
  <si>
    <t>_8. Réfrigérateurs hors réseau SDD_sans comp. congélateur</t>
  </si>
  <si>
    <t>_9. Réfrigérateurs hors réseau SDD_avec comp. congélateur</t>
  </si>
  <si>
    <t>_10. Congélateur hors réseau SDD</t>
  </si>
  <si>
    <t>_11. Outil de suivi de la température_30DTR</t>
  </si>
  <si>
    <t>_12. Dispositifs de surveillance à distance de la température_RTMD</t>
  </si>
  <si>
    <t>_15. Glacières pour vaccins traditionnelles</t>
  </si>
  <si>
    <t xml:space="preserve">_17. Régulateurs de tension pour équipement </t>
  </si>
  <si>
    <t>_18. Packs de glace</t>
  </si>
  <si>
    <t>_19. Pièces de rechange pour les nouveaux équipements ILR sans congélateur</t>
  </si>
  <si>
    <t>_20. Pièces de rechange pour les nouveaux équipements ILR avec congélateur</t>
  </si>
  <si>
    <t>_21. Pièces de rechange pour les nouveaux congélateurs</t>
  </si>
  <si>
    <t>_22. Pièces de rechange pour les nouveaux SDD avec comp. congélateur</t>
  </si>
  <si>
    <t>_23. Pièces de rechange pour les nouveaux SDD sans comp. congélateur</t>
  </si>
  <si>
    <t>Budget total de l'équipement (hors frais de location)</t>
  </si>
  <si>
    <t>Total indicatif des frais de fret international USD</t>
  </si>
  <si>
    <t>Budget total (y compris 6 % intermédiaires supplémentaires et fret international)</t>
  </si>
  <si>
    <r>
      <rPr>
        <b/>
        <sz val="11"/>
        <color theme="0"/>
        <rFont val="Calibri"/>
        <family val="2"/>
        <scheme val="minor"/>
      </rPr>
      <t>Frais de service d'achat ( % du budget selon UNICEF:</t>
    </r>
    <r>
      <rPr>
        <b/>
        <sz val="11"/>
        <color theme="0"/>
        <rFont val="Calibri"/>
        <family val="2"/>
        <scheme val="minor"/>
      </rPr>
      <t xml:space="preserve"> </t>
    </r>
    <r>
      <rPr>
        <b/>
        <sz val="11"/>
        <color theme="1"/>
        <rFont val="Calibri"/>
        <family val="2"/>
        <scheme val="minor"/>
      </rPr>
      <t>5%) Inscrivez %</t>
    </r>
  </si>
  <si>
    <t>Frais d'achat estimés USD</t>
  </si>
  <si>
    <t>Total Frais de location</t>
  </si>
  <si>
    <r>
      <rPr>
        <b/>
        <sz val="11"/>
        <color theme="0"/>
        <rFont val="Calibri"/>
        <family val="2"/>
        <scheme val="minor"/>
      </rPr>
      <t>Coût de soutien au programme (% des coûts de location selon l'UNICEF:</t>
    </r>
    <r>
      <rPr>
        <b/>
        <sz val="11"/>
        <color theme="0"/>
        <rFont val="Calibri"/>
        <family val="2"/>
        <scheme val="minor"/>
      </rPr>
      <t xml:space="preserve"> </t>
    </r>
    <r>
      <rPr>
        <b/>
        <sz val="11"/>
        <color theme="1"/>
        <rFont val="Calibri"/>
        <family val="2"/>
        <scheme val="minor"/>
      </rPr>
      <t>8%) Inscrivez %</t>
    </r>
  </si>
  <si>
    <t>Coût indicatif du soutien au programme USD</t>
  </si>
  <si>
    <t>Budget total (y compris 6 % intermédiaires supplémentaires, fret international, frais de location et frais d'achat ou de contrat de l'UNICEF) USD</t>
  </si>
  <si>
    <t xml:space="preserve">Liste des équipements de la chaîne de froid et prix </t>
  </si>
  <si>
    <r>
      <rPr>
        <b/>
        <i/>
        <sz val="11"/>
        <color theme="1"/>
        <rFont val="Calibri"/>
        <family val="2"/>
        <scheme val="minor"/>
      </rPr>
      <t xml:space="preserve">Se référer à ces colonnes pour les gammes SB d'appareils en réseau et les installations de panneaux solaires au </t>
    </r>
    <r>
      <rPr>
        <b/>
        <i/>
        <u/>
        <sz val="11"/>
        <color theme="1"/>
        <rFont val="Calibri"/>
        <family val="2"/>
        <scheme val="minor"/>
      </rPr>
      <t xml:space="preserve">sol </t>
    </r>
  </si>
  <si>
    <t>Consultez ces colonnes pour les installations de panneaux solaires sur poteau</t>
  </si>
  <si>
    <t>Index</t>
  </si>
  <si>
    <t>Type d'équipement et source d'énergie</t>
  </si>
  <si>
    <t>Catégorie de volume (L)</t>
  </si>
  <si>
    <t>Autonomie (jours)</t>
  </si>
  <si>
    <t>Coût indicatif du forfait de services USD (limite inférieure avec les supports au sol pour les panneaux solaires)</t>
  </si>
  <si>
    <t>Coût indicatif de l'offre de services USD (limite supérieure avec les panneaux solaires au sol pour le SDD)</t>
  </si>
  <si>
    <t>Coût indicatif des ensembles de services, $US (limite inférieure, montage sur poteau)</t>
  </si>
  <si>
    <t>Coût indicatif des ensembles de services, $US (limite supérieure, montage sur poteau)</t>
  </si>
  <si>
    <t>Coût unitaire total USD (limite inférieure ILR+ montage au sol)</t>
  </si>
  <si>
    <t>Coût unitaire total $US (limite supérieure ILR+ montage au sol)</t>
  </si>
  <si>
    <t>Montage des panneaux solaires</t>
  </si>
  <si>
    <t>10 cbm</t>
  </si>
  <si>
    <t>Foster</t>
  </si>
  <si>
    <t>Foster 10 cbm (unité de refroidissement mono)</t>
  </si>
  <si>
    <t>-</t>
  </si>
  <si>
    <t>N/A</t>
  </si>
  <si>
    <t>Haier</t>
  </si>
  <si>
    <t>Haier 10 cbm (unité de refroidissement mono)</t>
  </si>
  <si>
    <t>Porkka</t>
  </si>
  <si>
    <t>Porkka 10 cbm (unité de refroidissement mono)</t>
  </si>
  <si>
    <t>Viessmann</t>
  </si>
  <si>
    <t>Viessmann 10 cbm (unité de refroidissement mono)</t>
  </si>
  <si>
    <t>S/O</t>
  </si>
  <si>
    <t>Zhendre</t>
  </si>
  <si>
    <t>Zhendre 10 cbm (unité de refroidissement mono)</t>
  </si>
  <si>
    <t>Mont Pole</t>
  </si>
  <si>
    <t>30 cbm</t>
  </si>
  <si>
    <t>Foster 30 cbm (unité de refroidissement mono)</t>
  </si>
  <si>
    <t>Montage au sol</t>
  </si>
  <si>
    <t>Haier 30 cbm (unité de refroidissement mono)</t>
  </si>
  <si>
    <t>Haier 30 cbm (unité de refroidissement partagée)</t>
  </si>
  <si>
    <t>Porkka 30 cbm (unité de refroidissement mono)</t>
  </si>
  <si>
    <t>Porkka 30 cbm (unité de refroidissement partagée)</t>
  </si>
  <si>
    <t>Viessmann 30 cbm (Mono unité de refroidissement)</t>
  </si>
  <si>
    <t>Viessmann 30 cbm (unité de refroidissement partagée)</t>
  </si>
  <si>
    <t>Zhendre 30 cbm (Mono unité de refroidissement)</t>
  </si>
  <si>
    <t>Zhendre 30 cbm (unité de refroidissement partagée)</t>
  </si>
  <si>
    <t>40 cbm</t>
  </si>
  <si>
    <t>Foster 40 cbm (unité de refroidissement mono)</t>
  </si>
  <si>
    <t>Haier 40 cbm (unité de refroidissement mono)</t>
  </si>
  <si>
    <t>Haier 40 cbm (unité de refroidissement partagée)</t>
  </si>
  <si>
    <t>Porkka 40 cbm (unité de refroidissement mono)</t>
  </si>
  <si>
    <t>Porkka 40 cbm (unité de refroidissement partagée)</t>
  </si>
  <si>
    <t>Viessmann 40 cbm (Mono unité de refroidissement)</t>
  </si>
  <si>
    <t>Viessmann 40 cbm (unité de refroidissement partagée)</t>
  </si>
  <si>
    <t>Zhendre 40 cbm (unité de refroidissement mono)</t>
  </si>
  <si>
    <t>Zhendre 40 cbm (unité de refroidissement partagée)</t>
  </si>
  <si>
    <t>Haier 40cbm (unité de refroidissement mono)</t>
  </si>
  <si>
    <t>Haier 40cbm (unité de refroidissement partagée)</t>
  </si>
  <si>
    <t>Porkka 40cbm (unité de refroidissement mono)</t>
  </si>
  <si>
    <t>Porkka 40cbm (unité de refroidissement partagée)</t>
  </si>
  <si>
    <t>Viessmann 40cbm (unité de refroidissement mono)</t>
  </si>
  <si>
    <t>Viessmann 40cbm (unité de refroidissement partagée)</t>
  </si>
  <si>
    <t>Zhendre 40cbm (unité de refroidissement mono)</t>
  </si>
  <si>
    <t>Zhendre 40cbm (unité de refroidissement partagée)</t>
  </si>
  <si>
    <t>_3. Location à court terme pour chambres froides de plain pied</t>
  </si>
  <si>
    <t>20 cbm</t>
  </si>
  <si>
    <t>10 cbm LT</t>
  </si>
  <si>
    <t>20 cbm LT</t>
  </si>
  <si>
    <t>30 cbm LT</t>
  </si>
  <si>
    <t>40 cbm LT</t>
  </si>
  <si>
    <t>&lt;30L</t>
  </si>
  <si>
    <t>Zéro</t>
  </si>
  <si>
    <t>ZLF 30 AC</t>
  </si>
  <si>
    <t>_5. Réfrigérateur ILR à gaine réfrigérante sur réseau sans comp. congélateur</t>
  </si>
  <si>
    <t xml:space="preserve">Godrej &amp; Boyce </t>
  </si>
  <si>
    <t>GVR 25 Lite</t>
  </si>
  <si>
    <t>1. Les pays doivent utiliser les prix s'ils choisissent une marque et un modèle spécifique</t>
  </si>
  <si>
    <t>30 - &lt;60L</t>
  </si>
  <si>
    <t>B Medical</t>
  </si>
  <si>
    <t>TCW 40R AC</t>
  </si>
  <si>
    <t xml:space="preserve">2. Prix indicatifs du dernier catalogue PQS de l'OMS, de novembre 2020: Accessible via : </t>
  </si>
  <si>
    <t>GVR 50 AC</t>
  </si>
  <si>
    <t>Catalogue d'appareils PQS de l'OMS :</t>
  </si>
  <si>
    <t>Aucma</t>
  </si>
  <si>
    <t>CFD-50</t>
  </si>
  <si>
    <t xml:space="preserve">3. Les prix indicatifs du PQS sont utilisés pour la budgétisation et représentent le prix le plus élevé pour chaque équipement </t>
  </si>
  <si>
    <t>GVR 51 Lite AC</t>
  </si>
  <si>
    <t>4. Les couts d'ensemble des services sont just des estimations. Les estimations pour la limite inférieure doivent être utilisées pour les sites qui sont proches du point de distribution et celles pour la limite supérieure doivent être utilisées pour les sites qui sont éloignés du point de distribution</t>
  </si>
  <si>
    <t>60 - &lt;90L</t>
  </si>
  <si>
    <t>Vestforst</t>
  </si>
  <si>
    <t>VLS 204A</t>
  </si>
  <si>
    <t>*Les achats de 30DTR doivent être limités à l'équipement stockant le vaccin contre la Covid uniquement</t>
  </si>
  <si>
    <t>HBC 80</t>
  </si>
  <si>
    <t xml:space="preserve">*Les achats de régulateurs de tension sont limités aux équipements stockant des vaccins contre la Covid uniquement   </t>
  </si>
  <si>
    <t>GVR 75 Lite AC</t>
  </si>
  <si>
    <t>ZLF 80 AC</t>
  </si>
  <si>
    <t>TCW 80 AC</t>
  </si>
  <si>
    <t>90 - &lt;120L</t>
  </si>
  <si>
    <t>VLS 304A AC</t>
  </si>
  <si>
    <t>GVR 99 Lite AC</t>
  </si>
  <si>
    <t>ZLF 100 AC</t>
  </si>
  <si>
    <t>GVR 100 AC</t>
  </si>
  <si>
    <t>HBC-120</t>
  </si>
  <si>
    <t>&gt;120L</t>
  </si>
  <si>
    <t>HBC 150</t>
  </si>
  <si>
    <t>VLS 354A AC</t>
  </si>
  <si>
    <t>ZLF 150 AC</t>
  </si>
  <si>
    <t>VLS 404A AC</t>
  </si>
  <si>
    <t>HBC-240</t>
  </si>
  <si>
    <t>Dulas Solar</t>
  </si>
  <si>
    <t>VC 225 ILR</t>
  </si>
  <si>
    <t>HBC 260</t>
  </si>
  <si>
    <t>GVR 225 AC</t>
  </si>
  <si>
    <t>TCW 4000 AC</t>
  </si>
  <si>
    <t>VLS 504A AC</t>
  </si>
  <si>
    <t>HBCD - 90</t>
  </si>
  <si>
    <t>GVR 55 FF AC</t>
  </si>
  <si>
    <t>VLS 064 RF AC</t>
  </si>
  <si>
    <t>TCW 2000 AC</t>
  </si>
  <si>
    <t>DW-25W147</t>
  </si>
  <si>
    <t>MF 114</t>
  </si>
  <si>
    <t>HBD 116</t>
  </si>
  <si>
    <t>MF 214</t>
  </si>
  <si>
    <t>TCW 3000 AC</t>
  </si>
  <si>
    <t>DW-25W300</t>
  </si>
  <si>
    <t>MF 314</t>
  </si>
  <si>
    <t>HBD 286</t>
  </si>
  <si>
    <t>SunDanzer</t>
  </si>
  <si>
    <t>BFRV 15 SDD</t>
  </si>
  <si>
    <t>TCW 15R SDD</t>
  </si>
  <si>
    <t>Ultra 16 SDD</t>
  </si>
  <si>
    <t>HTC 40 SDD</t>
  </si>
  <si>
    <t>VC 30 SDD</t>
  </si>
  <si>
    <t>VLS 024 SDD</t>
  </si>
  <si>
    <t>ZLF 30DC SDD</t>
  </si>
  <si>
    <t>TCW 40R SDD</t>
  </si>
  <si>
    <t>GVR 50 DC</t>
  </si>
  <si>
    <t>CFD-50 SDD</t>
  </si>
  <si>
    <t>VC 50 SDD</t>
  </si>
  <si>
    <t>BFRV 55 SDD</t>
  </si>
  <si>
    <t>VLS 054A SDD</t>
  </si>
  <si>
    <t>HTC 110 SDD</t>
  </si>
  <si>
    <t>HTC-112</t>
  </si>
  <si>
    <t>VC 88 SDD</t>
  </si>
  <si>
    <t>TCW 3043 SDD</t>
  </si>
  <si>
    <t>VLS 094A SDD</t>
  </si>
  <si>
    <t>GVR 100 DC</t>
  </si>
  <si>
    <t>ZLF 100 DC</t>
  </si>
  <si>
    <t>HTC-120</t>
  </si>
  <si>
    <t>VC 110 SDD</t>
  </si>
  <si>
    <t>ZLF 150DC</t>
  </si>
  <si>
    <t>VC 200 SDD</t>
  </si>
  <si>
    <t>VLS 154A SDD</t>
  </si>
  <si>
    <t>HTC-240</t>
  </si>
  <si>
    <t>TCW 4000 SDD</t>
  </si>
  <si>
    <t>TCW 15 SDD</t>
  </si>
  <si>
    <t>TCW 40 SDD</t>
  </si>
  <si>
    <t>VLS 026 RF SDD</t>
  </si>
  <si>
    <t>HTCD 90 SDD</t>
  </si>
  <si>
    <t>VLS 056 RF SDD</t>
  </si>
  <si>
    <t>VC 60 SDD</t>
  </si>
  <si>
    <t>GVR 55 FF DC</t>
  </si>
  <si>
    <t>TCW 2043 SDD</t>
  </si>
  <si>
    <t>HTCD 160 SDD</t>
  </si>
  <si>
    <t>VC 150 SDD</t>
  </si>
  <si>
    <t>VFS 048 SDD</t>
  </si>
  <si>
    <t>HTD 40 SDD</t>
  </si>
  <si>
    <t>TFW 40 SDD</t>
  </si>
  <si>
    <t>HETL-01</t>
  </si>
  <si>
    <t>LogTag</t>
  </si>
  <si>
    <t>VaxTag 30DTR</t>
  </si>
  <si>
    <t>Berlinger</t>
  </si>
  <si>
    <t>Fridge – tag 2</t>
  </si>
  <si>
    <t>Fridge-Tag 2 E</t>
  </si>
  <si>
    <t>ELPRO-BUCHS AG</t>
  </si>
  <si>
    <t>LIBERO Ti1</t>
  </si>
  <si>
    <t>_12. Dispositifs de surveillance à distance de la température</t>
  </si>
  <si>
    <t>Au-delà du sans-fil</t>
  </si>
  <si>
    <t>Nexleaf</t>
  </si>
  <si>
    <t>&lt;5L</t>
  </si>
  <si>
    <t>AOV</t>
  </si>
  <si>
    <t>ADVC24</t>
  </si>
  <si>
    <t>APEX</t>
  </si>
  <si>
    <t>AIDVC24</t>
  </si>
  <si>
    <t>Blow Kings</t>
  </si>
  <si>
    <t>VDC 24-CF</t>
  </si>
  <si>
    <t xml:space="preserve">Nilkamal </t>
  </si>
  <si>
    <t>BBVC23</t>
  </si>
  <si>
    <t>AIVC44 LR</t>
  </si>
  <si>
    <t>BK-VC 1.7-CF</t>
  </si>
  <si>
    <t>BCVC44-A</t>
  </si>
  <si>
    <t>RCW1</t>
  </si>
  <si>
    <t>AVC46</t>
  </si>
  <si>
    <t>AIVC46</t>
  </si>
  <si>
    <t>BK-VC 2.6-CF</t>
  </si>
  <si>
    <t>BCVC46</t>
  </si>
  <si>
    <t>RCW4</t>
  </si>
  <si>
    <t>BK-VC 3.4-CF</t>
  </si>
  <si>
    <t>AFVC 46</t>
  </si>
  <si>
    <t>Blowkings</t>
  </si>
  <si>
    <t>BK-VC-FF 1.6L</t>
  </si>
  <si>
    <t xml:space="preserve">Qingdao Leff </t>
  </si>
  <si>
    <t>FFVC-1.7L</t>
  </si>
  <si>
    <t>_15. Glacières traditionnelles</t>
  </si>
  <si>
    <t>5-15 L</t>
  </si>
  <si>
    <t>AICB243S</t>
  </si>
  <si>
    <t>CB-55-CF</t>
  </si>
  <si>
    <t>RCB324SS</t>
  </si>
  <si>
    <t>RCW8</t>
  </si>
  <si>
    <t>ACB264SL</t>
  </si>
  <si>
    <t>AICB156L</t>
  </si>
  <si>
    <t>CB-12-CF</t>
  </si>
  <si>
    <t>RCB264SL</t>
  </si>
  <si>
    <t>RCW12</t>
  </si>
  <si>
    <t>&gt;15L</t>
  </si>
  <si>
    <t>AICB444L</t>
  </si>
  <si>
    <t>RCB246LS</t>
  </si>
  <si>
    <t>ACB503L</t>
  </si>
  <si>
    <t>AICB503L</t>
  </si>
  <si>
    <t>CB-20-CF</t>
  </si>
  <si>
    <t>RCB444L-A</t>
  </si>
  <si>
    <t>RCW25</t>
  </si>
  <si>
    <t>FFCB-15L</t>
  </si>
  <si>
    <t>Sollatek</t>
  </si>
  <si>
    <t>SVS04-22E, 4A 1kVA 100-290V</t>
  </si>
  <si>
    <t>SVS04-22 4A 1KVA 230V</t>
  </si>
  <si>
    <t>HVS-1000</t>
  </si>
  <si>
    <t>Sagar</t>
  </si>
  <si>
    <t>SVS-5K-1P-ER</t>
  </si>
  <si>
    <t>SVS-10K-1P-ER</t>
  </si>
  <si>
    <t>SVS45E 45A 10kVA 120-288V</t>
  </si>
  <si>
    <t>SVS-10K-TP</t>
  </si>
  <si>
    <t>AVR3LE020, 20Amps/phase</t>
  </si>
  <si>
    <t>SVS-15K-TP</t>
  </si>
  <si>
    <t>SVS-20K-TP</t>
  </si>
  <si>
    <t>AVR3LE030, 30Amps/phase</t>
  </si>
  <si>
    <t>SVS-30K-TP</t>
  </si>
  <si>
    <t>AVR3LE050, 50Amps/phase</t>
  </si>
  <si>
    <t>0.3L</t>
  </si>
  <si>
    <t>AIP3</t>
  </si>
  <si>
    <t>AIIP03</t>
  </si>
  <si>
    <t>BK V4H</t>
  </si>
  <si>
    <t>BIP-3</t>
  </si>
  <si>
    <t>Icepack 0.3L - jeu of 24</t>
  </si>
  <si>
    <t>0</t>
  </si>
  <si>
    <t>AIP4</t>
  </si>
  <si>
    <t>AIIP04</t>
  </si>
  <si>
    <t>BK 4</t>
  </si>
  <si>
    <t>BIP-4</t>
  </si>
  <si>
    <t>0.6L</t>
  </si>
  <si>
    <t>AIP6</t>
  </si>
  <si>
    <t>AIIP06</t>
  </si>
  <si>
    <t>BK 6</t>
  </si>
  <si>
    <t>BIP-6</t>
  </si>
  <si>
    <t>Icepack 0.6L - jeu de 24</t>
  </si>
  <si>
    <t>ZLF 30 AC-pièces de rechange</t>
  </si>
  <si>
    <t>GVR 25 Pièces de rechange</t>
  </si>
  <si>
    <t>TCW 40R AC-pièces de rechange</t>
  </si>
  <si>
    <t>GVR 50 AC-pièces de rechange</t>
  </si>
  <si>
    <t>CFD -50 Pièces de rechange</t>
  </si>
  <si>
    <t>GVR 51 Lite AC - pièces de rechange</t>
  </si>
  <si>
    <t>VLS -50 - Pièces de rechange</t>
  </si>
  <si>
    <t>HBC 80 - Pièces de rechange</t>
  </si>
  <si>
    <t>GVR 75 Lite AC - pièces de rechange</t>
  </si>
  <si>
    <t>ZLF 80 AC-pièces de rechange</t>
  </si>
  <si>
    <t>TCW 80 AC- pièces de rechange</t>
  </si>
  <si>
    <t>VLS 304A AC - pièces de rechange</t>
  </si>
  <si>
    <t>GVR 99 Lite AC - pièces de rechange</t>
  </si>
  <si>
    <t>ZLF 100 AC- pièces de rechange</t>
  </si>
  <si>
    <t>GVR 100 AC- pièces de rechange</t>
  </si>
  <si>
    <t>HBC -120 - Pièces de rechange</t>
  </si>
  <si>
    <t>HBC 150 - Pièces de rechange</t>
  </si>
  <si>
    <t>ZLF 150 AC- pièces de rechange</t>
  </si>
  <si>
    <t>VLS 404A AC - pièces de rechange</t>
  </si>
  <si>
    <t>HBC -240 - Pièces de rechange</t>
  </si>
  <si>
    <t>VC 225 ILR - pièces de rechange</t>
  </si>
  <si>
    <t>HBC 260 - Pièces de rechange</t>
  </si>
  <si>
    <t>GVR 225 AC - pièces de rechange</t>
  </si>
  <si>
    <t>TCW 4000 AC - pièces de rechange</t>
  </si>
  <si>
    <t>VLS 504A AC - pièces de rechange</t>
  </si>
  <si>
    <t>HBCD - 90 pièces de rechange</t>
  </si>
  <si>
    <t>GVR 55 FF AC - pièces de rechange</t>
  </si>
  <si>
    <t>VLS 064 RF AC - pièces de rechange</t>
  </si>
  <si>
    <t>TCW 2000 AC - pièces de rechange</t>
  </si>
  <si>
    <t>DW-25W147 - Pièces de rechange</t>
  </si>
  <si>
    <t>MF 114 - Pièces de rechange</t>
  </si>
  <si>
    <t>HBD 116 - Pièces de rechange</t>
  </si>
  <si>
    <t>MF 214 - Pièces de rechange</t>
  </si>
  <si>
    <t>TFW 3000 AC - pièces de rechange</t>
  </si>
  <si>
    <t>DW-25W300 - Pièces de rechange</t>
  </si>
  <si>
    <t>MF 314 - Pièces de rechange</t>
  </si>
  <si>
    <t>HBD 286 - Pièces de rechange</t>
  </si>
  <si>
    <t>BFRV 15 SDD - pièces de rechange</t>
  </si>
  <si>
    <t>_22. Nouveaux SDD avec comp. Congélateur - pièces de rechange</t>
  </si>
  <si>
    <t>TCW 15R SDD - pièces de rechange</t>
  </si>
  <si>
    <t>Ultra 16 SDD - pièces de rechange</t>
  </si>
  <si>
    <t>HTC 40 SDD - pièces de rechange</t>
  </si>
  <si>
    <t>VC 30 SDD - pièces de rechange</t>
  </si>
  <si>
    <t>VLS 024 SDD - pièces de rechange</t>
  </si>
  <si>
    <t>ZLF 30DC SDD - pièces de rechange</t>
  </si>
  <si>
    <t>TCW 40R SDD-pièces de rechange</t>
  </si>
  <si>
    <t>GVR 50 DC - pièces de rechange</t>
  </si>
  <si>
    <t>CFD-50 SDD - pièces de rechange</t>
  </si>
  <si>
    <t>VC 50 SDD - pièces de rechange</t>
  </si>
  <si>
    <t>BFRV 55 SDD - pièces de rechange</t>
  </si>
  <si>
    <t>VLS 054A SDD - pièces de rechange</t>
  </si>
  <si>
    <t>HTC 110 SDD - pièces de rechange</t>
  </si>
  <si>
    <t>HTC -112 - Pièces de rechange</t>
  </si>
  <si>
    <t>VC 88 SDD - pièces de rechange</t>
  </si>
  <si>
    <t>TCW 3043 SDD - pièces de rechange</t>
  </si>
  <si>
    <t>VLS 094A SDD - pièces de rechange</t>
  </si>
  <si>
    <t>GVR 100 DC - pièces de rechange</t>
  </si>
  <si>
    <t>ZLF 100 DC - pièces de rechange</t>
  </si>
  <si>
    <t>HTC -120 - Pièces de rechange</t>
  </si>
  <si>
    <t>VC 110 SDD - pièces de rechange</t>
  </si>
  <si>
    <t>ZLF 80 - Pièces de rechange</t>
  </si>
  <si>
    <t>VC 200 SDD - pièces de rechange</t>
  </si>
  <si>
    <t>VLS 154A SDD - pièces de rechange</t>
  </si>
  <si>
    <t>HTC -240 - Pièces de rechange</t>
  </si>
  <si>
    <t>TCW 4000 SDD - pièces de rechange</t>
  </si>
  <si>
    <t>TCW 15 SDD - pièces de rechange</t>
  </si>
  <si>
    <t>TCW 40 SDD - pièces de rechange</t>
  </si>
  <si>
    <t>VLS 026 RF SDD - pièces de rechange</t>
  </si>
  <si>
    <t>HTCD 90 SDD - pièces de rechange</t>
  </si>
  <si>
    <t>VLS 056 RF SDD - pièces de rechange</t>
  </si>
  <si>
    <t>VC 60 SDD - pièces de rechange</t>
  </si>
  <si>
    <t>GVR 55 FF DC - pièces de rechange</t>
  </si>
  <si>
    <t>TCW 2043 SDD - pièces de rechange</t>
  </si>
  <si>
    <t>HTCD 160 SDD - pièces de rechange</t>
  </si>
  <si>
    <t>VC 150 SDD - pièces de rechange</t>
  </si>
  <si>
    <t>VFS 048 SDD - pièces de rechange</t>
  </si>
  <si>
    <t>HTD 40 SDD - pièces de rechange</t>
  </si>
  <si>
    <t>TFW 40 SDD - pièces de rechange</t>
  </si>
  <si>
    <t>Blulog</t>
  </si>
  <si>
    <t>NA</t>
  </si>
  <si>
    <t>Ikhaya</t>
  </si>
  <si>
    <t>Beyond Wireless</t>
  </si>
  <si>
    <t>ICE3 (modèle WICR BC141) + Données sur 3 ans/accès au portail</t>
  </si>
  <si>
    <t>TDL2-5Y data logger (WICR Model)+ Données sur 3 ans/accès au portail</t>
  </si>
  <si>
    <t>VM 1000 (WICR Model)+ Données sur 3 ans/accès au portail</t>
  </si>
  <si>
    <t>ICE3 EXTRA - MODEL BC440 (2 WICR Model) + Données sur 3 ans/accès au portail</t>
  </si>
  <si>
    <t>TDL2-5Y data logger (2 WICR Model) + Données sur 3 ans/accès au portail</t>
  </si>
  <si>
    <t>VM 1000 (2 WICR Model)+ Données sur 3 ans/accès au portail</t>
  </si>
  <si>
    <t>ICE3 EXTRA - MODEL BC440 (3 WICR Model)+ Données sur 3 ans/accès au portail</t>
  </si>
  <si>
    <t>TDL2-5Y data logger (3 WICR Model)+ Données sur 3 ans/accès au portail</t>
  </si>
  <si>
    <t>VM 1000 (Refrigerator model)+ Données sur 3 ans/accès au portail</t>
  </si>
  <si>
    <t>TDL2-5Y data logger (Refrigerator Model)+ Données sur 3 ans/accès au portail</t>
  </si>
  <si>
    <t>ColdTrace 5 (Réfrigérateur modèle CT5) + Données sur 3 ans/accès au portail</t>
  </si>
  <si>
    <t>Fridge-tag 3 GSM (modèle de réfrigérateur) + Données sur 3 ans/accès au portail</t>
  </si>
  <si>
    <t>Haier U-Cool (modèle de réfrigérateur) + Données sur 3 ans/accès au portail</t>
  </si>
  <si>
    <t>ICE3 (Réfrigérateur modèle BC141) + Données sur 3 ans/accès au portail</t>
  </si>
  <si>
    <t>_1. Chambres froides de plain pied</t>
  </si>
  <si>
    <t>_2. Chambres froides de plain pied avec congélateurs</t>
  </si>
  <si>
    <t>_14. Porte vaccins hors gel</t>
  </si>
  <si>
    <t>_13. Porte vaccins traditionnels</t>
  </si>
  <si>
    <t>_16. Glacières hors gel</t>
  </si>
  <si>
    <t>_24. Nouveaux congélateurs SDD pièces de rechange</t>
  </si>
  <si>
    <t xml:space="preserve">          b) À des fins de planification budgétaire, des frais de fret international indicatifs par unité ont été fournis, bien qu'ils puissent varier en fonction de la 
               destination livraison port maritime par rapport aux pays sans littoral.</t>
  </si>
  <si>
    <t>Fret international par unité (Chambres froids- Categorie 1, 2)</t>
  </si>
  <si>
    <t>Fret international par unité (ILRs, SDDs- Categorie 5-10)</t>
  </si>
  <si>
    <t>Fret international par unité (Outil de suivi de la température- Categorie 11)</t>
  </si>
  <si>
    <t>Fret international par unité (RTMD- Categorie 12)</t>
  </si>
  <si>
    <t>Fret international par unité (Porte vaccins- Categorie 13, 14)</t>
  </si>
  <si>
    <t>Fret international par unité (Glacières- Categorie 15,16)</t>
  </si>
  <si>
    <t>Fret international par unité (Regulateurs- Categorie 17)</t>
  </si>
  <si>
    <t>Fret international par unité (Packs de glace- Categorie 18)</t>
  </si>
  <si>
    <t>GVR 25 Lite DC</t>
  </si>
  <si>
    <t xml:space="preserve">       d) RTMD est obligatoire pour les CCE de niveau central / régional. Pour marcher dans des chambres froides et / ou des chambres de congélation, veuillez sélectionner un stabilisateur de tension approprié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</si>
</sst>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00_);_(&quot;$&quot;* \(#,##0.00\);_(&quot;$&quot;* &quot;-&quot;??_);_(@_)"/>
    <numFmt numFmtId="165" formatCode="#,##0.0"/>
    <numFmt numFmtId="166" formatCode="0.0%"/>
    <numFmt numFmtId="167" formatCode="&quot;$&quot;#,##0"/>
    <numFmt numFmtId="168" formatCode="#,##0.0;\-#,##0.0"/>
    <numFmt numFmtId="169" formatCode="[$$-409]#,##0_ ;\-[$$-409]#,##0\ "/>
    <numFmt numFmtId="170" formatCode="[$$-409]#,##0"/>
    <numFmt numFmtId="171" formatCode="[$$-2C09]#,##0"/>
    <numFmt numFmtId="172" formatCode="&quot;$&quot;#,##0.00"/>
  </numFmts>
  <fonts count="31"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sz val="11"/>
      <name val="Calibri"/>
      <family val="2"/>
      <scheme val="minor"/>
    </font>
    <font>
      <b/>
      <sz val="18"/>
      <color theme="8" tint="-0.499984740745262"/>
      <name val="Calibri"/>
      <family val="2"/>
      <scheme val="minor"/>
    </font>
    <font>
      <u/>
      <sz val="11"/>
      <color theme="10"/>
      <name val="Calibri"/>
      <family val="2"/>
      <scheme val="minor"/>
    </font>
    <font>
      <sz val="11"/>
      <name val="Calibri"/>
      <family val="2"/>
      <scheme val="minor"/>
    </font>
    <font>
      <sz val="11"/>
      <color theme="1"/>
      <name val="Calibri"/>
      <family val="2"/>
      <scheme val="minor"/>
    </font>
    <font>
      <b/>
      <sz val="14"/>
      <color theme="8" tint="-0.499984740745262"/>
      <name val="Calibri"/>
      <family val="2"/>
      <scheme val="minor"/>
    </font>
    <font>
      <sz val="14"/>
      <color theme="8" tint="-0.499984740745262"/>
      <name val="Calibri"/>
      <family val="2"/>
      <scheme val="minor"/>
    </font>
    <font>
      <b/>
      <sz val="11"/>
      <color theme="8" tint="-0.499984740745262"/>
      <name val="Calibri"/>
      <family val="2"/>
      <scheme val="minor"/>
    </font>
    <font>
      <sz val="10"/>
      <name val="Arial"/>
      <family val="2"/>
    </font>
    <font>
      <b/>
      <sz val="22"/>
      <color theme="1"/>
      <name val="Calibri"/>
      <family val="2"/>
      <scheme val="minor"/>
    </font>
    <font>
      <i/>
      <sz val="11"/>
      <color theme="4"/>
      <name val="Calibri"/>
      <family val="2"/>
      <scheme val="minor"/>
    </font>
    <font>
      <i/>
      <sz val="11"/>
      <color theme="1"/>
      <name val="Calibri"/>
      <family val="2"/>
      <scheme val="minor"/>
    </font>
    <font>
      <b/>
      <i/>
      <sz val="16"/>
      <color rgb="FFC00000"/>
      <name val="Calibri"/>
      <family val="2"/>
      <scheme val="minor"/>
    </font>
    <font>
      <i/>
      <sz val="11"/>
      <name val="Calibri"/>
      <family val="2"/>
      <scheme val="minor"/>
    </font>
    <font>
      <b/>
      <u/>
      <sz val="14"/>
      <color theme="8" tint="-0.499984740745262"/>
      <name val="Calibri"/>
      <family val="2"/>
      <scheme val="minor"/>
    </font>
    <font>
      <i/>
      <sz val="11"/>
      <color rgb="FFFF0000"/>
      <name val="Calibri"/>
      <family val="2"/>
      <scheme val="minor"/>
    </font>
    <font>
      <i/>
      <u/>
      <sz val="11"/>
      <color rgb="FFFF0000"/>
      <name val="Calibri"/>
      <family val="2"/>
      <scheme val="minor"/>
    </font>
    <font>
      <b/>
      <i/>
      <sz val="11"/>
      <color theme="1"/>
      <name val="Calibri"/>
      <family val="2"/>
      <scheme val="minor"/>
    </font>
    <font>
      <b/>
      <i/>
      <u/>
      <sz val="11"/>
      <color theme="1"/>
      <name val="Calibri"/>
      <family val="2"/>
      <scheme val="minor"/>
    </font>
    <font>
      <i/>
      <sz val="11"/>
      <color rgb="FFC00000"/>
      <name val="Calibri"/>
      <family val="2"/>
      <scheme val="minor"/>
    </font>
    <font>
      <b/>
      <sz val="18"/>
      <color theme="5"/>
      <name val="Calibri"/>
      <family val="2"/>
      <scheme val="minor"/>
    </font>
    <font>
      <b/>
      <sz val="11"/>
      <color rgb="FF000000"/>
      <name val="Calibri"/>
      <family val="2"/>
      <scheme val="minor"/>
    </font>
    <font>
      <i/>
      <sz val="11"/>
      <color rgb="FF000000"/>
      <name val="Calibri"/>
      <family val="2"/>
      <scheme val="minor"/>
    </font>
    <font>
      <sz val="11"/>
      <color rgb="FF000000"/>
      <name val="Calibri"/>
      <family val="2"/>
      <scheme val="minor"/>
    </font>
    <font>
      <i/>
      <sz val="11"/>
      <color theme="0"/>
      <name val="Calibri"/>
      <family val="2"/>
      <scheme val="minor"/>
    </font>
  </fonts>
  <fills count="33">
    <fill>
      <patternFill patternType="none"/>
    </fill>
    <fill>
      <patternFill patternType="gray125"/>
    </fill>
    <fill>
      <patternFill patternType="solid">
        <fgColor theme="0" tint="-0.14999847407452621"/>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ECD9FF"/>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rgb="FF002060"/>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5" tint="-0.499984740745262"/>
        <bgColor indexed="64"/>
      </patternFill>
    </fill>
    <fill>
      <patternFill patternType="solid">
        <fgColor theme="7" tint="0.39997558519241921"/>
        <bgColor indexed="64"/>
      </patternFill>
    </fill>
    <fill>
      <patternFill patternType="solid">
        <fgColor rgb="FFCC99FF"/>
        <bgColor indexed="64"/>
      </patternFill>
    </fill>
    <fill>
      <patternFill patternType="solid">
        <fgColor rgb="FFFFCCFF"/>
        <bgColor indexed="64"/>
      </patternFill>
    </fill>
    <fill>
      <patternFill patternType="solid">
        <fgColor theme="3" tint="0.39997558519241921"/>
        <bgColor indexed="64"/>
      </patternFill>
    </fill>
    <fill>
      <patternFill patternType="solid">
        <fgColor rgb="FF7030A0"/>
        <bgColor indexed="64"/>
      </patternFill>
    </fill>
    <fill>
      <patternFill patternType="solid">
        <fgColor rgb="FFFFFF00"/>
        <bgColor indexed="64"/>
      </patternFill>
    </fill>
    <fill>
      <patternFill patternType="solid">
        <fgColor theme="5" tint="-0.249977111117893"/>
        <bgColor indexed="64"/>
      </patternFill>
    </fill>
    <fill>
      <patternFill patternType="solid">
        <fgColor theme="3" tint="0.79998168889431442"/>
        <bgColor indexed="64"/>
      </patternFill>
    </fill>
    <fill>
      <patternFill patternType="solid">
        <fgColor rgb="FFB4C6E7"/>
        <bgColor indexed="64"/>
      </patternFill>
    </fill>
  </fills>
  <borders count="82">
    <border>
      <left/>
      <right/>
      <top/>
      <bottom/>
      <diagonal/>
    </border>
    <border>
      <left style="medium">
        <color theme="4"/>
      </left>
      <right/>
      <top style="medium">
        <color theme="4"/>
      </top>
      <bottom/>
      <diagonal/>
    </border>
    <border>
      <left/>
      <right/>
      <top style="medium">
        <color theme="4"/>
      </top>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right/>
      <top style="medium">
        <color theme="4"/>
      </top>
      <bottom style="medium">
        <color theme="4"/>
      </bottom>
      <diagonal/>
    </border>
    <border>
      <left style="thin">
        <color theme="4"/>
      </left>
      <right/>
      <top/>
      <bottom/>
      <diagonal/>
    </border>
    <border>
      <left/>
      <right/>
      <top/>
      <bottom style="medium">
        <color theme="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style="thin">
        <color auto="1"/>
      </left>
      <right style="thin">
        <color auto="1"/>
      </right>
      <top/>
      <bottom style="thin">
        <color auto="1"/>
      </bottom>
      <diagonal/>
    </border>
    <border>
      <left style="thin">
        <color auto="1"/>
      </left>
      <right style="thin">
        <color auto="1"/>
      </right>
      <top style="thick">
        <color theme="8" tint="-0.499984740745262"/>
      </top>
      <bottom/>
      <diagonal/>
    </border>
    <border>
      <left/>
      <right/>
      <top style="thick">
        <color theme="8" tint="-0.499984740745262"/>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auto="1"/>
      </top>
      <bottom/>
      <diagonal/>
    </border>
    <border>
      <left/>
      <right style="thin">
        <color auto="1"/>
      </right>
      <top style="thin">
        <color auto="1"/>
      </top>
      <bottom/>
      <diagonal/>
    </border>
    <border>
      <left style="thick">
        <color theme="8" tint="-0.499984740745262"/>
      </left>
      <right/>
      <top style="thick">
        <color theme="8" tint="-0.499984740745262"/>
      </top>
      <bottom/>
      <diagonal/>
    </border>
    <border>
      <left/>
      <right style="thick">
        <color theme="8" tint="-0.499984740745262"/>
      </right>
      <top style="thick">
        <color theme="8" tint="-0.499984740745262"/>
      </top>
      <bottom/>
      <diagonal/>
    </border>
    <border>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bottom style="thin">
        <color auto="1"/>
      </bottom>
      <diagonal/>
    </border>
    <border>
      <left style="thin">
        <color auto="1"/>
      </left>
      <right/>
      <top style="thin">
        <color auto="1"/>
      </top>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n">
        <color auto="1"/>
      </left>
      <right/>
      <top/>
      <bottom style="thin">
        <color auto="1"/>
      </bottom>
      <diagonal/>
    </border>
    <border>
      <left style="thick">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
      <left style="medium">
        <color indexed="64"/>
      </left>
      <right/>
      <top style="medium">
        <color theme="4"/>
      </top>
      <bottom style="medium">
        <color theme="4"/>
      </bottom>
      <diagonal/>
    </border>
    <border>
      <left style="medium">
        <color indexed="64"/>
      </left>
      <right/>
      <top/>
      <bottom style="medium">
        <color theme="4"/>
      </bottom>
      <diagonal/>
    </border>
    <border>
      <left/>
      <right style="medium">
        <color indexed="64"/>
      </right>
      <top/>
      <bottom style="medium">
        <color theme="4"/>
      </bottom>
      <diagonal/>
    </border>
    <border>
      <left style="medium">
        <color indexed="64"/>
      </left>
      <right/>
      <top style="medium">
        <color theme="4"/>
      </top>
      <bottom/>
      <diagonal/>
    </border>
    <border>
      <left/>
      <right style="medium">
        <color indexed="64"/>
      </right>
      <top style="medium">
        <color theme="4"/>
      </top>
      <bottom/>
      <diagonal/>
    </border>
    <border>
      <left/>
      <right/>
      <top/>
      <bottom style="thin">
        <color auto="1"/>
      </bottom>
      <diagonal/>
    </border>
    <border>
      <left/>
      <right style="thick">
        <color auto="1"/>
      </right>
      <top/>
      <bottom style="thin">
        <color auto="1"/>
      </bottom>
      <diagonal/>
    </border>
    <border>
      <left/>
      <right style="thick">
        <color auto="1"/>
      </right>
      <top style="thin">
        <color auto="1"/>
      </top>
      <bottom/>
      <diagonal/>
    </border>
    <border>
      <left style="thin">
        <color auto="1"/>
      </left>
      <right/>
      <top/>
      <bottom/>
      <diagonal/>
    </border>
    <border>
      <left/>
      <right style="thick">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auto="1"/>
      </right>
      <top style="medium">
        <color indexed="64"/>
      </top>
      <bottom style="medium">
        <color indexed="64"/>
      </bottom>
      <diagonal/>
    </border>
    <border>
      <left style="thick">
        <color auto="1"/>
      </left>
      <right style="thin">
        <color auto="1"/>
      </right>
      <top style="medium">
        <color indexed="64"/>
      </top>
      <bottom style="medium">
        <color indexed="64"/>
      </bottom>
      <diagonal/>
    </border>
    <border>
      <left style="thin">
        <color auto="1"/>
      </left>
      <right style="thick">
        <color auto="1"/>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style="thin">
        <color auto="1"/>
      </right>
      <top style="thin">
        <color auto="1"/>
      </top>
      <bottom style="medium">
        <color indexed="64"/>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style="thin">
        <color auto="1"/>
      </top>
      <bottom style="thin">
        <color auto="1"/>
      </bottom>
      <diagonal/>
    </border>
  </borders>
  <cellStyleXfs count="5">
    <xf numFmtId="0" fontId="0" fillId="0" borderId="0"/>
    <xf numFmtId="0" fontId="8" fillId="0" borderId="0" applyNumberFormat="0" applyFill="0" applyBorder="0" applyAlignment="0" applyProtection="0"/>
    <xf numFmtId="9" fontId="10" fillId="0" borderId="0" applyFont="0" applyFill="0" applyBorder="0" applyAlignment="0" applyProtection="0"/>
    <xf numFmtId="0" fontId="14" fillId="0" borderId="0"/>
    <xf numFmtId="164" fontId="10" fillId="0" borderId="0" applyFont="0" applyFill="0" applyBorder="0" applyAlignment="0" applyProtection="0"/>
  </cellStyleXfs>
  <cellXfs count="342">
    <xf numFmtId="0" fontId="0" fillId="0" borderId="0" xfId="0"/>
    <xf numFmtId="0" fontId="0" fillId="0" borderId="6" xfId="0" applyBorder="1"/>
    <xf numFmtId="0" fontId="0" fillId="0" borderId="0" xfId="0" applyAlignment="1">
      <alignment vertical="top"/>
    </xf>
    <xf numFmtId="0" fontId="0" fillId="0" borderId="0" xfId="0" applyAlignment="1">
      <alignment vertical="center"/>
    </xf>
    <xf numFmtId="3" fontId="0" fillId="0" borderId="9" xfId="0" applyNumberFormat="1" applyBorder="1" applyAlignment="1">
      <alignment vertical="center"/>
    </xf>
    <xf numFmtId="0" fontId="1" fillId="15" borderId="8" xfId="0" applyFont="1" applyFill="1" applyBorder="1" applyAlignment="1">
      <alignment horizontal="center" vertical="center" wrapText="1"/>
    </xf>
    <xf numFmtId="0" fontId="0" fillId="0" borderId="0" xfId="0" applyFont="1" applyAlignment="1">
      <alignment vertical="center"/>
    </xf>
    <xf numFmtId="0" fontId="1" fillId="15" borderId="15" xfId="0" applyFont="1" applyFill="1" applyBorder="1" applyAlignment="1">
      <alignment horizontal="center" vertical="center" wrapText="1"/>
    </xf>
    <xf numFmtId="0" fontId="0" fillId="0" borderId="0" xfId="0" applyAlignment="1">
      <alignment vertical="center" wrapText="1"/>
    </xf>
    <xf numFmtId="0" fontId="1" fillId="15" borderId="14" xfId="0" applyFont="1" applyFill="1" applyBorder="1" applyAlignment="1">
      <alignment horizontal="center" vertical="center" wrapText="1"/>
    </xf>
    <xf numFmtId="0" fontId="5" fillId="15" borderId="14" xfId="0" applyFont="1" applyFill="1" applyBorder="1" applyAlignment="1">
      <alignment horizontal="center" vertical="center" wrapText="1"/>
    </xf>
    <xf numFmtId="0" fontId="0" fillId="0" borderId="0" xfId="0" applyFont="1" applyBorder="1" applyAlignment="1">
      <alignment vertical="center"/>
    </xf>
    <xf numFmtId="0" fontId="0" fillId="0" borderId="17" xfId="0" applyBorder="1" applyAlignment="1">
      <alignment vertical="top"/>
    </xf>
    <xf numFmtId="0" fontId="0" fillId="0" borderId="17" xfId="0" applyBorder="1" applyAlignment="1">
      <alignment vertical="top" wrapText="1"/>
    </xf>
    <xf numFmtId="0" fontId="0" fillId="5" borderId="9" xfId="0" applyFill="1" applyBorder="1" applyAlignment="1">
      <alignment vertical="center" wrapText="1"/>
    </xf>
    <xf numFmtId="0" fontId="4" fillId="16" borderId="9" xfId="0" applyFont="1" applyFill="1" applyBorder="1" applyAlignment="1">
      <alignment vertical="center" wrapText="1"/>
    </xf>
    <xf numFmtId="0" fontId="0" fillId="2" borderId="9" xfId="0" applyFill="1" applyBorder="1" applyAlignment="1">
      <alignment vertical="center" wrapText="1"/>
    </xf>
    <xf numFmtId="0" fontId="4" fillId="8" borderId="9" xfId="0" applyFont="1" applyFill="1" applyBorder="1" applyAlignment="1">
      <alignment vertical="center" wrapText="1"/>
    </xf>
    <xf numFmtId="0" fontId="4" fillId="4" borderId="9" xfId="0" applyFont="1" applyFill="1" applyBorder="1" applyAlignment="1">
      <alignment vertical="center" wrapText="1"/>
    </xf>
    <xf numFmtId="0" fontId="0" fillId="9" borderId="9" xfId="0" applyFill="1" applyBorder="1" applyAlignment="1">
      <alignment vertical="center" wrapText="1"/>
    </xf>
    <xf numFmtId="0" fontId="0" fillId="7" borderId="9" xfId="0" applyFill="1" applyBorder="1" applyAlignment="1">
      <alignment vertical="center" wrapText="1"/>
    </xf>
    <xf numFmtId="0" fontId="0" fillId="10" borderId="9" xfId="0" applyFill="1" applyBorder="1" applyAlignment="1">
      <alignment vertical="center" wrapText="1"/>
    </xf>
    <xf numFmtId="0" fontId="0" fillId="11" borderId="9" xfId="0" applyFill="1" applyBorder="1" applyAlignment="1">
      <alignment vertical="center" wrapText="1"/>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wrapText="1"/>
    </xf>
    <xf numFmtId="0" fontId="0" fillId="0" borderId="0" xfId="0" applyFont="1" applyAlignment="1">
      <alignment vertical="center" wrapText="1"/>
    </xf>
    <xf numFmtId="0" fontId="7" fillId="0" borderId="2" xfId="0" applyFont="1" applyBorder="1" applyAlignment="1">
      <alignment horizontal="left" vertical="top" wrapText="1"/>
    </xf>
    <xf numFmtId="0" fontId="7" fillId="0" borderId="1" xfId="0" applyFont="1" applyBorder="1" applyAlignment="1">
      <alignment vertical="top"/>
    </xf>
    <xf numFmtId="0" fontId="0" fillId="0" borderId="9" xfId="0" applyFont="1" applyBorder="1" applyAlignment="1">
      <alignment horizontal="left" vertical="center" wrapText="1"/>
    </xf>
    <xf numFmtId="37" fontId="1" fillId="15" borderId="15" xfId="0" applyNumberFormat="1" applyFont="1" applyFill="1" applyBorder="1" applyAlignment="1">
      <alignment horizontal="center" vertical="center" wrapText="1"/>
    </xf>
    <xf numFmtId="37" fontId="1" fillId="15" borderId="14" xfId="0" applyNumberFormat="1" applyFont="1" applyFill="1" applyBorder="1" applyAlignment="1">
      <alignment horizontal="center" vertical="center" wrapText="1"/>
    </xf>
    <xf numFmtId="37" fontId="0" fillId="0" borderId="9" xfId="0" applyNumberFormat="1" applyFont="1" applyBorder="1" applyAlignment="1">
      <alignment vertical="center" wrapText="1"/>
    </xf>
    <xf numFmtId="37" fontId="0" fillId="0" borderId="0" xfId="0" applyNumberFormat="1"/>
    <xf numFmtId="165" fontId="0" fillId="0" borderId="9" xfId="0" applyNumberFormat="1" applyBorder="1" applyAlignment="1">
      <alignment horizontal="right" vertical="center"/>
    </xf>
    <xf numFmtId="165" fontId="0" fillId="12" borderId="9" xfId="0" applyNumberFormat="1" applyFill="1" applyBorder="1" applyAlignment="1">
      <alignment horizontal="right" vertical="center"/>
    </xf>
    <xf numFmtId="0" fontId="7" fillId="0" borderId="2" xfId="0" applyFont="1" applyBorder="1" applyAlignment="1" applyProtection="1">
      <alignment horizontal="left" vertical="top" wrapText="1"/>
      <protection locked="0"/>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3" fillId="5" borderId="9" xfId="0" applyFont="1" applyFill="1" applyBorder="1" applyAlignment="1" applyProtection="1">
      <alignment vertical="center" wrapText="1"/>
      <protection locked="0"/>
    </xf>
    <xf numFmtId="0" fontId="0" fillId="0" borderId="9" xfId="0" applyFont="1" applyBorder="1" applyAlignment="1" applyProtection="1">
      <alignment vertical="center" wrapText="1"/>
      <protection locked="0"/>
    </xf>
    <xf numFmtId="0" fontId="3" fillId="6" borderId="9" xfId="0" applyFont="1" applyFill="1" applyBorder="1" applyAlignment="1" applyProtection="1">
      <alignment vertical="center" wrapText="1"/>
      <protection locked="0"/>
    </xf>
    <xf numFmtId="0" fontId="1" fillId="16" borderId="9" xfId="0" applyFont="1" applyFill="1" applyBorder="1" applyAlignment="1" applyProtection="1">
      <alignment vertical="center" wrapText="1"/>
      <protection locked="0"/>
    </xf>
    <xf numFmtId="0" fontId="3" fillId="13" borderId="9" xfId="0" applyFont="1" applyFill="1" applyBorder="1" applyAlignment="1" applyProtection="1">
      <alignment vertical="center" wrapText="1"/>
      <protection locked="0"/>
    </xf>
    <xf numFmtId="0" fontId="3" fillId="2" borderId="9" xfId="0" applyFont="1" applyFill="1" applyBorder="1" applyAlignment="1" applyProtection="1">
      <alignment vertical="center" wrapText="1"/>
      <protection locked="0"/>
    </xf>
    <xf numFmtId="0" fontId="1" fillId="3" borderId="9" xfId="0" applyFont="1" applyFill="1" applyBorder="1" applyAlignment="1" applyProtection="1">
      <alignment vertical="center" wrapText="1"/>
      <protection locked="0"/>
    </xf>
    <xf numFmtId="0" fontId="1" fillId="4" borderId="9" xfId="0" applyFont="1" applyFill="1" applyBorder="1" applyAlignment="1" applyProtection="1">
      <alignment vertical="center" wrapText="1"/>
      <protection locked="0"/>
    </xf>
    <xf numFmtId="0" fontId="3" fillId="7" borderId="9" xfId="0" applyFont="1" applyFill="1" applyBorder="1" applyAlignment="1" applyProtection="1">
      <alignment vertical="center" wrapText="1"/>
      <protection locked="0"/>
    </xf>
    <xf numFmtId="0" fontId="3" fillId="9" borderId="9" xfId="0" applyFont="1" applyFill="1" applyBorder="1" applyAlignment="1" applyProtection="1">
      <alignment vertical="center" wrapText="1"/>
      <protection locked="0"/>
    </xf>
    <xf numFmtId="0" fontId="3" fillId="10" borderId="9" xfId="0" applyFont="1" applyFill="1" applyBorder="1" applyAlignment="1" applyProtection="1">
      <alignment vertical="center" wrapText="1"/>
      <protection locked="0"/>
    </xf>
    <xf numFmtId="0" fontId="3" fillId="11" borderId="9" xfId="0" applyFont="1" applyFill="1" applyBorder="1" applyAlignment="1" applyProtection="1">
      <alignment vertical="center" wrapText="1"/>
      <protection locked="0"/>
    </xf>
    <xf numFmtId="0" fontId="6" fillId="14" borderId="9" xfId="0" applyFont="1" applyFill="1" applyBorder="1" applyAlignment="1" applyProtection="1">
      <alignment vertical="center" wrapText="1"/>
      <protection locked="0"/>
    </xf>
    <xf numFmtId="37" fontId="0" fillId="0" borderId="9" xfId="0" applyNumberFormat="1" applyFont="1" applyBorder="1" applyAlignment="1" applyProtection="1">
      <alignment vertical="center" wrapText="1"/>
      <protection locked="0"/>
    </xf>
    <xf numFmtId="0" fontId="0" fillId="0" borderId="0" xfId="0" applyFont="1" applyAlignment="1" applyProtection="1">
      <alignment vertical="center"/>
      <protection locked="0"/>
    </xf>
    <xf numFmtId="0" fontId="0" fillId="0" borderId="0" xfId="0" applyFont="1" applyBorder="1" applyAlignment="1" applyProtection="1">
      <alignment vertical="center"/>
      <protection locked="0"/>
    </xf>
    <xf numFmtId="0" fontId="0" fillId="0" borderId="0" xfId="0" applyFont="1" applyAlignment="1" applyProtection="1">
      <alignment vertical="center" wrapText="1"/>
      <protection locked="0"/>
    </xf>
    <xf numFmtId="37" fontId="0" fillId="0" borderId="0" xfId="0" applyNumberFormat="1" applyProtection="1">
      <protection locked="0"/>
    </xf>
    <xf numFmtId="0" fontId="2" fillId="0" borderId="0" xfId="0" applyFont="1" applyBorder="1" applyAlignment="1">
      <alignment vertical="top" wrapText="1"/>
    </xf>
    <xf numFmtId="0" fontId="0" fillId="0" borderId="0" xfId="0" applyProtection="1">
      <protection locked="0"/>
    </xf>
    <xf numFmtId="0" fontId="0" fillId="0" borderId="6" xfId="0" applyBorder="1" applyAlignment="1">
      <alignment wrapText="1"/>
    </xf>
    <xf numFmtId="0" fontId="12" fillId="0" borderId="0" xfId="0" applyFont="1"/>
    <xf numFmtId="0" fontId="11" fillId="0" borderId="0" xfId="0" applyFont="1" applyBorder="1" applyAlignment="1" applyProtection="1">
      <alignment horizontal="left" vertical="top" wrapText="1"/>
      <protection locked="0"/>
    </xf>
    <xf numFmtId="0" fontId="11" fillId="0" borderId="4" xfId="0" applyFont="1" applyBorder="1" applyAlignment="1" applyProtection="1">
      <alignment horizontal="left" vertical="top"/>
      <protection locked="0"/>
    </xf>
    <xf numFmtId="0" fontId="12" fillId="0" borderId="6" xfId="0" applyFont="1" applyBorder="1"/>
    <xf numFmtId="0" fontId="12" fillId="0" borderId="0" xfId="0" applyFont="1" applyAlignment="1">
      <alignment vertical="top"/>
    </xf>
    <xf numFmtId="0" fontId="13" fillId="0" borderId="12" xfId="0" applyFont="1" applyBorder="1" applyAlignment="1"/>
    <xf numFmtId="0" fontId="13" fillId="0" borderId="13" xfId="0" applyFont="1" applyBorder="1" applyAlignment="1"/>
    <xf numFmtId="0" fontId="0" fillId="0" borderId="0" xfId="0" applyFont="1" applyProtection="1">
      <protection locked="0"/>
    </xf>
    <xf numFmtId="0" fontId="0" fillId="0" borderId="0" xfId="0" applyFont="1"/>
    <xf numFmtId="0" fontId="13" fillId="0" borderId="16" xfId="0" applyFont="1" applyBorder="1" applyAlignment="1"/>
    <xf numFmtId="0" fontId="0" fillId="0" borderId="0" xfId="0" applyFont="1" applyBorder="1" applyAlignment="1">
      <alignment vertical="center" wrapText="1"/>
    </xf>
    <xf numFmtId="0" fontId="0" fillId="0" borderId="9" xfId="0" applyBorder="1" applyAlignment="1">
      <alignment horizontal="right" vertical="center"/>
    </xf>
    <xf numFmtId="0" fontId="0" fillId="0" borderId="9" xfId="0" applyBorder="1" applyAlignment="1">
      <alignment horizontal="right" vertical="center" wrapText="1"/>
    </xf>
    <xf numFmtId="37" fontId="0" fillId="0" borderId="26" xfId="0" applyNumberFormat="1" applyFont="1" applyBorder="1" applyAlignment="1" applyProtection="1">
      <alignment vertical="center" wrapText="1"/>
      <protection locked="0"/>
    </xf>
    <xf numFmtId="37" fontId="0" fillId="0" borderId="27" xfId="0" applyNumberFormat="1" applyFont="1" applyBorder="1" applyAlignment="1">
      <alignment vertical="center" wrapText="1"/>
    </xf>
    <xf numFmtId="37" fontId="1" fillId="15" borderId="8" xfId="0" applyNumberFormat="1" applyFont="1" applyFill="1" applyBorder="1" applyAlignment="1">
      <alignment horizontal="center" vertical="center" wrapText="1"/>
    </xf>
    <xf numFmtId="37" fontId="1" fillId="15" borderId="29" xfId="0" applyNumberFormat="1" applyFont="1" applyFill="1" applyBorder="1" applyAlignment="1">
      <alignment horizontal="center" vertical="center" wrapText="1"/>
    </xf>
    <xf numFmtId="37" fontId="1" fillId="15" borderId="30" xfId="0" applyNumberFormat="1" applyFont="1" applyFill="1" applyBorder="1" applyAlignment="1">
      <alignment horizontal="center" vertical="center" wrapText="1"/>
    </xf>
    <xf numFmtId="37" fontId="1" fillId="15" borderId="31" xfId="0" applyNumberFormat="1" applyFont="1" applyFill="1" applyBorder="1" applyAlignment="1">
      <alignment horizontal="center" vertical="center" wrapText="1"/>
    </xf>
    <xf numFmtId="37" fontId="5" fillId="15" borderId="14" xfId="0" applyNumberFormat="1" applyFont="1" applyFill="1" applyBorder="1" applyAlignment="1">
      <alignment horizontal="center" vertical="center" wrapText="1"/>
    </xf>
    <xf numFmtId="37" fontId="1" fillId="15" borderId="32" xfId="0" applyNumberFormat="1" applyFont="1" applyFill="1" applyBorder="1" applyAlignment="1">
      <alignment horizontal="center" vertical="center" wrapText="1"/>
    </xf>
    <xf numFmtId="37" fontId="5" fillId="15" borderId="33" xfId="0" applyNumberFormat="1" applyFont="1" applyFill="1" applyBorder="1" applyAlignment="1">
      <alignment horizontal="center" vertical="center" wrapText="1"/>
    </xf>
    <xf numFmtId="37" fontId="1" fillId="15" borderId="28" xfId="0" applyNumberFormat="1" applyFont="1" applyFill="1" applyBorder="1" applyAlignment="1">
      <alignment horizontal="center" vertical="center" wrapText="1"/>
    </xf>
    <xf numFmtId="0" fontId="0" fillId="6" borderId="9" xfId="0" applyFill="1" applyBorder="1" applyAlignment="1">
      <alignment vertical="center" wrapText="1"/>
    </xf>
    <xf numFmtId="0" fontId="0" fillId="0" borderId="9" xfId="0" applyFill="1" applyBorder="1" applyAlignment="1">
      <alignment horizontal="right" vertical="center" wrapText="1"/>
    </xf>
    <xf numFmtId="0" fontId="0" fillId="14" borderId="9" xfId="0" applyFill="1" applyBorder="1" applyAlignment="1">
      <alignment vertical="center" wrapText="1"/>
    </xf>
    <xf numFmtId="0" fontId="0" fillId="0" borderId="37" xfId="0" applyBorder="1"/>
    <xf numFmtId="37" fontId="0" fillId="0" borderId="9" xfId="0" applyNumberFormat="1" applyBorder="1" applyAlignment="1">
      <alignment horizontal="center" vertical="center"/>
    </xf>
    <xf numFmtId="0" fontId="15" fillId="0" borderId="0" xfId="0" applyFont="1"/>
    <xf numFmtId="0" fontId="4" fillId="20" borderId="34" xfId="0" applyFont="1" applyFill="1" applyBorder="1"/>
    <xf numFmtId="0" fontId="4" fillId="20" borderId="35" xfId="0" applyFont="1" applyFill="1" applyBorder="1" applyAlignment="1">
      <alignment horizontal="center" vertical="center"/>
    </xf>
    <xf numFmtId="167" fontId="0" fillId="0" borderId="38" xfId="0" applyNumberFormat="1" applyBorder="1" applyAlignment="1">
      <alignment horizontal="center" vertical="center"/>
    </xf>
    <xf numFmtId="0" fontId="4" fillId="0" borderId="0" xfId="0" applyFont="1" applyBorder="1" applyAlignment="1">
      <alignment horizontal="center" vertical="center"/>
    </xf>
    <xf numFmtId="0" fontId="17" fillId="21" borderId="0" xfId="0" applyFont="1" applyFill="1" applyBorder="1"/>
    <xf numFmtId="0" fontId="18" fillId="0" borderId="0" xfId="0" applyFont="1" applyAlignment="1">
      <alignment horizontal="left" vertical="center"/>
    </xf>
    <xf numFmtId="0" fontId="18" fillId="0" borderId="0" xfId="0" applyFont="1" applyAlignment="1">
      <alignment horizontal="left" vertical="center" wrapText="1"/>
    </xf>
    <xf numFmtId="37" fontId="0" fillId="0" borderId="10" xfId="0" applyNumberFormat="1" applyBorder="1" applyAlignment="1">
      <alignment horizontal="center" vertical="center"/>
    </xf>
    <xf numFmtId="167" fontId="0" fillId="0" borderId="47" xfId="0" applyNumberFormat="1" applyBorder="1" applyAlignment="1">
      <alignment horizontal="center" vertical="center"/>
    </xf>
    <xf numFmtId="0" fontId="4" fillId="20" borderId="48" xfId="0" applyFont="1" applyFill="1" applyBorder="1" applyAlignment="1">
      <alignment horizontal="center" vertical="center"/>
    </xf>
    <xf numFmtId="0" fontId="0" fillId="0" borderId="0" xfId="0" applyFont="1" applyBorder="1"/>
    <xf numFmtId="0" fontId="11" fillId="0" borderId="42" xfId="0" applyFont="1" applyBorder="1" applyAlignment="1" applyProtection="1">
      <alignment horizontal="left" vertical="top" wrapText="1"/>
      <protection locked="0"/>
    </xf>
    <xf numFmtId="0" fontId="11" fillId="0" borderId="5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0" fillId="0" borderId="42" xfId="0" applyFont="1" applyBorder="1"/>
    <xf numFmtId="0" fontId="0" fillId="0" borderId="43" xfId="0" applyFont="1" applyBorder="1"/>
    <xf numFmtId="0" fontId="6" fillId="0" borderId="42" xfId="0" applyFont="1" applyBorder="1" applyAlignment="1">
      <alignment horizontal="left" vertical="top" wrapText="1"/>
    </xf>
    <xf numFmtId="0" fontId="2" fillId="0" borderId="42" xfId="0" applyFont="1" applyBorder="1" applyAlignment="1">
      <alignment vertical="top" wrapText="1"/>
    </xf>
    <xf numFmtId="0" fontId="2" fillId="0" borderId="43" xfId="0" applyFont="1" applyBorder="1" applyAlignment="1">
      <alignment vertical="top" wrapText="1"/>
    </xf>
    <xf numFmtId="0" fontId="0" fillId="0" borderId="44" xfId="0" applyBorder="1"/>
    <xf numFmtId="0" fontId="0" fillId="0" borderId="45" xfId="0" applyBorder="1"/>
    <xf numFmtId="0" fontId="0" fillId="0" borderId="46" xfId="0" applyBorder="1"/>
    <xf numFmtId="0" fontId="11" fillId="0" borderId="42"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8" fillId="0" borderId="42" xfId="1" quotePrefix="1" applyBorder="1" applyAlignment="1" applyProtection="1">
      <alignment horizontal="left" vertical="top"/>
      <protection locked="0"/>
    </xf>
    <xf numFmtId="0" fontId="20" fillId="0" borderId="42" xfId="0" applyFont="1" applyBorder="1" applyAlignment="1" applyProtection="1">
      <alignment horizontal="left" vertical="top"/>
      <protection locked="0"/>
    </xf>
    <xf numFmtId="37" fontId="0" fillId="0" borderId="10" xfId="0" applyNumberFormat="1" applyFont="1" applyBorder="1" applyAlignment="1">
      <alignment horizontal="right" vertical="center" wrapText="1"/>
    </xf>
    <xf numFmtId="0" fontId="4" fillId="20" borderId="35" xfId="0" applyFont="1" applyFill="1" applyBorder="1" applyAlignment="1">
      <alignment horizontal="center" vertical="center" wrapText="1"/>
    </xf>
    <xf numFmtId="0" fontId="6" fillId="5" borderId="49" xfId="0" applyFont="1" applyFill="1" applyBorder="1" applyAlignment="1">
      <alignment horizontal="center" vertical="center"/>
    </xf>
    <xf numFmtId="0" fontId="6" fillId="14" borderId="10" xfId="0" applyFont="1" applyFill="1" applyBorder="1" applyAlignment="1" applyProtection="1">
      <alignment vertical="center" wrapText="1"/>
      <protection locked="0"/>
    </xf>
    <xf numFmtId="0" fontId="0" fillId="24" borderId="9" xfId="0" applyFill="1" applyBorder="1" applyAlignment="1">
      <alignment vertical="center" wrapText="1"/>
    </xf>
    <xf numFmtId="0" fontId="0" fillId="25" borderId="9" xfId="0" applyFill="1" applyBorder="1" applyAlignment="1">
      <alignment vertical="center" wrapText="1"/>
    </xf>
    <xf numFmtId="0" fontId="0" fillId="26" borderId="9" xfId="0" applyFill="1" applyBorder="1" applyAlignment="1">
      <alignment vertical="center" wrapText="1"/>
    </xf>
    <xf numFmtId="0" fontId="0" fillId="27" borderId="9" xfId="0" applyFill="1" applyBorder="1" applyAlignment="1">
      <alignment vertical="center" wrapText="1"/>
    </xf>
    <xf numFmtId="0" fontId="4" fillId="19" borderId="9" xfId="0" applyFont="1" applyFill="1" applyBorder="1" applyAlignment="1">
      <alignment vertical="center" wrapText="1"/>
    </xf>
    <xf numFmtId="0" fontId="4" fillId="28" borderId="9" xfId="0" applyFont="1" applyFill="1" applyBorder="1" applyAlignment="1">
      <alignment vertical="center" wrapText="1"/>
    </xf>
    <xf numFmtId="0" fontId="8" fillId="0" borderId="43" xfId="1" applyBorder="1" applyAlignment="1">
      <alignment horizontal="left" vertical="top" wrapText="1"/>
    </xf>
    <xf numFmtId="37" fontId="0" fillId="0" borderId="9" xfId="0" applyNumberFormat="1" applyFont="1" applyBorder="1" applyAlignment="1" applyProtection="1">
      <alignment vertical="center" wrapText="1"/>
      <protection hidden="1"/>
    </xf>
    <xf numFmtId="0" fontId="1" fillId="15" borderId="29" xfId="0" applyFont="1" applyFill="1" applyBorder="1" applyAlignment="1">
      <alignment horizontal="center" vertical="center" wrapText="1"/>
    </xf>
    <xf numFmtId="3" fontId="0" fillId="0" borderId="10" xfId="0" applyNumberFormat="1" applyBorder="1" applyAlignment="1">
      <alignment vertical="center"/>
    </xf>
    <xf numFmtId="165" fontId="0" fillId="0" borderId="10" xfId="0" applyNumberFormat="1" applyBorder="1" applyAlignment="1">
      <alignment horizontal="right" vertical="center"/>
    </xf>
    <xf numFmtId="0" fontId="1" fillId="15" borderId="22" xfId="0" applyFont="1" applyFill="1" applyBorder="1" applyAlignment="1">
      <alignment horizontal="center" vertical="center" wrapText="1"/>
    </xf>
    <xf numFmtId="3" fontId="0" fillId="0" borderId="25" xfId="0" applyNumberFormat="1" applyBorder="1" applyAlignment="1">
      <alignment vertical="center"/>
    </xf>
    <xf numFmtId="3" fontId="0" fillId="0" borderId="36" xfId="0" applyNumberFormat="1" applyBorder="1" applyAlignment="1">
      <alignment vertical="center"/>
    </xf>
    <xf numFmtId="3" fontId="0" fillId="0" borderId="68" xfId="0" applyNumberFormat="1" applyBorder="1" applyAlignment="1">
      <alignment vertical="center"/>
    </xf>
    <xf numFmtId="3" fontId="0" fillId="0" borderId="36" xfId="0" applyNumberFormat="1" applyFont="1" applyBorder="1" applyAlignment="1">
      <alignment vertical="center"/>
    </xf>
    <xf numFmtId="3" fontId="0" fillId="0" borderId="37" xfId="0" applyNumberFormat="1" applyFont="1" applyBorder="1" applyAlignment="1">
      <alignment vertical="center"/>
    </xf>
    <xf numFmtId="3" fontId="0" fillId="0" borderId="69" xfId="0" applyNumberFormat="1" applyBorder="1" applyAlignment="1">
      <alignment vertical="center"/>
    </xf>
    <xf numFmtId="165" fontId="0" fillId="0" borderId="25" xfId="0" applyNumberFormat="1" applyBorder="1" applyAlignment="1">
      <alignment horizontal="right" vertical="center"/>
    </xf>
    <xf numFmtId="0" fontId="1" fillId="15" borderId="73" xfId="0" applyFont="1" applyFill="1" applyBorder="1" applyAlignment="1">
      <alignment horizontal="center" vertical="center" wrapText="1"/>
    </xf>
    <xf numFmtId="0" fontId="25" fillId="0" borderId="0" xfId="0" applyFont="1" applyFill="1" applyBorder="1"/>
    <xf numFmtId="0" fontId="6" fillId="0" borderId="8" xfId="0" applyFont="1" applyFill="1" applyBorder="1" applyAlignment="1">
      <alignment horizontal="center" vertical="center" wrapText="1"/>
    </xf>
    <xf numFmtId="0" fontId="9" fillId="0" borderId="0" xfId="0" applyFont="1" applyFill="1" applyAlignment="1" applyProtection="1">
      <alignment vertical="center" wrapText="1"/>
      <protection locked="0"/>
    </xf>
    <xf numFmtId="0" fontId="9" fillId="0" borderId="0" xfId="0" applyFont="1" applyFill="1" applyAlignment="1">
      <alignment vertical="center" wrapText="1"/>
    </xf>
    <xf numFmtId="0" fontId="6" fillId="0" borderId="0" xfId="0" applyFont="1" applyFill="1" applyAlignment="1">
      <alignment horizontal="left" vertical="center"/>
    </xf>
    <xf numFmtId="3" fontId="9" fillId="0" borderId="8"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4" fontId="9" fillId="0" borderId="8" xfId="0" applyNumberFormat="1" applyFont="1" applyFill="1" applyBorder="1" applyAlignment="1">
      <alignment horizontal="center" vertical="center" wrapText="1"/>
    </xf>
    <xf numFmtId="3" fontId="0" fillId="0" borderId="74" xfId="0" applyNumberFormat="1" applyBorder="1" applyAlignment="1">
      <alignment vertical="center"/>
    </xf>
    <xf numFmtId="3" fontId="9" fillId="0" borderId="29" xfId="0" applyNumberFormat="1" applyFont="1" applyFill="1" applyBorder="1" applyAlignment="1">
      <alignment horizontal="right" vertical="center" wrapText="1"/>
    </xf>
    <xf numFmtId="0" fontId="9" fillId="0" borderId="0" xfId="0" applyFont="1" applyFill="1" applyAlignment="1">
      <alignment horizontal="left" vertical="center"/>
    </xf>
    <xf numFmtId="0" fontId="9" fillId="0" borderId="9" xfId="0" applyFont="1" applyFill="1" applyBorder="1" applyAlignment="1">
      <alignment horizontal="right" vertical="center" wrapText="1"/>
    </xf>
    <xf numFmtId="0" fontId="0" fillId="0" borderId="36" xfId="0" applyBorder="1" applyAlignment="1">
      <alignment vertical="center" wrapText="1"/>
    </xf>
    <xf numFmtId="3" fontId="7" fillId="0" borderId="2" xfId="0" applyNumberFormat="1" applyFont="1" applyBorder="1" applyAlignment="1" applyProtection="1">
      <alignment horizontal="left" vertical="top" wrapText="1"/>
      <protection locked="0"/>
    </xf>
    <xf numFmtId="3" fontId="9" fillId="0" borderId="36" xfId="0" applyNumberFormat="1" applyFont="1" applyFill="1" applyBorder="1" applyAlignment="1">
      <alignment horizontal="center" vertical="center" wrapText="1"/>
    </xf>
    <xf numFmtId="3" fontId="9" fillId="0" borderId="68" xfId="0" applyNumberFormat="1" applyFont="1" applyFill="1" applyBorder="1" applyAlignment="1">
      <alignment horizontal="center" vertical="center" wrapText="1"/>
    </xf>
    <xf numFmtId="168" fontId="0" fillId="0" borderId="9" xfId="0" applyNumberFormat="1" applyFont="1" applyBorder="1" applyAlignment="1">
      <alignment vertical="center" wrapText="1"/>
    </xf>
    <xf numFmtId="0" fontId="4" fillId="0" borderId="0" xfId="0" applyFont="1" applyAlignment="1" applyProtection="1">
      <alignment vertical="center" wrapText="1"/>
      <protection hidden="1"/>
    </xf>
    <xf numFmtId="0" fontId="0" fillId="0" borderId="0" xfId="0" quotePrefix="1" applyFont="1" applyAlignment="1" applyProtection="1">
      <alignment vertical="center"/>
      <protection locked="0"/>
    </xf>
    <xf numFmtId="0" fontId="0" fillId="0" borderId="43" xfId="0" quotePrefix="1" applyBorder="1"/>
    <xf numFmtId="0" fontId="8" fillId="0" borderId="42" xfId="1" quotePrefix="1" applyBorder="1"/>
    <xf numFmtId="37" fontId="0" fillId="31" borderId="8" xfId="0" applyNumberFormat="1" applyFill="1" applyBorder="1" applyAlignment="1">
      <alignment horizontal="center" vertical="center"/>
    </xf>
    <xf numFmtId="37" fontId="0" fillId="31" borderId="29" xfId="0" applyNumberFormat="1" applyFill="1" applyBorder="1" applyAlignment="1">
      <alignment horizontal="center" vertical="center"/>
    </xf>
    <xf numFmtId="0" fontId="17" fillId="31" borderId="72" xfId="0" applyFont="1" applyFill="1" applyBorder="1" applyAlignment="1">
      <alignment vertical="center" wrapText="1"/>
    </xf>
    <xf numFmtId="0" fontId="25" fillId="0" borderId="0" xfId="0" applyFont="1"/>
    <xf numFmtId="167" fontId="0" fillId="0" borderId="78" xfId="0" applyNumberFormat="1" applyBorder="1" applyAlignment="1">
      <alignment horizontal="center" vertical="center"/>
    </xf>
    <xf numFmtId="169" fontId="0" fillId="31" borderId="29" xfId="0" applyNumberFormat="1" applyFill="1" applyBorder="1" applyAlignment="1">
      <alignment horizontal="center" vertical="center"/>
    </xf>
    <xf numFmtId="170" fontId="0" fillId="31" borderId="9" xfId="0" applyNumberFormat="1" applyFill="1" applyBorder="1" applyAlignment="1">
      <alignment horizontal="center" vertical="center"/>
    </xf>
    <xf numFmtId="171" fontId="0" fillId="31" borderId="9" xfId="0" applyNumberFormat="1" applyFill="1" applyBorder="1" applyAlignment="1">
      <alignment horizontal="center" vertical="center"/>
    </xf>
    <xf numFmtId="0" fontId="1" fillId="15" borderId="79" xfId="0" applyFont="1" applyFill="1" applyBorder="1" applyAlignment="1">
      <alignment horizontal="center" vertical="center" wrapText="1"/>
    </xf>
    <xf numFmtId="0" fontId="1" fillId="15" borderId="80" xfId="0" applyFont="1" applyFill="1" applyBorder="1" applyAlignment="1">
      <alignment horizontal="center" vertical="center" wrapText="1"/>
    </xf>
    <xf numFmtId="3" fontId="9" fillId="0" borderId="81" xfId="0" applyNumberFormat="1" applyFont="1" applyFill="1" applyBorder="1" applyAlignment="1">
      <alignment horizontal="center" vertical="center" wrapText="1"/>
    </xf>
    <xf numFmtId="3" fontId="0" fillId="0" borderId="36" xfId="0" applyNumberFormat="1" applyBorder="1" applyAlignment="1">
      <alignment horizontal="center" vertical="center"/>
    </xf>
    <xf numFmtId="3" fontId="0" fillId="0" borderId="68" xfId="0" applyNumberFormat="1" applyBorder="1" applyAlignment="1">
      <alignment horizontal="center" vertical="center"/>
    </xf>
    <xf numFmtId="0" fontId="9" fillId="0" borderId="0" xfId="0" applyFont="1" applyFill="1" applyAlignment="1" applyProtection="1">
      <alignment vertical="center"/>
      <protection locked="0"/>
    </xf>
    <xf numFmtId="37" fontId="0" fillId="8" borderId="9" xfId="0" applyNumberFormat="1" applyFont="1" applyFill="1" applyBorder="1" applyAlignment="1" applyProtection="1">
      <alignment vertical="center" wrapText="1"/>
      <protection locked="0"/>
    </xf>
    <xf numFmtId="0" fontId="0" fillId="0" borderId="42" xfId="0" applyBorder="1"/>
    <xf numFmtId="0" fontId="0" fillId="0" borderId="0" xfId="0" applyBorder="1"/>
    <xf numFmtId="0" fontId="0" fillId="0" borderId="43" xfId="0" applyBorder="1"/>
    <xf numFmtId="0" fontId="26" fillId="0" borderId="0" xfId="0" quotePrefix="1" applyFont="1" applyAlignment="1" applyProtection="1">
      <alignment vertical="center"/>
      <protection locked="0"/>
    </xf>
    <xf numFmtId="0" fontId="6" fillId="0" borderId="0" xfId="0" applyFont="1" applyBorder="1" applyAlignment="1">
      <alignment horizontal="left" vertical="top" wrapText="1"/>
    </xf>
    <xf numFmtId="0" fontId="6" fillId="0" borderId="43" xfId="0" applyFont="1" applyBorder="1" applyAlignment="1">
      <alignment horizontal="left" vertical="top" wrapText="1"/>
    </xf>
    <xf numFmtId="0" fontId="0" fillId="0" borderId="0" xfId="0" applyBorder="1" applyAlignment="1">
      <alignment vertical="center" wrapText="1"/>
    </xf>
    <xf numFmtId="0" fontId="0" fillId="0" borderId="42" xfId="0" applyBorder="1" applyAlignment="1">
      <alignment wrapText="1"/>
    </xf>
    <xf numFmtId="0" fontId="0" fillId="0" borderId="0" xfId="0" applyBorder="1" applyAlignment="1">
      <alignment wrapText="1"/>
    </xf>
    <xf numFmtId="0" fontId="0" fillId="0" borderId="43" xfId="0" applyBorder="1" applyAlignment="1">
      <alignment wrapText="1"/>
    </xf>
    <xf numFmtId="0" fontId="0" fillId="0" borderId="42" xfId="0" quotePrefix="1" applyBorder="1" applyAlignment="1">
      <alignment horizontal="left" vertical="center" wrapText="1" indent="4"/>
    </xf>
    <xf numFmtId="0" fontId="0" fillId="0" borderId="0" xfId="0" quotePrefix="1" applyBorder="1" applyAlignment="1">
      <alignment horizontal="left" vertical="center" wrapText="1" indent="4"/>
    </xf>
    <xf numFmtId="0" fontId="0" fillId="0" borderId="43" xfId="0" quotePrefix="1" applyBorder="1" applyAlignment="1">
      <alignment horizontal="left" vertical="center" wrapText="1" indent="4"/>
    </xf>
    <xf numFmtId="0" fontId="16" fillId="0" borderId="0" xfId="0" applyFont="1" applyAlignment="1">
      <alignment horizontal="left" vertical="center" wrapText="1"/>
    </xf>
    <xf numFmtId="0" fontId="0" fillId="0" borderId="20" xfId="0" applyFont="1" applyBorder="1" applyAlignment="1">
      <alignment vertical="center"/>
    </xf>
    <xf numFmtId="0" fontId="0" fillId="32" borderId="9" xfId="0" applyFill="1" applyBorder="1" applyAlignment="1">
      <alignment vertical="center" wrapText="1"/>
    </xf>
    <xf numFmtId="0" fontId="9" fillId="0" borderId="0" xfId="0" applyFont="1" applyFill="1" applyAlignment="1">
      <alignment vertical="center"/>
    </xf>
    <xf numFmtId="0" fontId="0" fillId="0" borderId="0" xfId="0" applyBorder="1" applyAlignment="1">
      <alignment vertical="center" wrapText="1"/>
    </xf>
    <xf numFmtId="0" fontId="0" fillId="30" borderId="9" xfId="0" applyFill="1" applyBorder="1" applyAlignment="1">
      <alignment vertical="center" wrapText="1"/>
    </xf>
    <xf numFmtId="0" fontId="0" fillId="0" borderId="0" xfId="0" applyBorder="1" applyAlignment="1">
      <alignment vertical="center" wrapText="1"/>
    </xf>
    <xf numFmtId="3" fontId="0" fillId="29" borderId="25" xfId="0" applyNumberFormat="1" applyFill="1" applyBorder="1" applyAlignment="1">
      <alignment vertical="center"/>
    </xf>
    <xf numFmtId="3" fontId="0" fillId="29" borderId="9" xfId="0" applyNumberFormat="1" applyFill="1" applyBorder="1" applyAlignment="1">
      <alignment vertical="center"/>
    </xf>
    <xf numFmtId="0" fontId="6" fillId="16" borderId="9" xfId="0" applyFont="1" applyFill="1" applyBorder="1" applyAlignment="1" applyProtection="1">
      <alignment vertical="center" wrapText="1"/>
      <protection locked="0"/>
    </xf>
    <xf numFmtId="37" fontId="9" fillId="0" borderId="10" xfId="0" applyNumberFormat="1" applyFont="1" applyBorder="1" applyAlignment="1">
      <alignment horizontal="right" vertical="center" wrapText="1"/>
    </xf>
    <xf numFmtId="0" fontId="0" fillId="0" borderId="0" xfId="0" applyFill="1"/>
    <xf numFmtId="3" fontId="9" fillId="0" borderId="29" xfId="0" applyNumberFormat="1" applyFont="1" applyBorder="1" applyAlignment="1">
      <alignment horizontal="right" vertical="center" wrapText="1"/>
    </xf>
    <xf numFmtId="37" fontId="0" fillId="0" borderId="9" xfId="0" applyNumberFormat="1" applyFont="1" applyBorder="1" applyAlignment="1" applyProtection="1">
      <alignment vertical="center" wrapText="1"/>
      <protection locked="0" hidden="1"/>
    </xf>
    <xf numFmtId="0" fontId="19" fillId="0" borderId="42" xfId="0" applyFont="1" applyBorder="1" applyAlignment="1"/>
    <xf numFmtId="0" fontId="19" fillId="0" borderId="0" xfId="0" applyFont="1" applyAlignment="1"/>
    <xf numFmtId="0" fontId="19" fillId="0" borderId="43" xfId="0" applyFont="1" applyBorder="1" applyAlignment="1"/>
    <xf numFmtId="0" fontId="0" fillId="0" borderId="42" xfId="0" applyBorder="1" applyAlignment="1">
      <alignment wrapText="1"/>
    </xf>
    <xf numFmtId="0" fontId="0" fillId="0" borderId="0" xfId="0" applyBorder="1" applyAlignment="1">
      <alignment wrapText="1"/>
    </xf>
    <xf numFmtId="0" fontId="0" fillId="0" borderId="43" xfId="0" applyBorder="1" applyAlignment="1">
      <alignment wrapText="1"/>
    </xf>
    <xf numFmtId="0" fontId="0" fillId="0" borderId="42" xfId="0" quotePrefix="1" applyBorder="1" applyAlignment="1">
      <alignment horizontal="left" vertical="center" wrapText="1" indent="4"/>
    </xf>
    <xf numFmtId="0" fontId="0" fillId="0" borderId="0" xfId="0" quotePrefix="1" applyBorder="1" applyAlignment="1">
      <alignment horizontal="left" vertical="center" wrapText="1" indent="4"/>
    </xf>
    <xf numFmtId="0" fontId="0" fillId="0" borderId="43" xfId="0" quotePrefix="1" applyBorder="1" applyAlignment="1">
      <alignment horizontal="left" vertical="center" wrapText="1" indent="4"/>
    </xf>
    <xf numFmtId="0" fontId="0" fillId="0" borderId="42" xfId="0" applyBorder="1" applyAlignment="1"/>
    <xf numFmtId="0" fontId="0" fillId="0" borderId="0" xfId="0" applyBorder="1" applyAlignment="1"/>
    <xf numFmtId="0" fontId="0" fillId="0" borderId="43" xfId="0" applyBorder="1" applyAlignment="1"/>
    <xf numFmtId="0" fontId="19" fillId="0" borderId="0" xfId="0" applyFont="1" applyBorder="1" applyAlignment="1"/>
    <xf numFmtId="0" fontId="0" fillId="0" borderId="42" xfId="0" quotePrefix="1" applyBorder="1" applyAlignment="1">
      <alignment horizontal="left" vertical="center" wrapText="1" indent="1"/>
    </xf>
    <xf numFmtId="0" fontId="0" fillId="0" borderId="0" xfId="0" quotePrefix="1" applyBorder="1" applyAlignment="1">
      <alignment horizontal="left" vertical="center" wrapText="1" indent="1"/>
    </xf>
    <xf numFmtId="0" fontId="0" fillId="0" borderId="43" xfId="0" quotePrefix="1" applyBorder="1" applyAlignment="1">
      <alignment horizontal="left" vertical="center" wrapText="1" indent="1"/>
    </xf>
    <xf numFmtId="0" fontId="0" fillId="0" borderId="55" xfId="0" applyBorder="1" applyAlignment="1"/>
    <xf numFmtId="0" fontId="0" fillId="0" borderId="2" xfId="0" applyBorder="1" applyAlignment="1"/>
    <xf numFmtId="0" fontId="0" fillId="0" borderId="56" xfId="0" applyBorder="1" applyAlignment="1"/>
    <xf numFmtId="0" fontId="0" fillId="0" borderId="42" xfId="0" applyBorder="1" applyAlignment="1">
      <alignment vertical="center" wrapText="1"/>
    </xf>
    <xf numFmtId="0" fontId="0" fillId="0" borderId="0" xfId="0" applyBorder="1" applyAlignment="1">
      <alignment vertical="center" wrapText="1"/>
    </xf>
    <xf numFmtId="0" fontId="0" fillId="0" borderId="43" xfId="0" applyBorder="1" applyAlignment="1">
      <alignment vertical="center" wrapText="1"/>
    </xf>
    <xf numFmtId="0" fontId="11" fillId="0" borderId="39" xfId="0" applyFont="1" applyBorder="1" applyAlignment="1">
      <alignment horizontal="left" vertical="top" wrapText="1"/>
    </xf>
    <xf numFmtId="0" fontId="11" fillId="0" borderId="40" xfId="0" applyFont="1" applyBorder="1" applyAlignment="1">
      <alignment horizontal="left" vertical="top" wrapText="1"/>
    </xf>
    <xf numFmtId="0" fontId="11" fillId="0" borderId="41" xfId="0" applyFont="1" applyBorder="1" applyAlignment="1">
      <alignment horizontal="left" vertical="top" wrapText="1"/>
    </xf>
    <xf numFmtId="0" fontId="11" fillId="5" borderId="3" xfId="0" applyFont="1" applyFill="1" applyBorder="1" applyAlignment="1" applyProtection="1">
      <alignment horizontal="left" vertical="top"/>
      <protection locked="0"/>
    </xf>
    <xf numFmtId="0" fontId="11" fillId="5" borderId="5" xfId="0" applyFont="1" applyFill="1" applyBorder="1" applyAlignment="1" applyProtection="1">
      <alignment horizontal="left" vertical="top"/>
      <protection locked="0"/>
    </xf>
    <xf numFmtId="0" fontId="11" fillId="5" borderId="4" xfId="0" applyFont="1" applyFill="1" applyBorder="1" applyAlignment="1" applyProtection="1">
      <alignment horizontal="left" vertical="top"/>
      <protection locked="0"/>
    </xf>
    <xf numFmtId="0" fontId="12" fillId="0" borderId="42" xfId="0" applyFont="1" applyBorder="1" applyAlignment="1" applyProtection="1">
      <protection locked="0"/>
    </xf>
    <xf numFmtId="0" fontId="12" fillId="0" borderId="0" xfId="0" applyFont="1" applyBorder="1" applyAlignment="1" applyProtection="1">
      <protection locked="0"/>
    </xf>
    <xf numFmtId="0" fontId="12" fillId="0" borderId="43" xfId="0" applyFont="1" applyBorder="1" applyAlignment="1" applyProtection="1">
      <protection locked="0"/>
    </xf>
    <xf numFmtId="0" fontId="11" fillId="0" borderId="53" xfId="0" applyFont="1" applyBorder="1" applyAlignment="1">
      <alignment horizontal="left" vertical="top" wrapText="1"/>
    </xf>
    <xf numFmtId="0" fontId="11" fillId="0" borderId="7" xfId="0" applyFont="1" applyBorder="1" applyAlignment="1">
      <alignment horizontal="left" vertical="top" wrapText="1"/>
    </xf>
    <xf numFmtId="0" fontId="11" fillId="0" borderId="54" xfId="0" applyFont="1" applyBorder="1" applyAlignment="1">
      <alignment horizontal="left" vertical="top" wrapText="1"/>
    </xf>
    <xf numFmtId="0" fontId="0" fillId="0" borderId="42" xfId="0" quotePrefix="1" applyFont="1" applyBorder="1" applyAlignment="1">
      <alignment vertical="top" wrapText="1"/>
    </xf>
    <xf numFmtId="0" fontId="0" fillId="0" borderId="0" xfId="0" applyFont="1" applyBorder="1" applyAlignment="1">
      <alignment vertical="top" wrapText="1"/>
    </xf>
    <xf numFmtId="0" fontId="0" fillId="0" borderId="43" xfId="0" applyFont="1" applyBorder="1" applyAlignment="1">
      <alignment vertical="top" wrapText="1"/>
    </xf>
    <xf numFmtId="0" fontId="6" fillId="0" borderId="42" xfId="0" quotePrefix="1" applyFont="1" applyBorder="1" applyAlignment="1">
      <alignment horizontal="left" vertical="top" wrapText="1"/>
    </xf>
    <xf numFmtId="0" fontId="6" fillId="0" borderId="0" xfId="0" applyFont="1" applyBorder="1" applyAlignment="1">
      <alignment horizontal="left" vertical="top" wrapText="1"/>
    </xf>
    <xf numFmtId="0" fontId="6" fillId="0" borderId="43" xfId="0" applyFont="1" applyBorder="1" applyAlignment="1">
      <alignment horizontal="left" vertical="top" wrapText="1"/>
    </xf>
    <xf numFmtId="0" fontId="17" fillId="0" borderId="42" xfId="0" applyFont="1" applyBorder="1" applyAlignment="1"/>
    <xf numFmtId="0" fontId="17" fillId="0" borderId="0" xfId="0" applyFont="1" applyBorder="1" applyAlignment="1"/>
    <xf numFmtId="0" fontId="17" fillId="0" borderId="43" xfId="0" applyFont="1" applyBorder="1" applyAlignment="1"/>
    <xf numFmtId="0" fontId="0" fillId="0" borderId="42" xfId="0" quotePrefix="1" applyFont="1" applyBorder="1" applyAlignment="1">
      <alignment horizontal="left" vertical="center" wrapText="1"/>
    </xf>
    <xf numFmtId="0" fontId="0" fillId="0" borderId="0" xfId="0" quotePrefix="1" applyFont="1" applyBorder="1" applyAlignment="1">
      <alignment horizontal="left" vertical="center" wrapText="1"/>
    </xf>
    <xf numFmtId="0" fontId="0" fillId="0" borderId="43" xfId="0" quotePrefix="1" applyFont="1" applyBorder="1" applyAlignment="1">
      <alignment horizontal="left" vertical="center" wrapText="1"/>
    </xf>
    <xf numFmtId="0" fontId="16" fillId="0" borderId="0" xfId="0" applyFont="1" applyAlignment="1">
      <alignment horizontal="left" vertical="center" wrapText="1"/>
    </xf>
    <xf numFmtId="0" fontId="17" fillId="5" borderId="50" xfId="0" applyFont="1" applyFill="1" applyBorder="1" applyAlignment="1" applyProtection="1">
      <alignment horizontal="center" vertical="center" wrapText="1"/>
      <protection locked="0"/>
    </xf>
    <xf numFmtId="0" fontId="17" fillId="5" borderId="77" xfId="0" applyFont="1" applyFill="1" applyBorder="1" applyAlignment="1" applyProtection="1">
      <alignment horizontal="center" vertical="center" wrapText="1"/>
      <protection locked="0"/>
    </xf>
    <xf numFmtId="0" fontId="17" fillId="5" borderId="51" xfId="0" applyFont="1" applyFill="1" applyBorder="1" applyAlignment="1" applyProtection="1">
      <alignment horizontal="center" vertical="center" wrapText="1"/>
      <protection locked="0"/>
    </xf>
    <xf numFmtId="0" fontId="21" fillId="0" borderId="0" xfId="0" applyFont="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4" xfId="0" applyFont="1" applyBorder="1" applyAlignment="1">
      <alignment horizontal="left" vertical="center" wrapText="1"/>
    </xf>
    <xf numFmtId="0" fontId="18" fillId="0" borderId="45" xfId="0" applyFont="1" applyBorder="1" applyAlignment="1">
      <alignment horizontal="left" vertical="center" wrapText="1"/>
    </xf>
    <xf numFmtId="0" fontId="18" fillId="0" borderId="46" xfId="0" applyFont="1" applyBorder="1" applyAlignment="1">
      <alignment horizontal="left" vertical="center" wrapText="1"/>
    </xf>
    <xf numFmtId="0" fontId="0" fillId="5" borderId="39"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0" fillId="5" borderId="41" xfId="0" applyFill="1" applyBorder="1" applyAlignment="1" applyProtection="1">
      <alignment horizontal="center"/>
      <protection locked="0"/>
    </xf>
    <xf numFmtId="0" fontId="0" fillId="5" borderId="42" xfId="0" applyFill="1" applyBorder="1" applyAlignment="1" applyProtection="1">
      <alignment horizontal="center"/>
      <protection locked="0"/>
    </xf>
    <xf numFmtId="0" fontId="0" fillId="5" borderId="0" xfId="0" applyFill="1" applyAlignment="1" applyProtection="1">
      <alignment horizontal="center"/>
      <protection locked="0"/>
    </xf>
    <xf numFmtId="0" fontId="0" fillId="5" borderId="43" xfId="0" applyFill="1" applyBorder="1" applyAlignment="1" applyProtection="1">
      <alignment horizontal="center"/>
      <protection locked="0"/>
    </xf>
    <xf numFmtId="0" fontId="0" fillId="5" borderId="44" xfId="0" applyFill="1" applyBorder="1" applyAlignment="1" applyProtection="1">
      <alignment horizontal="center"/>
      <protection locked="0"/>
    </xf>
    <xf numFmtId="0" fontId="0" fillId="5" borderId="45" xfId="0" applyFill="1" applyBorder="1" applyAlignment="1" applyProtection="1">
      <alignment horizontal="center"/>
      <protection locked="0"/>
    </xf>
    <xf numFmtId="0" fontId="0" fillId="5" borderId="46" xfId="0" applyFill="1" applyBorder="1" applyAlignment="1" applyProtection="1">
      <alignment horizontal="center"/>
      <protection locked="0"/>
    </xf>
    <xf numFmtId="0" fontId="30" fillId="19" borderId="32" xfId="0" applyFont="1" applyFill="1" applyBorder="1" applyAlignment="1">
      <alignment horizontal="left" vertical="center" wrapText="1"/>
    </xf>
    <xf numFmtId="0" fontId="30" fillId="19" borderId="57" xfId="0" applyFont="1" applyFill="1" applyBorder="1" applyAlignment="1">
      <alignment horizontal="left" vertical="center" wrapText="1"/>
    </xf>
    <xf numFmtId="0" fontId="30" fillId="19" borderId="58" xfId="0" applyFont="1" applyFill="1" applyBorder="1" applyAlignment="1">
      <alignment horizontal="left" vertical="center" wrapText="1"/>
    </xf>
    <xf numFmtId="167" fontId="9" fillId="0" borderId="26" xfId="4" applyNumberFormat="1" applyFont="1" applyFill="1" applyBorder="1" applyAlignment="1" applyProtection="1">
      <alignment vertical="center" wrapText="1"/>
      <protection locked="0"/>
    </xf>
    <xf numFmtId="167" fontId="9" fillId="0" borderId="27" xfId="4" applyNumberFormat="1" applyFont="1" applyFill="1" applyBorder="1" applyAlignment="1" applyProtection="1">
      <alignment vertical="center" wrapText="1"/>
      <protection locked="0"/>
    </xf>
    <xf numFmtId="172" fontId="9" fillId="0" borderId="26" xfId="4" applyNumberFormat="1" applyFont="1" applyFill="1" applyBorder="1" applyAlignment="1" applyProtection="1">
      <alignment vertical="center" wrapText="1"/>
      <protection locked="0"/>
    </xf>
    <xf numFmtId="172" fontId="9" fillId="0" borderId="27" xfId="4" applyNumberFormat="1" applyFont="1" applyFill="1" applyBorder="1" applyAlignment="1" applyProtection="1">
      <alignment vertical="center" wrapText="1"/>
      <protection locked="0"/>
    </xf>
    <xf numFmtId="0" fontId="1" fillId="23" borderId="62" xfId="0" applyFont="1" applyFill="1" applyBorder="1" applyAlignment="1">
      <alignment horizontal="left" vertical="center" wrapText="1"/>
    </xf>
    <xf numFmtId="0" fontId="1" fillId="23" borderId="63" xfId="0" applyFont="1" applyFill="1" applyBorder="1" applyAlignment="1">
      <alignment horizontal="left" vertical="center" wrapText="1"/>
    </xf>
    <xf numFmtId="0" fontId="1" fillId="23" borderId="64" xfId="0" applyFont="1" applyFill="1" applyBorder="1" applyAlignment="1">
      <alignment horizontal="left" vertical="center" wrapText="1"/>
    </xf>
    <xf numFmtId="167" fontId="0" fillId="0" borderId="65" xfId="0" applyNumberFormat="1" applyBorder="1" applyAlignment="1">
      <alignment vertical="center"/>
    </xf>
    <xf numFmtId="167" fontId="0" fillId="0" borderId="66" xfId="0" applyNumberFormat="1" applyBorder="1" applyAlignment="1">
      <alignment vertical="center"/>
    </xf>
    <xf numFmtId="0" fontId="1" fillId="18" borderId="32" xfId="0" applyFont="1" applyFill="1" applyBorder="1" applyAlignment="1">
      <alignment horizontal="left" vertical="center" wrapText="1"/>
    </xf>
    <xf numFmtId="0" fontId="1" fillId="18" borderId="57" xfId="0" applyFont="1" applyFill="1" applyBorder="1" applyAlignment="1">
      <alignment horizontal="left" vertical="center" wrapText="1"/>
    </xf>
    <xf numFmtId="0" fontId="1" fillId="18" borderId="58" xfId="0" applyFont="1" applyFill="1" applyBorder="1" applyAlignment="1">
      <alignment horizontal="left" vertical="center" wrapText="1"/>
    </xf>
    <xf numFmtId="0" fontId="1" fillId="18" borderId="29" xfId="0" applyFont="1" applyFill="1" applyBorder="1" applyAlignment="1">
      <alignment horizontal="left" vertical="center" wrapText="1"/>
    </xf>
    <xf numFmtId="0" fontId="1" fillId="18" borderId="21" xfId="0" applyFont="1" applyFill="1" applyBorder="1" applyAlignment="1">
      <alignment horizontal="left" vertical="center" wrapText="1"/>
    </xf>
    <xf numFmtId="0" fontId="1" fillId="18" borderId="59" xfId="0" applyFont="1" applyFill="1" applyBorder="1" applyAlignment="1">
      <alignment horizontal="left" vertical="center" wrapText="1"/>
    </xf>
    <xf numFmtId="167" fontId="0" fillId="0" borderId="26" xfId="0" applyNumberFormat="1" applyFont="1" applyBorder="1" applyAlignment="1">
      <alignment horizontal="right" vertical="center" wrapText="1"/>
    </xf>
    <xf numFmtId="167" fontId="0" fillId="0" borderId="27" xfId="0" applyNumberFormat="1" applyFont="1" applyBorder="1" applyAlignment="1">
      <alignment horizontal="right" vertical="center" wrapText="1"/>
    </xf>
    <xf numFmtId="0" fontId="1" fillId="22" borderId="10" xfId="0" applyFont="1" applyFill="1" applyBorder="1" applyAlignment="1">
      <alignment horizontal="left" vertical="center" wrapText="1"/>
    </xf>
    <xf numFmtId="0" fontId="1" fillId="22" borderId="11" xfId="0" applyFont="1" applyFill="1" applyBorder="1" applyAlignment="1">
      <alignment horizontal="left" vertical="center" wrapText="1"/>
    </xf>
    <xf numFmtId="0" fontId="1" fillId="30" borderId="10" xfId="0" applyFont="1" applyFill="1" applyBorder="1" applyAlignment="1">
      <alignment horizontal="left"/>
    </xf>
    <xf numFmtId="0" fontId="1" fillId="30" borderId="11" xfId="0" applyFont="1" applyFill="1" applyBorder="1" applyAlignment="1">
      <alignment horizontal="left"/>
    </xf>
    <xf numFmtId="0" fontId="1" fillId="30" borderId="25" xfId="0" applyFont="1" applyFill="1" applyBorder="1" applyAlignment="1">
      <alignment horizontal="left"/>
    </xf>
    <xf numFmtId="167" fontId="0" fillId="0" borderId="26" xfId="0" applyNumberFormat="1" applyBorder="1" applyAlignment="1">
      <alignment vertical="center"/>
    </xf>
    <xf numFmtId="167" fontId="0" fillId="0" borderId="27" xfId="0" applyNumberFormat="1" applyBorder="1" applyAlignment="1">
      <alignment vertical="center"/>
    </xf>
    <xf numFmtId="0" fontId="1" fillId="17" borderId="10" xfId="0" applyFont="1" applyFill="1" applyBorder="1" applyAlignment="1">
      <alignment vertical="center" wrapText="1"/>
    </xf>
    <xf numFmtId="0" fontId="1" fillId="17" borderId="11" xfId="0" applyFont="1" applyFill="1" applyBorder="1" applyAlignment="1">
      <alignment vertical="center" wrapText="1"/>
    </xf>
    <xf numFmtId="0" fontId="13" fillId="0" borderId="23" xfId="0" applyFont="1" applyBorder="1" applyAlignment="1">
      <alignment horizontal="center"/>
    </xf>
    <xf numFmtId="0" fontId="13" fillId="0" borderId="24" xfId="0" applyFont="1" applyBorder="1" applyAlignment="1">
      <alignment horizontal="center"/>
    </xf>
    <xf numFmtId="0" fontId="1" fillId="30" borderId="10" xfId="0" applyFont="1" applyFill="1" applyBorder="1" applyAlignment="1">
      <alignment horizontal="left" vertical="center" wrapText="1"/>
    </xf>
    <xf numFmtId="0" fontId="1" fillId="30" borderId="11" xfId="0" applyFont="1" applyFill="1" applyBorder="1" applyAlignment="1">
      <alignment horizontal="left" vertical="center" wrapText="1"/>
    </xf>
    <xf numFmtId="0" fontId="1" fillId="30" borderId="9" xfId="0" applyFont="1" applyFill="1" applyBorder="1" applyAlignment="1">
      <alignment horizontal="left"/>
    </xf>
    <xf numFmtId="167" fontId="9" fillId="0" borderId="75" xfId="4" applyNumberFormat="1" applyFont="1" applyFill="1" applyBorder="1" applyAlignment="1" applyProtection="1">
      <alignment horizontal="right" vertical="center" wrapText="1"/>
      <protection locked="0"/>
    </xf>
    <xf numFmtId="167" fontId="9" fillId="0" borderId="76" xfId="4" applyNumberFormat="1" applyFont="1" applyFill="1" applyBorder="1" applyAlignment="1" applyProtection="1">
      <alignment horizontal="right" vertical="center" wrapText="1"/>
      <protection locked="0"/>
    </xf>
    <xf numFmtId="166" fontId="9" fillId="0" borderId="26" xfId="2" applyNumberFormat="1" applyFont="1" applyFill="1" applyBorder="1" applyAlignment="1" applyProtection="1">
      <alignment vertical="center" wrapText="1"/>
      <protection locked="0"/>
    </xf>
    <xf numFmtId="166" fontId="9" fillId="0" borderId="27" xfId="2" applyNumberFormat="1" applyFont="1" applyFill="1" applyBorder="1" applyAlignment="1" applyProtection="1">
      <alignment vertical="center" wrapText="1"/>
      <protection locked="0"/>
    </xf>
    <xf numFmtId="0" fontId="1" fillId="19" borderId="60" xfId="0" applyFont="1" applyFill="1" applyBorder="1" applyAlignment="1">
      <alignment horizontal="left" vertical="center" wrapText="1"/>
    </xf>
    <xf numFmtId="0" fontId="1" fillId="19" borderId="0" xfId="0" applyFont="1" applyFill="1" applyBorder="1" applyAlignment="1">
      <alignment horizontal="left" vertical="center" wrapText="1"/>
    </xf>
    <xf numFmtId="0" fontId="1" fillId="19" borderId="61" xfId="0" applyFont="1" applyFill="1" applyBorder="1" applyAlignment="1">
      <alignment horizontal="left" vertical="center" wrapText="1"/>
    </xf>
    <xf numFmtId="167" fontId="9" fillId="0" borderId="75" xfId="4" applyNumberFormat="1" applyFont="1" applyFill="1" applyBorder="1" applyAlignment="1" applyProtection="1">
      <alignment horizontal="right" vertical="center" wrapText="1"/>
    </xf>
    <xf numFmtId="167" fontId="9" fillId="0" borderId="76" xfId="4" applyNumberFormat="1" applyFont="1" applyFill="1" applyBorder="1" applyAlignment="1" applyProtection="1">
      <alignment horizontal="right" vertical="center" wrapText="1"/>
    </xf>
    <xf numFmtId="166" fontId="9" fillId="0" borderId="25" xfId="2" applyNumberFormat="1" applyFont="1" applyFill="1" applyBorder="1" applyAlignment="1" applyProtection="1">
      <alignment vertical="center" wrapText="1"/>
      <protection locked="0"/>
    </xf>
    <xf numFmtId="167" fontId="0" fillId="0" borderId="25" xfId="0" applyNumberFormat="1" applyBorder="1" applyAlignment="1">
      <alignment vertical="center"/>
    </xf>
    <xf numFmtId="0" fontId="23" fillId="29" borderId="62" xfId="0" applyFont="1" applyFill="1" applyBorder="1" applyAlignment="1" applyProtection="1">
      <alignment horizontal="center" wrapText="1"/>
      <protection locked="0"/>
    </xf>
    <xf numFmtId="0" fontId="23" fillId="29" borderId="67" xfId="0" applyFont="1" applyFill="1" applyBorder="1" applyAlignment="1" applyProtection="1">
      <alignment horizontal="center" wrapText="1"/>
      <protection locked="0"/>
    </xf>
    <xf numFmtId="0" fontId="23" fillId="11" borderId="70" xfId="0" applyFont="1" applyFill="1" applyBorder="1" applyAlignment="1" applyProtection="1">
      <alignment horizontal="center" vertical="center" wrapText="1"/>
      <protection locked="0"/>
    </xf>
    <xf numFmtId="0" fontId="23" fillId="11" borderId="71" xfId="0" applyFont="1" applyFill="1" applyBorder="1" applyAlignment="1" applyProtection="1">
      <alignment horizontal="center" vertical="center" wrapText="1"/>
      <protection locked="0"/>
    </xf>
    <xf numFmtId="0" fontId="0" fillId="0" borderId="18" xfId="0" applyFont="1" applyBorder="1" applyAlignment="1">
      <alignment vertical="center"/>
    </xf>
    <xf numFmtId="0" fontId="0" fillId="0" borderId="19" xfId="0" applyFont="1" applyBorder="1" applyAlignment="1">
      <alignment vertical="center"/>
    </xf>
    <xf numFmtId="0" fontId="0" fillId="0" borderId="20"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8" fillId="0" borderId="18" xfId="1" applyBorder="1" applyAlignment="1">
      <alignment vertical="center"/>
    </xf>
    <xf numFmtId="0" fontId="8" fillId="0" borderId="19" xfId="1" applyBorder="1" applyAlignment="1">
      <alignment vertical="center"/>
    </xf>
    <xf numFmtId="0" fontId="8" fillId="0" borderId="20" xfId="1" applyBorder="1" applyAlignment="1">
      <alignment vertical="center"/>
    </xf>
    <xf numFmtId="0" fontId="0" fillId="0" borderId="18" xfId="0" applyFont="1" applyBorder="1" applyAlignment="1">
      <alignment vertical="center" wrapText="1"/>
    </xf>
    <xf numFmtId="0" fontId="0" fillId="0" borderId="19" xfId="0" applyFont="1" applyBorder="1" applyAlignment="1">
      <alignment vertical="center" wrapText="1"/>
    </xf>
    <xf numFmtId="0" fontId="0" fillId="0" borderId="11" xfId="0" applyBorder="1" applyAlignment="1">
      <alignment vertical="center" wrapText="1"/>
    </xf>
    <xf numFmtId="0" fontId="0" fillId="0" borderId="21" xfId="0" applyBorder="1" applyAlignment="1">
      <alignment vertical="center" wrapText="1"/>
    </xf>
    <xf numFmtId="0" fontId="0" fillId="0" borderId="9" xfId="0" applyFill="1" applyBorder="1" applyAlignment="1">
      <alignment horizontal="right" vertical="center"/>
    </xf>
    <xf numFmtId="165" fontId="0" fillId="0" borderId="9" xfId="0" applyNumberFormat="1" applyFill="1" applyBorder="1" applyAlignment="1">
      <alignment horizontal="right" vertical="center"/>
    </xf>
    <xf numFmtId="3" fontId="0" fillId="0" borderId="10" xfId="0" applyNumberFormat="1" applyFill="1" applyBorder="1" applyAlignment="1">
      <alignment vertical="center"/>
    </xf>
    <xf numFmtId="3" fontId="0" fillId="0" borderId="36" xfId="0" applyNumberFormat="1" applyFill="1" applyBorder="1" applyAlignment="1">
      <alignment vertical="center"/>
    </xf>
    <xf numFmtId="3" fontId="0" fillId="0" borderId="68" xfId="0" applyNumberFormat="1" applyFill="1" applyBorder="1" applyAlignment="1">
      <alignment vertical="center"/>
    </xf>
    <xf numFmtId="3" fontId="0" fillId="0" borderId="25" xfId="0" applyNumberFormat="1" applyFill="1" applyBorder="1" applyAlignment="1">
      <alignment vertical="center"/>
    </xf>
    <xf numFmtId="3" fontId="0" fillId="0" borderId="9" xfId="0" applyNumberFormat="1" applyFill="1" applyBorder="1" applyAlignment="1">
      <alignment vertical="center"/>
    </xf>
    <xf numFmtId="0" fontId="0" fillId="0" borderId="0" xfId="0" applyBorder="1" applyAlignment="1">
      <alignment vertical="center"/>
    </xf>
    <xf numFmtId="0" fontId="0" fillId="0" borderId="43" xfId="0" applyBorder="1" applyAlignment="1">
      <alignment vertical="center"/>
    </xf>
  </cellXfs>
  <cellStyles count="5">
    <cellStyle name="Currency" xfId="4" builtinId="4"/>
    <cellStyle name="Hyperlink" xfId="1" builtinId="8"/>
    <cellStyle name="Normal" xfId="0" builtinId="0"/>
    <cellStyle name="Normal 2 112" xfId="3" xr:uid="{00000000-0005-0000-0000-000003000000}"/>
    <cellStyle name="Percent" xfId="2" builtinId="5"/>
  </cellStyles>
  <dxfs count="247">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theme="1"/>
      </font>
      <fill>
        <patternFill>
          <bgColor rgb="FF9999FF"/>
        </patternFill>
      </fill>
    </dxf>
    <dxf>
      <font>
        <color theme="1"/>
      </font>
      <fill>
        <patternFill>
          <bgColor theme="5" tint="0.59996337778862885"/>
        </patternFill>
      </fill>
    </dxf>
    <dxf>
      <font>
        <color theme="1"/>
      </font>
      <fill>
        <patternFill>
          <bgColor theme="5" tint="0.79998168889431442"/>
        </patternFill>
      </fill>
    </dxf>
    <dxf>
      <font>
        <color theme="1"/>
      </font>
      <fill>
        <patternFill>
          <bgColor theme="9" tint="0.59996337778862885"/>
        </patternFill>
      </fill>
    </dxf>
    <dxf>
      <font>
        <color theme="1"/>
      </font>
      <fill>
        <patternFill>
          <bgColor theme="9" tint="0.79998168889431442"/>
        </patternFill>
      </fill>
    </dxf>
    <dxf>
      <font>
        <color theme="0"/>
      </font>
      <fill>
        <patternFill>
          <bgColor theme="1" tint="0.24994659260841701"/>
        </patternFill>
      </fill>
    </dxf>
    <dxf>
      <font>
        <color theme="0"/>
      </font>
      <fill>
        <patternFill>
          <bgColor theme="0" tint="-0.499984740745262"/>
        </patternFill>
      </fill>
    </dxf>
    <dxf>
      <font>
        <color theme="1"/>
      </font>
      <fill>
        <patternFill>
          <bgColor theme="0" tint="-0.14996795556505021"/>
        </patternFill>
      </fill>
    </dxf>
    <dxf>
      <font>
        <color theme="0"/>
      </font>
      <fill>
        <patternFill>
          <bgColor theme="4" tint="-0.24994659260841701"/>
        </patternFill>
      </fill>
    </dxf>
    <dxf>
      <font>
        <color theme="1"/>
      </font>
      <fill>
        <patternFill>
          <bgColor theme="4" tint="0.39994506668294322"/>
        </patternFill>
      </fill>
    </dxf>
    <dxf>
      <font>
        <color theme="1"/>
      </font>
      <fill>
        <patternFill>
          <bgColor theme="4" tint="0.79998168889431442"/>
        </patternFill>
      </fill>
    </dxf>
    <dxf>
      <font>
        <color theme="0"/>
      </font>
      <fill>
        <patternFill>
          <bgColor rgb="FF7030A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ill>
        <patternFill>
          <bgColor rgb="FFFFFF00"/>
        </patternFill>
      </fill>
    </dxf>
    <dxf>
      <fill>
        <patternFill>
          <bgColor rgb="FFFFC000"/>
        </patternFill>
      </fill>
    </dxf>
    <dxf>
      <font>
        <color theme="1"/>
      </font>
      <fill>
        <patternFill>
          <bgColor rgb="FFCCCCFF"/>
        </patternFill>
      </fill>
    </dxf>
    <dxf>
      <font>
        <color theme="1"/>
      </font>
      <fill>
        <patternFill>
          <bgColor theme="7" tint="0.79998168889431442"/>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color theme="1"/>
      </font>
      <fill>
        <patternFill>
          <bgColor rgb="FF9999FF"/>
        </patternFill>
      </fill>
    </dxf>
    <dxf>
      <font>
        <color theme="1"/>
      </font>
      <fill>
        <patternFill>
          <bgColor theme="5" tint="0.59996337778862885"/>
        </patternFill>
      </fill>
    </dxf>
    <dxf>
      <font>
        <color theme="1"/>
      </font>
      <fill>
        <patternFill>
          <bgColor theme="5" tint="0.79998168889431442"/>
        </patternFill>
      </fill>
    </dxf>
    <dxf>
      <font>
        <color theme="1"/>
      </font>
      <fill>
        <patternFill>
          <bgColor theme="9" tint="0.59996337778862885"/>
        </patternFill>
      </fill>
    </dxf>
    <dxf>
      <font>
        <color theme="1"/>
      </font>
      <fill>
        <patternFill>
          <bgColor theme="9" tint="0.79998168889431442"/>
        </patternFill>
      </fill>
    </dxf>
    <dxf>
      <font>
        <color theme="0"/>
      </font>
      <fill>
        <patternFill>
          <bgColor theme="1" tint="0.24994659260841701"/>
        </patternFill>
      </fill>
    </dxf>
    <dxf>
      <font>
        <color theme="0"/>
      </font>
      <fill>
        <patternFill>
          <bgColor theme="0" tint="-0.499984740745262"/>
        </patternFill>
      </fill>
    </dxf>
    <dxf>
      <font>
        <color theme="1"/>
      </font>
      <fill>
        <patternFill>
          <bgColor theme="0" tint="-0.14996795556505021"/>
        </patternFill>
      </fill>
    </dxf>
    <dxf>
      <font>
        <color theme="0"/>
      </font>
      <fill>
        <patternFill>
          <bgColor theme="4" tint="-0.24994659260841701"/>
        </patternFill>
      </fill>
    </dxf>
    <dxf>
      <font>
        <color theme="1"/>
      </font>
      <fill>
        <patternFill>
          <bgColor theme="4" tint="0.39994506668294322"/>
        </patternFill>
      </fill>
    </dxf>
    <dxf>
      <font>
        <color theme="1"/>
      </font>
      <fill>
        <patternFill>
          <bgColor theme="4" tint="0.79998168889431442"/>
        </patternFill>
      </fill>
    </dxf>
    <dxf>
      <font>
        <color theme="0"/>
      </font>
      <fill>
        <patternFill>
          <bgColor rgb="FF7030A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ill>
        <patternFill>
          <bgColor rgb="FFFFFF00"/>
        </patternFill>
      </fill>
    </dxf>
    <dxf>
      <fill>
        <patternFill>
          <bgColor rgb="FFFFC000"/>
        </patternFill>
      </fill>
    </dxf>
    <dxf>
      <font>
        <color theme="1"/>
      </font>
      <fill>
        <patternFill>
          <bgColor rgb="FFCCCCFF"/>
        </patternFill>
      </fill>
    </dxf>
    <dxf>
      <font>
        <color theme="1"/>
      </font>
      <fill>
        <patternFill>
          <bgColor theme="7" tint="0.79998168889431442"/>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color theme="1"/>
      </font>
      <fill>
        <patternFill>
          <bgColor theme="4" tint="0.79998168889431442"/>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7" tint="0.79998168889431442"/>
        </patternFill>
      </fill>
    </dxf>
    <dxf>
      <font>
        <color theme="1"/>
      </font>
      <fill>
        <patternFill>
          <bgColor theme="0" tint="-0.14996795556505021"/>
        </patternFill>
      </fill>
    </dxf>
    <dxf>
      <font>
        <color theme="0"/>
      </font>
      <fill>
        <patternFill>
          <bgColor theme="0" tint="-0.499984740745262"/>
        </patternFill>
      </fill>
    </dxf>
    <dxf>
      <font>
        <color theme="0"/>
      </font>
      <fill>
        <patternFill>
          <bgColor theme="1" tint="0.24994659260841701"/>
        </patternFill>
      </fill>
    </dxf>
    <dxf>
      <font>
        <color theme="1"/>
      </font>
      <fill>
        <patternFill>
          <bgColor theme="9" tint="0.79998168889431442"/>
        </patternFill>
      </fill>
    </dxf>
    <dxf>
      <font>
        <color theme="1"/>
      </font>
      <fill>
        <patternFill>
          <bgColor theme="9" tint="0.59996337778862885"/>
        </patternFill>
      </fill>
    </dxf>
    <dxf>
      <font>
        <color theme="1"/>
      </font>
      <fill>
        <patternFill>
          <bgColor theme="5" tint="0.79998168889431442"/>
        </patternFill>
      </fill>
    </dxf>
    <dxf>
      <font>
        <color theme="1"/>
      </font>
      <fill>
        <patternFill>
          <bgColor theme="5" tint="0.59996337778862885"/>
        </patternFill>
      </fill>
    </dxf>
    <dxf>
      <font>
        <color theme="1"/>
      </font>
      <fill>
        <patternFill>
          <bgColor rgb="FFCCCCFF"/>
        </patternFill>
      </fill>
    </dxf>
    <dxf>
      <font>
        <color theme="1"/>
      </font>
      <fill>
        <patternFill>
          <bgColor rgb="FFCCCCFF"/>
        </patternFill>
      </fill>
    </dxf>
    <dxf>
      <fill>
        <patternFill>
          <bgColor rgb="FFFFC000"/>
        </patternFill>
      </fill>
    </dxf>
    <dxf>
      <font>
        <color theme="0"/>
      </font>
      <fill>
        <patternFill>
          <bgColor rgb="FF9900CC"/>
        </patternFill>
      </fill>
    </dxf>
    <dxf>
      <fill>
        <patternFill>
          <bgColor rgb="FFFF99FF"/>
        </patternFill>
      </fill>
    </dxf>
    <dxf>
      <font>
        <color theme="0"/>
      </font>
      <fill>
        <patternFill>
          <bgColor theme="4" tint="-0.24994659260841701"/>
        </patternFill>
      </fill>
    </dxf>
    <dxf>
      <font>
        <color theme="0"/>
      </font>
      <fill>
        <patternFill>
          <bgColor theme="9" tint="-0.24994659260841701"/>
        </patternFill>
      </fill>
    </dxf>
    <dxf>
      <font>
        <color theme="0"/>
      </font>
      <fill>
        <patternFill>
          <bgColor rgb="FF7030A0"/>
        </patternFill>
      </fill>
    </dxf>
    <dxf>
      <fill>
        <patternFill>
          <bgColor rgb="FFFFFF00"/>
        </patternFill>
      </fill>
    </dxf>
    <dxf>
      <font>
        <color theme="1"/>
      </font>
      <fill>
        <patternFill>
          <bgColor theme="1" tint="0.499984740745262"/>
        </patternFill>
      </fill>
    </dxf>
    <dxf>
      <font>
        <b val="0"/>
        <i val="0"/>
        <strike val="0"/>
        <color theme="1"/>
      </font>
      <fill>
        <patternFill>
          <bgColor theme="1" tint="0.499984740745262"/>
        </patternFill>
      </fill>
    </dxf>
    <dxf>
      <font>
        <b val="0"/>
        <i val="0"/>
        <strike val="0"/>
        <color theme="1"/>
      </font>
      <fill>
        <patternFill>
          <bgColor theme="1" tint="0.499984740745262"/>
        </patternFill>
      </fill>
    </dxf>
    <dxf>
      <font>
        <color theme="1"/>
      </font>
      <fill>
        <patternFill>
          <bgColor rgb="FF9999FF"/>
        </patternFill>
      </fill>
    </dxf>
    <dxf>
      <font>
        <color theme="1"/>
      </font>
      <fill>
        <patternFill>
          <bgColor theme="5" tint="0.59996337778862885"/>
        </patternFill>
      </fill>
    </dxf>
    <dxf>
      <font>
        <color theme="1"/>
      </font>
      <fill>
        <patternFill>
          <bgColor theme="5" tint="0.79998168889431442"/>
        </patternFill>
      </fill>
    </dxf>
    <dxf>
      <font>
        <color theme="1"/>
      </font>
      <fill>
        <patternFill>
          <bgColor theme="9" tint="0.59996337778862885"/>
        </patternFill>
      </fill>
    </dxf>
    <dxf>
      <font>
        <color theme="1"/>
      </font>
      <fill>
        <patternFill>
          <bgColor theme="9" tint="0.79998168889431442"/>
        </patternFill>
      </fill>
    </dxf>
    <dxf>
      <font>
        <color theme="0"/>
      </font>
      <fill>
        <patternFill>
          <bgColor theme="1" tint="0.24994659260841701"/>
        </patternFill>
      </fill>
    </dxf>
    <dxf>
      <font>
        <color theme="0"/>
      </font>
      <fill>
        <patternFill>
          <bgColor theme="0" tint="-0.499984740745262"/>
        </patternFill>
      </fill>
    </dxf>
    <dxf>
      <font>
        <color theme="1"/>
      </font>
      <fill>
        <patternFill>
          <bgColor theme="0" tint="-0.14996795556505021"/>
        </patternFill>
      </fill>
    </dxf>
    <dxf>
      <font>
        <color theme="0"/>
      </font>
      <fill>
        <patternFill>
          <bgColor theme="4" tint="-0.24994659260841701"/>
        </patternFill>
      </fill>
    </dxf>
    <dxf>
      <font>
        <color theme="1"/>
      </font>
      <fill>
        <patternFill>
          <bgColor theme="4" tint="0.39994506668294322"/>
        </patternFill>
      </fill>
    </dxf>
    <dxf>
      <font>
        <color theme="1"/>
      </font>
      <fill>
        <patternFill>
          <bgColor theme="4" tint="0.79998168889431442"/>
        </patternFill>
      </fill>
    </dxf>
    <dxf>
      <font>
        <color theme="0"/>
      </font>
      <fill>
        <patternFill>
          <bgColor rgb="FF7030A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ill>
        <patternFill>
          <bgColor rgb="FFFFFF00"/>
        </patternFill>
      </fill>
    </dxf>
    <dxf>
      <fill>
        <patternFill>
          <bgColor rgb="FFFFC000"/>
        </patternFill>
      </fill>
    </dxf>
    <dxf>
      <font>
        <color theme="1"/>
      </font>
      <fill>
        <patternFill>
          <bgColor rgb="FFCCCCFF"/>
        </patternFill>
      </fill>
    </dxf>
    <dxf>
      <font>
        <color theme="1"/>
      </font>
      <fill>
        <patternFill>
          <bgColor theme="7" tint="0.79998168889431442"/>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color theme="1"/>
      </font>
      <fill>
        <patternFill>
          <bgColor rgb="FF9999FF"/>
        </patternFill>
      </fill>
    </dxf>
    <dxf>
      <font>
        <color theme="1"/>
      </font>
      <fill>
        <patternFill>
          <bgColor theme="5" tint="0.59996337778862885"/>
        </patternFill>
      </fill>
    </dxf>
    <dxf>
      <font>
        <color theme="1"/>
      </font>
      <fill>
        <patternFill>
          <bgColor theme="5" tint="0.79998168889431442"/>
        </patternFill>
      </fill>
    </dxf>
    <dxf>
      <font>
        <color theme="1"/>
      </font>
      <fill>
        <patternFill>
          <bgColor theme="9" tint="0.59996337778862885"/>
        </patternFill>
      </fill>
    </dxf>
    <dxf>
      <font>
        <color theme="1"/>
      </font>
      <fill>
        <patternFill>
          <bgColor theme="9" tint="0.79998168889431442"/>
        </patternFill>
      </fill>
    </dxf>
    <dxf>
      <font>
        <color theme="0"/>
      </font>
      <fill>
        <patternFill>
          <bgColor theme="1" tint="0.24994659260841701"/>
        </patternFill>
      </fill>
    </dxf>
    <dxf>
      <font>
        <color theme="0"/>
      </font>
      <fill>
        <patternFill>
          <bgColor theme="0" tint="-0.499984740745262"/>
        </patternFill>
      </fill>
    </dxf>
    <dxf>
      <font>
        <color theme="1"/>
      </font>
      <fill>
        <patternFill>
          <bgColor theme="0" tint="-0.14996795556505021"/>
        </patternFill>
      </fill>
    </dxf>
    <dxf>
      <font>
        <color theme="0"/>
      </font>
      <fill>
        <patternFill>
          <bgColor theme="4" tint="-0.24994659260841701"/>
        </patternFill>
      </fill>
    </dxf>
    <dxf>
      <font>
        <color theme="1"/>
      </font>
      <fill>
        <patternFill>
          <bgColor theme="4" tint="0.39994506668294322"/>
        </patternFill>
      </fill>
    </dxf>
    <dxf>
      <font>
        <color theme="1"/>
      </font>
      <fill>
        <patternFill>
          <bgColor theme="4" tint="0.79998168889431442"/>
        </patternFill>
      </fill>
    </dxf>
    <dxf>
      <font>
        <color theme="0"/>
      </font>
      <fill>
        <patternFill>
          <bgColor rgb="FF7030A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ill>
        <patternFill>
          <bgColor rgb="FFFFFF00"/>
        </patternFill>
      </fill>
    </dxf>
    <dxf>
      <fill>
        <patternFill>
          <bgColor rgb="FFFFC000"/>
        </patternFill>
      </fill>
    </dxf>
    <dxf>
      <font>
        <color theme="1"/>
      </font>
      <fill>
        <patternFill>
          <bgColor rgb="FFCCCCFF"/>
        </patternFill>
      </fill>
    </dxf>
    <dxf>
      <font>
        <color theme="1"/>
      </font>
      <fill>
        <patternFill>
          <bgColor theme="7" tint="0.79998168889431442"/>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color theme="1"/>
      </font>
      <fill>
        <patternFill>
          <bgColor theme="4" tint="0.79998168889431442"/>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7" tint="0.79998168889431442"/>
        </patternFill>
      </fill>
    </dxf>
    <dxf>
      <font>
        <color theme="1"/>
      </font>
      <fill>
        <patternFill>
          <bgColor theme="0" tint="-0.14996795556505021"/>
        </patternFill>
      </fill>
    </dxf>
    <dxf>
      <font>
        <color theme="0"/>
      </font>
      <fill>
        <patternFill>
          <bgColor theme="0" tint="-0.499984740745262"/>
        </patternFill>
      </fill>
    </dxf>
    <dxf>
      <font>
        <color theme="0"/>
      </font>
      <fill>
        <patternFill>
          <bgColor theme="1" tint="0.24994659260841701"/>
        </patternFill>
      </fill>
    </dxf>
    <dxf>
      <font>
        <color theme="1"/>
      </font>
      <fill>
        <patternFill>
          <bgColor theme="9" tint="0.79998168889431442"/>
        </patternFill>
      </fill>
    </dxf>
    <dxf>
      <font>
        <color theme="1"/>
      </font>
      <fill>
        <patternFill>
          <bgColor theme="9" tint="0.59996337778862885"/>
        </patternFill>
      </fill>
    </dxf>
    <dxf>
      <font>
        <color theme="1"/>
      </font>
      <fill>
        <patternFill>
          <bgColor theme="5" tint="0.79998168889431442"/>
        </patternFill>
      </fill>
    </dxf>
    <dxf>
      <font>
        <color theme="1"/>
      </font>
      <fill>
        <patternFill>
          <bgColor theme="5" tint="0.59996337778862885"/>
        </patternFill>
      </fill>
    </dxf>
    <dxf>
      <font>
        <color theme="1"/>
      </font>
      <fill>
        <patternFill>
          <bgColor rgb="FFCCCCFF"/>
        </patternFill>
      </fill>
    </dxf>
    <dxf>
      <font>
        <color theme="1"/>
      </font>
      <fill>
        <patternFill>
          <bgColor rgb="FFCCCCFF"/>
        </patternFill>
      </fill>
    </dxf>
    <dxf>
      <fill>
        <patternFill>
          <bgColor rgb="FFFFC000"/>
        </patternFill>
      </fill>
    </dxf>
    <dxf>
      <font>
        <color theme="0"/>
      </font>
      <fill>
        <patternFill>
          <bgColor rgb="FF9900CC"/>
        </patternFill>
      </fill>
    </dxf>
    <dxf>
      <fill>
        <patternFill>
          <bgColor rgb="FFFF99FF"/>
        </patternFill>
      </fill>
    </dxf>
    <dxf>
      <font>
        <color theme="0"/>
      </font>
      <fill>
        <patternFill>
          <bgColor theme="4" tint="-0.24994659260841701"/>
        </patternFill>
      </fill>
    </dxf>
    <dxf>
      <font>
        <color theme="0"/>
      </font>
      <fill>
        <patternFill>
          <bgColor theme="9" tint="-0.24994659260841701"/>
        </patternFill>
      </fill>
    </dxf>
    <dxf>
      <font>
        <color theme="0"/>
      </font>
      <fill>
        <patternFill>
          <bgColor rgb="FF7030A0"/>
        </patternFill>
      </fill>
    </dxf>
    <dxf>
      <fill>
        <patternFill>
          <bgColor rgb="FFFFFF00"/>
        </patternFill>
      </fill>
    </dxf>
    <dxf>
      <font>
        <color theme="1"/>
      </font>
      <fill>
        <patternFill>
          <bgColor theme="1" tint="0.499984740745262"/>
        </patternFill>
      </fill>
    </dxf>
    <dxf>
      <font>
        <b val="0"/>
        <i val="0"/>
        <strike val="0"/>
        <color theme="1"/>
      </font>
      <fill>
        <patternFill>
          <bgColor theme="1" tint="0.499984740745262"/>
        </patternFill>
      </fill>
    </dxf>
    <dxf>
      <font>
        <b val="0"/>
        <i val="0"/>
        <strike val="0"/>
        <color theme="1"/>
      </font>
      <fill>
        <patternFill>
          <bgColor theme="1" tint="0.499984740745262"/>
        </patternFill>
      </fill>
    </dxf>
    <dxf>
      <font>
        <color theme="1"/>
      </font>
      <fill>
        <patternFill>
          <bgColor rgb="FF9999FF"/>
        </patternFill>
      </fill>
    </dxf>
    <dxf>
      <font>
        <color theme="1"/>
      </font>
      <fill>
        <patternFill>
          <bgColor theme="5" tint="0.59996337778862885"/>
        </patternFill>
      </fill>
    </dxf>
    <dxf>
      <font>
        <color theme="1"/>
      </font>
      <fill>
        <patternFill>
          <bgColor theme="5" tint="0.79998168889431442"/>
        </patternFill>
      </fill>
    </dxf>
    <dxf>
      <font>
        <color theme="1"/>
      </font>
      <fill>
        <patternFill>
          <bgColor theme="9" tint="0.59996337778862885"/>
        </patternFill>
      </fill>
    </dxf>
    <dxf>
      <font>
        <color theme="1"/>
      </font>
      <fill>
        <patternFill>
          <bgColor theme="9" tint="0.79998168889431442"/>
        </patternFill>
      </fill>
    </dxf>
    <dxf>
      <font>
        <color theme="0"/>
      </font>
      <fill>
        <patternFill>
          <bgColor theme="1" tint="0.24994659260841701"/>
        </patternFill>
      </fill>
    </dxf>
    <dxf>
      <font>
        <color theme="0"/>
      </font>
      <fill>
        <patternFill>
          <bgColor theme="0" tint="-0.499984740745262"/>
        </patternFill>
      </fill>
    </dxf>
    <dxf>
      <font>
        <color theme="1"/>
      </font>
      <fill>
        <patternFill>
          <bgColor theme="0" tint="-0.14996795556505021"/>
        </patternFill>
      </fill>
    </dxf>
    <dxf>
      <font>
        <color theme="0"/>
      </font>
      <fill>
        <patternFill>
          <bgColor theme="4" tint="-0.24994659260841701"/>
        </patternFill>
      </fill>
    </dxf>
    <dxf>
      <font>
        <color theme="1"/>
      </font>
      <fill>
        <patternFill>
          <bgColor theme="4" tint="0.39994506668294322"/>
        </patternFill>
      </fill>
    </dxf>
    <dxf>
      <font>
        <color theme="1"/>
      </font>
      <fill>
        <patternFill>
          <bgColor theme="4" tint="0.79998168889431442"/>
        </patternFill>
      </fill>
    </dxf>
    <dxf>
      <font>
        <color theme="0"/>
      </font>
      <fill>
        <patternFill>
          <bgColor rgb="FF7030A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ill>
        <patternFill>
          <bgColor rgb="FFFFFF00"/>
        </patternFill>
      </fill>
    </dxf>
    <dxf>
      <fill>
        <patternFill>
          <bgColor rgb="FFFFC000"/>
        </patternFill>
      </fill>
    </dxf>
    <dxf>
      <font>
        <color theme="1"/>
      </font>
      <fill>
        <patternFill>
          <bgColor rgb="FFCCCCFF"/>
        </patternFill>
      </fill>
    </dxf>
    <dxf>
      <font>
        <color theme="1"/>
      </font>
      <fill>
        <patternFill>
          <bgColor theme="7" tint="0.79998168889431442"/>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color theme="1"/>
      </font>
      <fill>
        <patternFill>
          <bgColor rgb="FF9999FF"/>
        </patternFill>
      </fill>
    </dxf>
    <dxf>
      <font>
        <color theme="1"/>
      </font>
      <fill>
        <patternFill>
          <bgColor theme="5" tint="0.59996337778862885"/>
        </patternFill>
      </fill>
    </dxf>
    <dxf>
      <font>
        <color theme="1"/>
      </font>
      <fill>
        <patternFill>
          <bgColor theme="5" tint="0.79998168889431442"/>
        </patternFill>
      </fill>
    </dxf>
    <dxf>
      <font>
        <color theme="1"/>
      </font>
      <fill>
        <patternFill>
          <bgColor theme="9" tint="0.59996337778862885"/>
        </patternFill>
      </fill>
    </dxf>
    <dxf>
      <font>
        <color theme="1"/>
      </font>
      <fill>
        <patternFill>
          <bgColor theme="9" tint="0.79998168889431442"/>
        </patternFill>
      </fill>
    </dxf>
    <dxf>
      <font>
        <color theme="0"/>
      </font>
      <fill>
        <patternFill>
          <bgColor theme="1" tint="0.24994659260841701"/>
        </patternFill>
      </fill>
    </dxf>
    <dxf>
      <font>
        <color theme="0"/>
      </font>
      <fill>
        <patternFill>
          <bgColor theme="0" tint="-0.499984740745262"/>
        </patternFill>
      </fill>
    </dxf>
    <dxf>
      <font>
        <color theme="1"/>
      </font>
      <fill>
        <patternFill>
          <bgColor theme="0" tint="-0.14996795556505021"/>
        </patternFill>
      </fill>
    </dxf>
    <dxf>
      <font>
        <color theme="0"/>
      </font>
      <fill>
        <patternFill>
          <bgColor theme="4" tint="-0.24994659260841701"/>
        </patternFill>
      </fill>
    </dxf>
    <dxf>
      <font>
        <color theme="1"/>
      </font>
      <fill>
        <patternFill>
          <bgColor theme="4" tint="0.39994506668294322"/>
        </patternFill>
      </fill>
    </dxf>
    <dxf>
      <font>
        <color theme="1"/>
      </font>
      <fill>
        <patternFill>
          <bgColor theme="4" tint="0.79998168889431442"/>
        </patternFill>
      </fill>
    </dxf>
    <dxf>
      <font>
        <color theme="0"/>
      </font>
      <fill>
        <patternFill>
          <bgColor rgb="FF7030A0"/>
        </patternFill>
      </fill>
    </dxf>
    <dxf>
      <font>
        <color theme="0"/>
      </font>
      <fill>
        <patternFill>
          <bgColor theme="9" tint="-0.24994659260841701"/>
        </patternFill>
      </fill>
    </dxf>
    <dxf>
      <font>
        <color theme="0"/>
      </font>
      <fill>
        <patternFill>
          <bgColor theme="4" tint="-0.24994659260841701"/>
        </patternFill>
      </fill>
    </dxf>
    <dxf>
      <fill>
        <patternFill>
          <bgColor rgb="FFFF99FF"/>
        </patternFill>
      </fill>
    </dxf>
    <dxf>
      <font>
        <color theme="0"/>
      </font>
      <fill>
        <patternFill>
          <bgColor rgb="FF9900CC"/>
        </patternFill>
      </fill>
    </dxf>
    <dxf>
      <fill>
        <patternFill>
          <bgColor rgb="FFFFFF00"/>
        </patternFill>
      </fill>
    </dxf>
    <dxf>
      <fill>
        <patternFill>
          <bgColor rgb="FFFFC000"/>
        </patternFill>
      </fill>
    </dxf>
    <dxf>
      <font>
        <color theme="1"/>
      </font>
      <fill>
        <patternFill>
          <bgColor rgb="FFCCCCFF"/>
        </patternFill>
      </fill>
    </dxf>
    <dxf>
      <font>
        <color theme="1"/>
      </font>
      <fill>
        <patternFill>
          <bgColor theme="7" tint="0.79998168889431442"/>
        </patternFill>
      </fill>
    </dxf>
    <dxf>
      <font>
        <color theme="0"/>
      </font>
      <fill>
        <patternFill>
          <bgColor theme="5" tint="-0.24994659260841701"/>
        </patternFill>
      </fill>
    </dxf>
    <dxf>
      <fill>
        <patternFill>
          <bgColor theme="3" tint="0.59996337778862885"/>
        </patternFill>
      </fill>
    </dxf>
    <dxf>
      <fill>
        <patternFill>
          <bgColor theme="4" tint="0.79998168889431442"/>
        </patternFill>
      </fill>
    </dxf>
    <dxf>
      <fill>
        <patternFill>
          <bgColor theme="5" tint="0.79998168889431442"/>
        </patternFill>
      </fill>
    </dxf>
    <dxf>
      <font>
        <color theme="1"/>
      </font>
      <fill>
        <patternFill>
          <bgColor theme="4" tint="0.79998168889431442"/>
        </patternFill>
      </fill>
    </dxf>
    <dxf>
      <font>
        <color theme="1"/>
      </font>
      <fill>
        <patternFill>
          <bgColor theme="4" tint="0.39994506668294322"/>
        </patternFill>
      </fill>
    </dxf>
    <dxf>
      <font>
        <color theme="0"/>
      </font>
      <fill>
        <patternFill>
          <bgColor theme="4" tint="-0.24994659260841701"/>
        </patternFill>
      </fill>
    </dxf>
    <dxf>
      <font>
        <color theme="1"/>
      </font>
      <fill>
        <patternFill>
          <bgColor theme="7" tint="0.79998168889431442"/>
        </patternFill>
      </fill>
    </dxf>
    <dxf>
      <font>
        <color theme="1"/>
      </font>
      <fill>
        <patternFill>
          <bgColor theme="0" tint="-0.14996795556505021"/>
        </patternFill>
      </fill>
    </dxf>
    <dxf>
      <font>
        <color theme="0"/>
      </font>
      <fill>
        <patternFill>
          <bgColor theme="0" tint="-0.499984740745262"/>
        </patternFill>
      </fill>
    </dxf>
    <dxf>
      <font>
        <color theme="0"/>
      </font>
      <fill>
        <patternFill>
          <bgColor theme="1" tint="0.24994659260841701"/>
        </patternFill>
      </fill>
    </dxf>
    <dxf>
      <font>
        <color theme="1"/>
      </font>
      <fill>
        <patternFill>
          <bgColor theme="9" tint="0.79998168889431442"/>
        </patternFill>
      </fill>
    </dxf>
    <dxf>
      <font>
        <color theme="1"/>
      </font>
      <fill>
        <patternFill>
          <bgColor theme="9" tint="0.59996337778862885"/>
        </patternFill>
      </fill>
    </dxf>
    <dxf>
      <font>
        <color theme="1"/>
      </font>
      <fill>
        <patternFill>
          <bgColor theme="5" tint="0.79998168889431442"/>
        </patternFill>
      </fill>
    </dxf>
    <dxf>
      <font>
        <color theme="1"/>
      </font>
      <fill>
        <patternFill>
          <bgColor theme="5" tint="0.59996337778862885"/>
        </patternFill>
      </fill>
    </dxf>
    <dxf>
      <font>
        <color theme="1"/>
      </font>
      <fill>
        <patternFill>
          <bgColor rgb="FFCCCCFF"/>
        </patternFill>
      </fill>
    </dxf>
    <dxf>
      <font>
        <color theme="1"/>
      </font>
      <fill>
        <patternFill>
          <bgColor rgb="FFCCCCFF"/>
        </patternFill>
      </fill>
    </dxf>
    <dxf>
      <fill>
        <patternFill>
          <bgColor rgb="FFFFC000"/>
        </patternFill>
      </fill>
    </dxf>
    <dxf>
      <font>
        <color theme="0"/>
      </font>
      <fill>
        <patternFill>
          <bgColor rgb="FF9900CC"/>
        </patternFill>
      </fill>
    </dxf>
    <dxf>
      <fill>
        <patternFill>
          <bgColor rgb="FFFF99FF"/>
        </patternFill>
      </fill>
    </dxf>
    <dxf>
      <font>
        <color theme="0"/>
      </font>
      <fill>
        <patternFill>
          <bgColor theme="4" tint="-0.24994659260841701"/>
        </patternFill>
      </fill>
    </dxf>
    <dxf>
      <font>
        <color theme="0"/>
      </font>
      <fill>
        <patternFill>
          <bgColor theme="9" tint="-0.24994659260841701"/>
        </patternFill>
      </fill>
    </dxf>
    <dxf>
      <font>
        <color theme="0"/>
      </font>
      <fill>
        <patternFill>
          <bgColor rgb="FF7030A0"/>
        </patternFill>
      </fill>
    </dxf>
    <dxf>
      <fill>
        <patternFill>
          <bgColor rgb="FFFFFF00"/>
        </patternFill>
      </fill>
    </dxf>
    <dxf>
      <font>
        <color theme="1"/>
      </font>
      <fill>
        <patternFill>
          <bgColor theme="1" tint="0.499984740745262"/>
        </patternFill>
      </fill>
    </dxf>
    <dxf>
      <font>
        <b val="0"/>
        <i val="0"/>
        <strike val="0"/>
        <color theme="1"/>
      </font>
      <fill>
        <patternFill>
          <bgColor theme="1" tint="0.499984740745262"/>
        </patternFill>
      </fill>
    </dxf>
    <dxf>
      <font>
        <b val="0"/>
        <i val="0"/>
        <strike val="0"/>
        <color theme="1"/>
      </font>
      <fill>
        <patternFill>
          <bgColor theme="1" tint="0.499984740745262"/>
        </patternFill>
      </fill>
    </dxf>
    <dxf>
      <font>
        <b val="0"/>
        <i val="0"/>
        <strike val="0"/>
        <color theme="1"/>
      </font>
      <fill>
        <patternFill>
          <bgColor theme="1" tint="0.499984740745262"/>
        </patternFill>
      </fill>
    </dxf>
    <dxf>
      <font>
        <b val="0"/>
        <i val="0"/>
        <strike val="0"/>
        <color theme="1"/>
      </font>
      <fill>
        <patternFill>
          <bgColor theme="1" tint="0.499984740745262"/>
        </patternFill>
      </fill>
    </dxf>
    <dxf>
      <font>
        <b val="0"/>
        <i val="0"/>
        <strike val="0"/>
        <color theme="1"/>
      </font>
      <fill>
        <patternFill>
          <bgColor theme="1" tint="0.499984740745262"/>
        </patternFill>
      </fill>
    </dxf>
    <dxf>
      <fill>
        <patternFill patternType="solid">
          <bgColor theme="9" tint="0.39994506668294322"/>
        </patternFill>
      </fill>
      <border>
        <left style="thin">
          <color auto="1"/>
        </left>
        <right style="thin">
          <color auto="1"/>
        </right>
        <top style="thin">
          <color auto="1"/>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vertical/>
        <horizontal/>
      </border>
    </dxf>
    <dxf>
      <fill>
        <patternFill>
          <bgColor theme="9" tint="0.39994506668294322"/>
        </patternFill>
      </fill>
      <border>
        <left style="thin">
          <color auto="1"/>
        </left>
        <right style="thin">
          <color auto="1"/>
        </right>
        <top style="thin">
          <color auto="1"/>
        </top>
        <bottom style="thin">
          <color auto="1"/>
        </bottom>
        <vertical/>
        <horizontal/>
      </border>
    </dxf>
    <dxf>
      <fill>
        <patternFill patternType="solid">
          <bgColor theme="9" tint="0.3999450666829432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999FF"/>
      <color rgb="FFFFFF00"/>
      <color rgb="FFFFFF66"/>
      <color rgb="FF9900CC"/>
      <color rgb="FFCC00FF"/>
      <color rgb="FFFF99FF"/>
      <color rgb="FFFFCCFF"/>
      <color rgb="FFCC99FF"/>
      <color rgb="FFCCCCFF"/>
      <color rgb="FFEC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pecified%20CCE%20Model%20Price%20Lis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ified CCE Model Price Lis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upply.unicef.org/all-materials/cold-chain-equipment/refrigerator-spare-parts.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apps.who.int/immunization_standards/vaccine_quality/pqs_catalogue/PdfCatalogue.aspx?cat_typ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XFD63"/>
  <sheetViews>
    <sheetView showGridLines="0" tabSelected="1" zoomScale="80" zoomScaleNormal="80" workbookViewId="0">
      <selection sqref="A1:J1"/>
    </sheetView>
  </sheetViews>
  <sheetFormatPr defaultColWidth="0" defaultRowHeight="15" zeroHeight="1" x14ac:dyDescent="0.25"/>
  <cols>
    <col min="1" max="1" width="9" customWidth="1"/>
    <col min="2" max="7" width="9.140625" customWidth="1"/>
    <col min="8" max="9" width="15" customWidth="1"/>
    <col min="10" max="10" width="61.7109375" customWidth="1"/>
    <col min="11" max="12" width="9.140625" customWidth="1"/>
  </cols>
  <sheetData>
    <row r="1" spans="1:21 16384:16384" s="62" customFormat="1" ht="18.75" x14ac:dyDescent="0.3">
      <c r="A1" s="227" t="s">
        <v>0</v>
      </c>
      <c r="B1" s="228"/>
      <c r="C1" s="228"/>
      <c r="D1" s="228"/>
      <c r="E1" s="228"/>
      <c r="F1" s="228"/>
      <c r="G1" s="228"/>
      <c r="H1" s="228"/>
      <c r="I1" s="228"/>
      <c r="J1" s="229"/>
    </row>
    <row r="2" spans="1:21 16384:16384" s="62" customFormat="1" ht="19.5" thickBot="1" x14ac:dyDescent="0.35">
      <c r="A2" s="102"/>
      <c r="B2" s="63"/>
      <c r="C2" s="63"/>
      <c r="D2" s="63"/>
      <c r="E2" s="63"/>
      <c r="F2" s="63"/>
      <c r="G2" s="63"/>
      <c r="H2" s="63"/>
      <c r="I2" s="63"/>
      <c r="J2" s="161"/>
    </row>
    <row r="3" spans="1:21 16384:16384" s="62" customFormat="1" ht="19.5" thickBot="1" x14ac:dyDescent="0.35">
      <c r="A3" s="103" t="s">
        <v>1</v>
      </c>
      <c r="B3" s="64"/>
      <c r="C3" s="230"/>
      <c r="D3" s="231"/>
      <c r="E3" s="231"/>
      <c r="F3" s="231"/>
      <c r="G3" s="231"/>
      <c r="H3" s="231"/>
      <c r="I3" s="232"/>
      <c r="J3" s="104"/>
      <c r="XFD3" s="65"/>
    </row>
    <row r="4" spans="1:21 16384:16384" s="62" customFormat="1" ht="18.75" x14ac:dyDescent="0.3">
      <c r="A4" s="113"/>
      <c r="B4" s="114"/>
      <c r="C4" s="115"/>
      <c r="D4" s="115"/>
      <c r="E4" s="115"/>
      <c r="F4" s="115"/>
      <c r="G4" s="115"/>
      <c r="H4" s="115"/>
      <c r="I4" s="115"/>
      <c r="J4" s="104"/>
      <c r="XFD4" s="65"/>
    </row>
    <row r="5" spans="1:21 16384:16384" s="62" customFormat="1" ht="18.75" x14ac:dyDescent="0.3">
      <c r="A5" s="113"/>
      <c r="B5" s="114"/>
      <c r="C5" s="115"/>
      <c r="D5" s="115"/>
      <c r="E5" s="115"/>
      <c r="F5" s="115"/>
      <c r="G5" s="115"/>
      <c r="H5" s="115"/>
      <c r="I5" s="115"/>
      <c r="J5" s="104"/>
      <c r="XFD5" s="65"/>
    </row>
    <row r="6" spans="1:21 16384:16384" s="62" customFormat="1" ht="18.75" x14ac:dyDescent="0.3">
      <c r="A6" s="117" t="s">
        <v>2</v>
      </c>
      <c r="B6" s="114"/>
      <c r="C6" s="115"/>
      <c r="D6" s="115"/>
      <c r="E6" s="115"/>
      <c r="F6" s="115"/>
      <c r="G6" s="115"/>
      <c r="H6" s="115"/>
      <c r="I6" s="115"/>
      <c r="J6" s="104"/>
      <c r="XFD6" s="65"/>
    </row>
    <row r="7" spans="1:21 16384:16384" s="62" customFormat="1" ht="18.75" x14ac:dyDescent="0.3">
      <c r="A7" s="116" t="s">
        <v>3</v>
      </c>
      <c r="B7" s="114"/>
      <c r="C7" s="115"/>
      <c r="D7" s="115"/>
      <c r="E7" s="115"/>
      <c r="F7" s="115"/>
      <c r="G7" s="115"/>
      <c r="H7" s="115"/>
      <c r="I7" s="115"/>
      <c r="J7" s="104"/>
      <c r="XFD7" s="65"/>
    </row>
    <row r="8" spans="1:21 16384:16384" s="62" customFormat="1" ht="18.75" x14ac:dyDescent="0.3">
      <c r="A8" s="116" t="s">
        <v>4</v>
      </c>
      <c r="B8" s="114"/>
      <c r="C8" s="115"/>
      <c r="D8" s="115"/>
      <c r="E8" s="115"/>
      <c r="F8" s="115"/>
      <c r="G8" s="115"/>
      <c r="H8" s="115"/>
      <c r="I8" s="115"/>
      <c r="J8" s="104"/>
      <c r="XFD8" s="65"/>
    </row>
    <row r="9" spans="1:21 16384:16384" s="62" customFormat="1" ht="18.75" x14ac:dyDescent="0.3">
      <c r="A9" s="162" t="s">
        <v>5</v>
      </c>
      <c r="B9" s="114"/>
      <c r="C9" s="115"/>
      <c r="D9" s="115"/>
      <c r="E9" s="115"/>
      <c r="F9" s="115"/>
      <c r="G9" s="115"/>
      <c r="H9" s="115"/>
      <c r="I9" s="115"/>
      <c r="J9" s="104"/>
      <c r="XFD9" s="65"/>
    </row>
    <row r="10" spans="1:21 16384:16384" s="62" customFormat="1" ht="18.75" x14ac:dyDescent="0.3">
      <c r="A10" s="116" t="s">
        <v>6</v>
      </c>
      <c r="B10" s="114"/>
      <c r="C10" s="115"/>
      <c r="D10" s="115"/>
      <c r="E10" s="115"/>
      <c r="F10" s="115"/>
      <c r="G10" s="115"/>
      <c r="H10" s="115"/>
      <c r="I10" s="115"/>
      <c r="J10" s="104"/>
      <c r="XFD10" s="65"/>
    </row>
    <row r="11" spans="1:21 16384:16384" s="62" customFormat="1" ht="18.75" x14ac:dyDescent="0.3">
      <c r="A11" s="116" t="s">
        <v>7</v>
      </c>
      <c r="B11" s="114"/>
      <c r="C11" s="115"/>
      <c r="D11" s="115"/>
      <c r="E11" s="115"/>
      <c r="F11" s="115"/>
      <c r="G11" s="115"/>
      <c r="H11" s="115"/>
      <c r="I11" s="115"/>
      <c r="J11" s="104"/>
      <c r="XFD11" s="65"/>
    </row>
    <row r="12" spans="1:21 16384:16384" s="62" customFormat="1" ht="18.75" x14ac:dyDescent="0.3">
      <c r="A12" s="233"/>
      <c r="B12" s="234"/>
      <c r="C12" s="234"/>
      <c r="D12" s="234"/>
      <c r="E12" s="234"/>
      <c r="F12" s="234"/>
      <c r="G12" s="234"/>
      <c r="H12" s="234"/>
      <c r="I12" s="234"/>
      <c r="J12" s="235"/>
      <c r="P12" s="66"/>
      <c r="Q12" s="66"/>
      <c r="R12" s="66"/>
      <c r="S12" s="66"/>
      <c r="T12" s="66"/>
      <c r="U12" s="66"/>
      <c r="XFD12" s="65"/>
    </row>
    <row r="13" spans="1:21 16384:16384" s="62" customFormat="1" ht="19.5" thickBot="1" x14ac:dyDescent="0.35">
      <c r="A13" s="236" t="s">
        <v>8</v>
      </c>
      <c r="B13" s="237"/>
      <c r="C13" s="237"/>
      <c r="D13" s="237"/>
      <c r="E13" s="237"/>
      <c r="F13" s="237"/>
      <c r="G13" s="237"/>
      <c r="H13" s="237"/>
      <c r="I13" s="237"/>
      <c r="J13" s="238"/>
      <c r="XFD13" s="65"/>
    </row>
    <row r="14" spans="1:21 16384:16384" x14ac:dyDescent="0.25">
      <c r="A14" s="221"/>
      <c r="B14" s="222"/>
      <c r="C14" s="222"/>
      <c r="D14" s="222"/>
      <c r="E14" s="222"/>
      <c r="F14" s="222"/>
      <c r="G14" s="222"/>
      <c r="H14" s="222"/>
      <c r="I14" s="222"/>
      <c r="J14" s="223"/>
      <c r="XFD14" s="1"/>
    </row>
    <row r="15" spans="1:21 16384:16384" ht="36.75" customHeight="1" x14ac:dyDescent="0.25">
      <c r="A15" s="224" t="s">
        <v>9</v>
      </c>
      <c r="B15" s="225"/>
      <c r="C15" s="225"/>
      <c r="D15" s="225"/>
      <c r="E15" s="225"/>
      <c r="F15" s="225"/>
      <c r="G15" s="225"/>
      <c r="H15" s="225"/>
      <c r="I15" s="225"/>
      <c r="J15" s="226"/>
      <c r="XFD15" s="1"/>
    </row>
    <row r="16" spans="1:21 16384:16384" x14ac:dyDescent="0.25">
      <c r="A16" s="178"/>
      <c r="B16" s="179"/>
      <c r="C16" s="179"/>
      <c r="D16" s="179"/>
      <c r="E16" s="179"/>
      <c r="F16" s="179"/>
      <c r="G16" s="179"/>
      <c r="H16" s="179"/>
      <c r="I16" s="179"/>
      <c r="J16" s="180"/>
      <c r="XFD16" s="1"/>
    </row>
    <row r="17" spans="1:10 16384:16384" ht="27.75" customHeight="1" x14ac:dyDescent="0.25">
      <c r="A17" s="208" t="s">
        <v>10</v>
      </c>
      <c r="B17" s="215"/>
      <c r="C17" s="215"/>
      <c r="D17" s="215"/>
      <c r="E17" s="215"/>
      <c r="F17" s="215"/>
      <c r="G17" s="215"/>
      <c r="H17" s="215"/>
      <c r="I17" s="215"/>
      <c r="J17" s="216"/>
      <c r="XFD17" s="1"/>
    </row>
    <row r="18" spans="1:10 16384:16384" x14ac:dyDescent="0.25">
      <c r="A18" s="214"/>
      <c r="B18" s="215"/>
      <c r="C18" s="215"/>
      <c r="D18" s="215"/>
      <c r="E18" s="215"/>
      <c r="F18" s="215"/>
      <c r="G18" s="215"/>
      <c r="H18" s="215"/>
      <c r="I18" s="215"/>
      <c r="J18" s="216"/>
      <c r="XFD18" s="1"/>
    </row>
    <row r="19" spans="1:10 16384:16384" s="25" customFormat="1" ht="114" customHeight="1" x14ac:dyDescent="0.25">
      <c r="A19" s="208" t="s">
        <v>11</v>
      </c>
      <c r="B19" s="209"/>
      <c r="C19" s="209"/>
      <c r="D19" s="209"/>
      <c r="E19" s="209"/>
      <c r="F19" s="209"/>
      <c r="G19" s="209"/>
      <c r="H19" s="209"/>
      <c r="I19" s="209"/>
      <c r="J19" s="210"/>
      <c r="XFD19" s="61"/>
    </row>
    <row r="20" spans="1:10 16384:16384" s="25" customFormat="1" x14ac:dyDescent="0.25">
      <c r="A20" s="185"/>
      <c r="B20" s="186"/>
      <c r="C20" s="186"/>
      <c r="D20" s="186"/>
      <c r="E20" s="186"/>
      <c r="F20" s="186"/>
      <c r="G20" s="186"/>
      <c r="H20" s="186"/>
      <c r="I20" s="186"/>
      <c r="J20" s="187"/>
      <c r="XFD20" s="61"/>
    </row>
    <row r="21" spans="1:10 16384:16384" s="25" customFormat="1" ht="30.95" customHeight="1" x14ac:dyDescent="0.25">
      <c r="A21" s="208" t="s">
        <v>440</v>
      </c>
      <c r="B21" s="209"/>
      <c r="C21" s="209"/>
      <c r="D21" s="209"/>
      <c r="E21" s="209"/>
      <c r="F21" s="209"/>
      <c r="G21" s="209"/>
      <c r="H21" s="209"/>
      <c r="I21" s="209"/>
      <c r="J21" s="210"/>
      <c r="XFD21" s="61"/>
    </row>
    <row r="22" spans="1:10 16384:16384" x14ac:dyDescent="0.25">
      <c r="A22" s="214"/>
      <c r="B22" s="215"/>
      <c r="C22" s="215"/>
      <c r="D22" s="215"/>
      <c r="E22" s="215"/>
      <c r="F22" s="215"/>
      <c r="G22" s="215"/>
      <c r="H22" s="215"/>
      <c r="I22" s="215"/>
      <c r="J22" s="216"/>
      <c r="XFD22" s="1"/>
    </row>
    <row r="23" spans="1:10 16384:16384" customFormat="1" ht="60" customHeight="1" x14ac:dyDescent="0.25">
      <c r="A23" s="208" t="s">
        <v>12</v>
      </c>
      <c r="B23" s="215"/>
      <c r="C23" s="215"/>
      <c r="D23" s="215"/>
      <c r="E23" s="215"/>
      <c r="F23" s="215"/>
      <c r="G23" s="215"/>
      <c r="H23" s="215"/>
      <c r="I23" s="215"/>
      <c r="J23" s="216"/>
      <c r="XFD23" s="1"/>
    </row>
    <row r="24" spans="1:10 16384:16384" customFormat="1" ht="60" customHeight="1" x14ac:dyDescent="0.25">
      <c r="A24" s="224" t="s">
        <v>450</v>
      </c>
      <c r="B24" s="340"/>
      <c r="C24" s="340"/>
      <c r="D24" s="340"/>
      <c r="E24" s="340"/>
      <c r="F24" s="340"/>
      <c r="G24" s="340"/>
      <c r="H24" s="340"/>
      <c r="I24" s="340"/>
      <c r="J24" s="341"/>
      <c r="XFD24" s="1"/>
    </row>
    <row r="25" spans="1:10 16384:16384" customFormat="1" x14ac:dyDescent="0.25">
      <c r="A25" s="214"/>
      <c r="B25" s="215"/>
      <c r="C25" s="215"/>
      <c r="D25" s="215"/>
      <c r="E25" s="215"/>
      <c r="F25" s="215"/>
      <c r="G25" s="215"/>
      <c r="H25" s="215"/>
      <c r="I25" s="215"/>
      <c r="J25" s="216"/>
      <c r="XFD25" s="1"/>
    </row>
    <row r="26" spans="1:10 16384:16384" customFormat="1" ht="107.25" customHeight="1" x14ac:dyDescent="0.25">
      <c r="A26" s="224" t="s">
        <v>13</v>
      </c>
      <c r="B26" s="225"/>
      <c r="C26" s="225"/>
      <c r="D26" s="225"/>
      <c r="E26" s="225"/>
      <c r="F26" s="225"/>
      <c r="G26" s="225"/>
      <c r="H26" s="225"/>
      <c r="I26" s="225"/>
      <c r="J26" s="226"/>
      <c r="XFD26" s="1"/>
    </row>
    <row r="27" spans="1:10 16384:16384" customFormat="1" x14ac:dyDescent="0.25">
      <c r="A27" s="214"/>
      <c r="B27" s="215"/>
      <c r="C27" s="215"/>
      <c r="D27" s="215"/>
      <c r="E27" s="215"/>
      <c r="F27" s="215"/>
      <c r="G27" s="215"/>
      <c r="H27" s="215"/>
      <c r="I27" s="215"/>
      <c r="J27" s="216"/>
      <c r="XFD27" s="1"/>
    </row>
    <row r="28" spans="1:10 16384:16384" customFormat="1" x14ac:dyDescent="0.25">
      <c r="A28" s="214" t="s">
        <v>14</v>
      </c>
      <c r="B28" s="215"/>
      <c r="C28" s="215"/>
      <c r="D28" s="215"/>
      <c r="E28" s="215"/>
      <c r="F28" s="215"/>
      <c r="G28" s="215"/>
      <c r="H28" s="215"/>
      <c r="I28" s="215"/>
      <c r="J28" s="216"/>
      <c r="XFD28" s="1"/>
    </row>
    <row r="29" spans="1:10 16384:16384" customFormat="1" x14ac:dyDescent="0.25">
      <c r="A29" s="205" t="s">
        <v>15</v>
      </c>
      <c r="B29" s="217"/>
      <c r="C29" s="217"/>
      <c r="D29" s="217"/>
      <c r="E29" s="217"/>
      <c r="F29" s="217"/>
      <c r="G29" s="217"/>
      <c r="H29" s="217"/>
      <c r="I29" s="217"/>
      <c r="J29" s="207"/>
      <c r="XFD29" s="1"/>
    </row>
    <row r="30" spans="1:10 16384:16384" customFormat="1" x14ac:dyDescent="0.25">
      <c r="A30" s="245"/>
      <c r="B30" s="246"/>
      <c r="C30" s="246"/>
      <c r="D30" s="246"/>
      <c r="E30" s="246"/>
      <c r="F30" s="246"/>
      <c r="G30" s="246"/>
      <c r="H30" s="246"/>
      <c r="I30" s="246"/>
      <c r="J30" s="247"/>
      <c r="XFD30" s="1"/>
    </row>
    <row r="31" spans="1:10 16384:16384" customFormat="1" x14ac:dyDescent="0.25">
      <c r="A31" s="205" t="s">
        <v>16</v>
      </c>
      <c r="B31" s="217"/>
      <c r="C31" s="217"/>
      <c r="D31" s="217"/>
      <c r="E31" s="217"/>
      <c r="F31" s="217"/>
      <c r="G31" s="217"/>
      <c r="H31" s="217"/>
      <c r="I31" s="217"/>
      <c r="J31" s="207"/>
      <c r="XFD31" s="1"/>
    </row>
    <row r="32" spans="1:10 16384:16384" customFormat="1" x14ac:dyDescent="0.25">
      <c r="A32" s="214"/>
      <c r="B32" s="215"/>
      <c r="C32" s="215"/>
      <c r="D32" s="215"/>
      <c r="E32" s="215"/>
      <c r="F32" s="215"/>
      <c r="G32" s="215"/>
      <c r="H32" s="215"/>
      <c r="I32" s="215"/>
      <c r="J32" s="216"/>
      <c r="XFD32" s="1"/>
    </row>
    <row r="33" spans="1:21 16384:16384" customFormat="1" x14ac:dyDescent="0.25">
      <c r="A33" s="178"/>
      <c r="B33" s="179"/>
      <c r="C33" s="179"/>
      <c r="D33" s="179"/>
      <c r="E33" s="179"/>
      <c r="F33" s="179"/>
      <c r="G33" s="179"/>
      <c r="H33" s="179"/>
      <c r="I33" s="179"/>
      <c r="J33" s="180"/>
      <c r="XFD33" s="1"/>
    </row>
    <row r="34" spans="1:21 16384:16384" customFormat="1" ht="29.25" customHeight="1" x14ac:dyDescent="0.25">
      <c r="A34" s="248" t="s">
        <v>17</v>
      </c>
      <c r="B34" s="249"/>
      <c r="C34" s="249"/>
      <c r="D34" s="249"/>
      <c r="E34" s="249"/>
      <c r="F34" s="249"/>
      <c r="G34" s="249"/>
      <c r="H34" s="249"/>
      <c r="I34" s="249"/>
      <c r="J34" s="250"/>
      <c r="XFD34" s="1"/>
    </row>
    <row r="35" spans="1:21 16384:16384" customFormat="1" x14ac:dyDescent="0.25">
      <c r="A35" s="105"/>
      <c r="B35" s="101"/>
      <c r="C35" s="101"/>
      <c r="D35" s="101"/>
      <c r="E35" s="101"/>
      <c r="F35" s="101"/>
      <c r="G35" s="101"/>
      <c r="H35" s="101"/>
      <c r="I35" s="101"/>
      <c r="J35" s="106"/>
      <c r="XFD35" s="1"/>
    </row>
    <row r="36" spans="1:21 16384:16384" customFormat="1" ht="32.1" customHeight="1" x14ac:dyDescent="0.25">
      <c r="A36" s="242" t="s">
        <v>18</v>
      </c>
      <c r="B36" s="243"/>
      <c r="C36" s="243"/>
      <c r="D36" s="243"/>
      <c r="E36" s="243"/>
      <c r="F36" s="243"/>
      <c r="G36" s="243"/>
      <c r="H36" s="243"/>
      <c r="I36" s="243"/>
      <c r="J36" s="244"/>
      <c r="P36" s="2"/>
      <c r="Q36" s="2"/>
      <c r="R36" s="2"/>
      <c r="S36" s="2"/>
      <c r="T36" s="2"/>
      <c r="U36" s="2"/>
    </row>
    <row r="37" spans="1:21 16384:16384" customFormat="1" x14ac:dyDescent="0.25">
      <c r="A37" s="107"/>
      <c r="B37" s="182"/>
      <c r="C37" s="182"/>
      <c r="D37" s="182"/>
      <c r="E37" s="182"/>
      <c r="F37" s="182"/>
      <c r="G37" s="182"/>
      <c r="H37" s="182"/>
      <c r="I37" s="182"/>
      <c r="J37" s="183"/>
      <c r="P37" s="2"/>
      <c r="Q37" s="2"/>
      <c r="R37" s="2"/>
      <c r="S37" s="2"/>
      <c r="T37" s="2"/>
      <c r="U37" s="2"/>
    </row>
    <row r="38" spans="1:21 16384:16384" customFormat="1" ht="35.25" customHeight="1" x14ac:dyDescent="0.25">
      <c r="A38" s="242" t="s">
        <v>19</v>
      </c>
      <c r="B38" s="243"/>
      <c r="C38" s="243"/>
      <c r="D38" s="243"/>
      <c r="E38" s="243"/>
      <c r="F38" s="243"/>
      <c r="G38" s="243"/>
      <c r="H38" s="243"/>
      <c r="I38" s="243"/>
      <c r="J38" s="244"/>
      <c r="P38" s="2"/>
      <c r="Q38" s="2"/>
      <c r="R38" s="2"/>
      <c r="S38" s="2"/>
      <c r="T38" s="2"/>
      <c r="U38" s="2"/>
    </row>
    <row r="39" spans="1:21 16384:16384" customFormat="1" ht="30" x14ac:dyDescent="0.25">
      <c r="A39" s="107"/>
      <c r="B39" s="182"/>
      <c r="C39" s="182"/>
      <c r="D39" s="182"/>
      <c r="E39" s="182"/>
      <c r="F39" s="182"/>
      <c r="G39" s="182"/>
      <c r="H39" s="182"/>
      <c r="I39" s="182"/>
      <c r="J39" s="128" t="s">
        <v>20</v>
      </c>
      <c r="P39" s="2"/>
      <c r="Q39" s="2"/>
      <c r="R39" s="2"/>
      <c r="S39" s="2"/>
      <c r="T39" s="2"/>
      <c r="U39" s="2"/>
    </row>
    <row r="40" spans="1:21 16384:16384" customFormat="1" x14ac:dyDescent="0.25">
      <c r="A40" s="239" t="s">
        <v>21</v>
      </c>
      <c r="B40" s="240"/>
      <c r="C40" s="240"/>
      <c r="D40" s="240"/>
      <c r="E40" s="240"/>
      <c r="F40" s="240"/>
      <c r="G40" s="240"/>
      <c r="H40" s="240"/>
      <c r="I40" s="240"/>
      <c r="J40" s="241"/>
      <c r="XFD40" s="1"/>
    </row>
    <row r="41" spans="1:21 16384:16384" customFormat="1" x14ac:dyDescent="0.25">
      <c r="A41" s="108"/>
      <c r="B41" s="59"/>
      <c r="C41" s="59"/>
      <c r="D41" s="59"/>
      <c r="E41" s="59"/>
      <c r="F41" s="59"/>
      <c r="G41" s="59"/>
      <c r="H41" s="59"/>
      <c r="I41" s="59"/>
      <c r="J41" s="109"/>
      <c r="P41" s="2"/>
      <c r="Q41" s="2"/>
      <c r="R41" s="2"/>
      <c r="S41" s="2"/>
      <c r="T41" s="2"/>
      <c r="U41" s="2"/>
    </row>
    <row r="42" spans="1:21 16384:16384" customFormat="1" ht="29.25" customHeight="1" x14ac:dyDescent="0.25">
      <c r="A42" s="239" t="s">
        <v>22</v>
      </c>
      <c r="B42" s="240"/>
      <c r="C42" s="240"/>
      <c r="D42" s="240"/>
      <c r="E42" s="240"/>
      <c r="F42" s="240"/>
      <c r="G42" s="240"/>
      <c r="H42" s="240"/>
      <c r="I42" s="240"/>
      <c r="J42" s="241"/>
      <c r="P42" s="2"/>
      <c r="Q42" s="2"/>
      <c r="R42" s="2"/>
      <c r="S42" s="2"/>
      <c r="T42" s="2"/>
      <c r="U42" s="2"/>
    </row>
    <row r="43" spans="1:21 16384:16384" customFormat="1" x14ac:dyDescent="0.25">
      <c r="A43" s="178"/>
      <c r="B43" s="179"/>
      <c r="C43" s="179"/>
      <c r="D43" s="179"/>
      <c r="E43" s="179"/>
      <c r="F43" s="179"/>
      <c r="G43" s="179"/>
      <c r="H43" s="179"/>
      <c r="I43" s="179"/>
      <c r="J43" s="180"/>
    </row>
    <row r="44" spans="1:21 16384:16384" customFormat="1" ht="34.5" customHeight="1" x14ac:dyDescent="0.25">
      <c r="A44" s="208" t="s">
        <v>23</v>
      </c>
      <c r="B44" s="209"/>
      <c r="C44" s="209"/>
      <c r="D44" s="209"/>
      <c r="E44" s="209"/>
      <c r="F44" s="209"/>
      <c r="G44" s="209"/>
      <c r="H44" s="209"/>
      <c r="I44" s="209"/>
      <c r="J44" s="210"/>
    </row>
    <row r="45" spans="1:21 16384:16384" customFormat="1" x14ac:dyDescent="0.25">
      <c r="A45" s="178"/>
      <c r="B45" s="179"/>
      <c r="C45" s="179"/>
      <c r="D45" s="179"/>
      <c r="E45" s="179"/>
      <c r="F45" s="179"/>
      <c r="G45" s="179"/>
      <c r="H45" s="179"/>
      <c r="I45" s="179"/>
      <c r="J45" s="180"/>
    </row>
    <row r="46" spans="1:21 16384:16384" customFormat="1" x14ac:dyDescent="0.25">
      <c r="A46" s="178" t="s">
        <v>24</v>
      </c>
      <c r="B46" s="179"/>
      <c r="C46" s="179"/>
      <c r="D46" s="179"/>
      <c r="E46" s="179"/>
      <c r="F46" s="179"/>
      <c r="G46" s="179"/>
      <c r="H46" s="179"/>
      <c r="I46" s="179"/>
      <c r="J46" s="180"/>
    </row>
    <row r="47" spans="1:21 16384:16384" customFormat="1" ht="36" customHeight="1" x14ac:dyDescent="0.25">
      <c r="A47" s="218" t="s">
        <v>25</v>
      </c>
      <c r="B47" s="219"/>
      <c r="C47" s="219"/>
      <c r="D47" s="219"/>
      <c r="E47" s="219"/>
      <c r="F47" s="219"/>
      <c r="G47" s="219"/>
      <c r="H47" s="219"/>
      <c r="I47" s="219"/>
      <c r="J47" s="220"/>
    </row>
    <row r="48" spans="1:21 16384:16384" customFormat="1" ht="17.25" customHeight="1" x14ac:dyDescent="0.25">
      <c r="A48" s="188"/>
      <c r="B48" s="189"/>
      <c r="C48" s="189"/>
      <c r="D48" s="189"/>
      <c r="E48" s="189"/>
      <c r="F48" s="189"/>
      <c r="G48" s="189"/>
      <c r="H48" s="189"/>
      <c r="I48" s="189"/>
      <c r="J48" s="190"/>
    </row>
    <row r="49" spans="1:10" customFormat="1" ht="24.75" customHeight="1" x14ac:dyDescent="0.25">
      <c r="A49" s="211" t="s">
        <v>26</v>
      </c>
      <c r="B49" s="212"/>
      <c r="C49" s="212"/>
      <c r="D49" s="212"/>
      <c r="E49" s="212"/>
      <c r="F49" s="212"/>
      <c r="G49" s="212"/>
      <c r="H49" s="212"/>
      <c r="I49" s="212"/>
      <c r="J49" s="213"/>
    </row>
    <row r="50" spans="1:10" customFormat="1" x14ac:dyDescent="0.25">
      <c r="A50" s="178"/>
      <c r="B50" s="179"/>
      <c r="C50" s="179"/>
      <c r="D50" s="179"/>
      <c r="E50" s="179"/>
      <c r="F50" s="179"/>
      <c r="G50" s="179"/>
      <c r="H50" s="179"/>
      <c r="I50" s="179"/>
      <c r="J50" s="180"/>
    </row>
    <row r="51" spans="1:10" customFormat="1" x14ac:dyDescent="0.25">
      <c r="A51" s="211" t="s">
        <v>27</v>
      </c>
      <c r="B51" s="212"/>
      <c r="C51" s="212"/>
      <c r="D51" s="212"/>
      <c r="E51" s="212"/>
      <c r="F51" s="212"/>
      <c r="G51" s="212"/>
      <c r="H51" s="212"/>
      <c r="I51" s="212"/>
      <c r="J51" s="213"/>
    </row>
    <row r="52" spans="1:10" customFormat="1" x14ac:dyDescent="0.25">
      <c r="A52" s="178"/>
      <c r="B52" s="179"/>
      <c r="C52" s="179"/>
      <c r="D52" s="179"/>
      <c r="E52" s="179"/>
      <c r="F52" s="179"/>
      <c r="G52" s="179"/>
      <c r="H52" s="179"/>
      <c r="I52" s="179"/>
      <c r="J52" s="180"/>
    </row>
    <row r="53" spans="1:10" customFormat="1" ht="32.25" customHeight="1" x14ac:dyDescent="0.25">
      <c r="A53" s="211" t="s">
        <v>28</v>
      </c>
      <c r="B53" s="212"/>
      <c r="C53" s="212"/>
      <c r="D53" s="212"/>
      <c r="E53" s="212"/>
      <c r="F53" s="212"/>
      <c r="G53" s="212"/>
      <c r="H53" s="212"/>
      <c r="I53" s="212"/>
      <c r="J53" s="213"/>
    </row>
    <row r="54" spans="1:10" customFormat="1" x14ac:dyDescent="0.25">
      <c r="A54" s="178"/>
      <c r="B54" s="179"/>
      <c r="C54" s="179"/>
      <c r="D54" s="179"/>
      <c r="E54" s="179"/>
      <c r="F54" s="179"/>
      <c r="G54" s="179"/>
      <c r="H54" s="179"/>
      <c r="I54" s="179"/>
      <c r="J54" s="180"/>
    </row>
    <row r="55" spans="1:10" customFormat="1" x14ac:dyDescent="0.25">
      <c r="A55" s="214" t="s">
        <v>14</v>
      </c>
      <c r="B55" s="215"/>
      <c r="C55" s="215"/>
      <c r="D55" s="215"/>
      <c r="E55" s="215"/>
      <c r="F55" s="215"/>
      <c r="G55" s="215"/>
      <c r="H55" s="215"/>
      <c r="I55" s="215"/>
      <c r="J55" s="216"/>
    </row>
    <row r="56" spans="1:10" customFormat="1" x14ac:dyDescent="0.25">
      <c r="A56" s="205" t="s">
        <v>29</v>
      </c>
      <c r="B56" s="217"/>
      <c r="C56" s="217"/>
      <c r="D56" s="217"/>
      <c r="E56" s="217"/>
      <c r="F56" s="217"/>
      <c r="G56" s="217"/>
      <c r="H56" s="217"/>
      <c r="I56" s="217"/>
      <c r="J56" s="207"/>
    </row>
    <row r="57" spans="1:10" customFormat="1" x14ac:dyDescent="0.25">
      <c r="A57" s="178"/>
      <c r="B57" s="179"/>
      <c r="C57" s="179"/>
      <c r="D57" s="179"/>
      <c r="E57" s="179"/>
      <c r="F57" s="179"/>
      <c r="G57" s="179"/>
      <c r="H57" s="179"/>
      <c r="I57" s="179"/>
      <c r="J57" s="180"/>
    </row>
    <row r="58" spans="1:10" customFormat="1" x14ac:dyDescent="0.25">
      <c r="A58" s="205" t="s">
        <v>30</v>
      </c>
      <c r="B58" s="206"/>
      <c r="C58" s="206"/>
      <c r="D58" s="206"/>
      <c r="E58" s="206"/>
      <c r="F58" s="206"/>
      <c r="G58" s="206"/>
      <c r="H58" s="206"/>
      <c r="I58" s="206"/>
      <c r="J58" s="207"/>
    </row>
    <row r="59" spans="1:10" customFormat="1" x14ac:dyDescent="0.25">
      <c r="A59" s="178"/>
      <c r="B59" s="179"/>
      <c r="C59" s="179"/>
      <c r="D59" s="179"/>
      <c r="E59" s="179"/>
      <c r="F59" s="179"/>
      <c r="G59" s="179"/>
      <c r="H59" s="179"/>
      <c r="I59" s="179"/>
      <c r="J59" s="180"/>
    </row>
    <row r="60" spans="1:10" customFormat="1" ht="15.75" thickBot="1" x14ac:dyDescent="0.3">
      <c r="A60" s="110"/>
      <c r="B60" s="111"/>
      <c r="C60" s="111"/>
      <c r="D60" s="111"/>
      <c r="E60" s="111"/>
      <c r="F60" s="111"/>
      <c r="G60" s="111"/>
      <c r="H60" s="111"/>
      <c r="I60" s="111"/>
      <c r="J60" s="112"/>
    </row>
    <row r="61" spans="1:10" customFormat="1" x14ac:dyDescent="0.25"/>
    <row r="62" spans="1:10" customFormat="1" x14ac:dyDescent="0.25"/>
    <row r="63" spans="1:10" customFormat="1" x14ac:dyDescent="0.25"/>
  </sheetData>
  <sheetProtection algorithmName="SHA-512" hashValue="MB3oktfGn/0cDUXD1+FUL/cEVPS+UgbmCATj2IK90pdPs/SYntJ6EZNCezoZGW71va/llV+FJmfoJOtuQzUu6g==" saltValue="jZ9u8kA+334YvRaPfqL0dA==" spinCount="100000" sheet="1" objects="1" scenarios="1"/>
  <mergeCells count="34">
    <mergeCell ref="A40:J40"/>
    <mergeCell ref="A42:J42"/>
    <mergeCell ref="A36:J36"/>
    <mergeCell ref="A38:J38"/>
    <mergeCell ref="A26:J26"/>
    <mergeCell ref="A27:J27"/>
    <mergeCell ref="A28:J28"/>
    <mergeCell ref="A29:J29"/>
    <mergeCell ref="A30:J30"/>
    <mergeCell ref="A31:J31"/>
    <mergeCell ref="A32:J32"/>
    <mergeCell ref="A34:J34"/>
    <mergeCell ref="A18:J18"/>
    <mergeCell ref="A19:J19"/>
    <mergeCell ref="A22:J22"/>
    <mergeCell ref="A23:J23"/>
    <mergeCell ref="A25:J25"/>
    <mergeCell ref="A21:J21"/>
    <mergeCell ref="A24:J24"/>
    <mergeCell ref="A14:J14"/>
    <mergeCell ref="A15:J15"/>
    <mergeCell ref="A17:J17"/>
    <mergeCell ref="A1:J1"/>
    <mergeCell ref="C3:I3"/>
    <mergeCell ref="A12:J12"/>
    <mergeCell ref="A13:J13"/>
    <mergeCell ref="A58:J58"/>
    <mergeCell ref="A44:J44"/>
    <mergeCell ref="A53:J53"/>
    <mergeCell ref="A55:J55"/>
    <mergeCell ref="A56:J56"/>
    <mergeCell ref="A47:J47"/>
    <mergeCell ref="A49:J49"/>
    <mergeCell ref="A51:J51"/>
  </mergeCells>
  <hyperlinks>
    <hyperlink ref="A7" location="'Résumé des options d''ECF'!A1" display="'CCE Options Summary'" xr:uid="{00000000-0004-0000-0000-000000000000}"/>
    <hyperlink ref="A8" location="'Option A_Choix du modèle d''ECF'!A1" display="'Option A_CCE Model selection'" xr:uid="{00000000-0004-0000-0000-000001000000}"/>
    <hyperlink ref="A10" location="'Option C_Choix du modèle d''ECF'!A1" display="'Option C_CCE Model selection'" xr:uid="{00000000-0004-0000-0000-000002000000}"/>
    <hyperlink ref="A9" location="'Option B_Choix du modèle d''ECF'!A1" display="'Option B_CCE Model selection'" xr:uid="{00000000-0004-0000-0000-000003000000}"/>
    <hyperlink ref="A11" location="'Modèle de liste de prix spécifi'!A1" display="Specified CCE Model Price List'" xr:uid="{00000000-0004-0000-0000-000004000000}"/>
    <hyperlink ref="J39" r:id="rId1" xr:uid="{00000000-0004-0000-0000-000005000000}"/>
  </hyperlinks>
  <pageMargins left="0.7" right="0.7" top="0.75" bottom="0.75" header="0.3" footer="0.3"/>
  <pageSetup scale="7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2:L35"/>
  <sheetViews>
    <sheetView showGridLines="0" topLeftCell="A7" workbookViewId="0">
      <selection activeCell="D11" sqref="D11"/>
    </sheetView>
  </sheetViews>
  <sheetFormatPr defaultColWidth="8.7109375" defaultRowHeight="15" x14ac:dyDescent="0.25"/>
  <cols>
    <col min="1" max="1" width="26.5703125" customWidth="1"/>
    <col min="2" max="2" width="18.7109375" customWidth="1"/>
    <col min="3" max="3" width="19.5703125" customWidth="1"/>
    <col min="4" max="4" width="19.85546875" customWidth="1"/>
    <col min="5" max="5" width="24.85546875" customWidth="1"/>
  </cols>
  <sheetData>
    <row r="2" spans="1:12" ht="28.5" x14ac:dyDescent="0.45">
      <c r="A2" s="90" t="s">
        <v>31</v>
      </c>
    </row>
    <row r="3" spans="1:12" x14ac:dyDescent="0.25">
      <c r="A3" s="251" t="s">
        <v>32</v>
      </c>
      <c r="B3" s="251"/>
      <c r="C3" s="251"/>
      <c r="D3" s="251"/>
      <c r="E3" s="251"/>
      <c r="F3" s="251"/>
      <c r="G3" s="251"/>
      <c r="H3" s="251"/>
      <c r="I3" s="251"/>
      <c r="J3" s="251"/>
      <c r="K3" s="251"/>
      <c r="L3" s="251"/>
    </row>
    <row r="4" spans="1:12" x14ac:dyDescent="0.25">
      <c r="A4" s="251"/>
      <c r="B4" s="251"/>
      <c r="C4" s="251"/>
      <c r="D4" s="251"/>
      <c r="E4" s="251"/>
      <c r="F4" s="251"/>
      <c r="G4" s="251"/>
      <c r="H4" s="251"/>
      <c r="I4" s="251"/>
      <c r="J4" s="251"/>
      <c r="K4" s="251"/>
      <c r="L4" s="251"/>
    </row>
    <row r="5" spans="1:12" x14ac:dyDescent="0.25">
      <c r="A5" s="251"/>
      <c r="B5" s="251"/>
      <c r="C5" s="251"/>
      <c r="D5" s="251"/>
      <c r="E5" s="251"/>
      <c r="F5" s="251"/>
      <c r="G5" s="251"/>
      <c r="H5" s="251"/>
      <c r="I5" s="251"/>
      <c r="J5" s="251"/>
      <c r="K5" s="251"/>
      <c r="L5" s="251"/>
    </row>
    <row r="6" spans="1:12" ht="30" customHeight="1" x14ac:dyDescent="0.25">
      <c r="A6" s="255" t="s">
        <v>33</v>
      </c>
      <c r="B6" s="255"/>
      <c r="C6" s="255"/>
      <c r="D6" s="255"/>
      <c r="E6" s="255"/>
      <c r="F6" s="255"/>
      <c r="G6" s="255"/>
      <c r="H6" s="255"/>
      <c r="I6" s="255"/>
      <c r="J6" s="255"/>
      <c r="K6" s="255"/>
      <c r="L6" s="255"/>
    </row>
    <row r="7" spans="1:12" x14ac:dyDescent="0.25">
      <c r="A7" s="191"/>
      <c r="B7" s="191"/>
      <c r="C7" s="191"/>
      <c r="D7" s="191"/>
      <c r="E7" s="191"/>
      <c r="F7" s="191"/>
      <c r="G7" s="191"/>
      <c r="H7" s="191"/>
      <c r="I7" s="191"/>
      <c r="J7" s="191"/>
      <c r="K7" s="191"/>
      <c r="L7" s="191"/>
    </row>
    <row r="8" spans="1:12" ht="21" x14ac:dyDescent="0.25">
      <c r="A8" s="96" t="s">
        <v>34</v>
      </c>
      <c r="B8" s="97"/>
      <c r="C8" s="97"/>
      <c r="D8" s="97"/>
      <c r="E8" s="191"/>
      <c r="F8" s="191"/>
      <c r="G8" s="191"/>
      <c r="H8" s="191"/>
      <c r="I8" s="191"/>
      <c r="J8" s="191"/>
      <c r="K8" s="191"/>
      <c r="L8" s="191"/>
    </row>
    <row r="9" spans="1:12" ht="15.75" thickBot="1" x14ac:dyDescent="0.3"/>
    <row r="10" spans="1:12" ht="36" customHeight="1" x14ac:dyDescent="0.25">
      <c r="A10" s="91"/>
      <c r="B10" s="119" t="s">
        <v>35</v>
      </c>
      <c r="C10" s="92" t="s">
        <v>36</v>
      </c>
      <c r="D10" s="100" t="s">
        <v>37</v>
      </c>
      <c r="E10" s="120" t="s">
        <v>38</v>
      </c>
    </row>
    <row r="11" spans="1:12" ht="30" x14ac:dyDescent="0.25">
      <c r="A11" s="154" t="s">
        <v>39</v>
      </c>
      <c r="B11" s="89">
        <f ca="1">SUM('Option A_Choix du modèle d''ECF'!I4:I19)-SUMIF('Option A_Choix du modèle d''ECF'!L4:L34,"_3.",'Option A_Choix du modèle d''ECF'!I4:I19)-SUMIF('Option A_Choix du modèle d''ECF'!L4:L34,"_4.",'Option A_Choix du modèle d''ECF'!I4:I19)</f>
        <v>0</v>
      </c>
      <c r="C11" s="89">
        <f ca="1">SUM('Option B_Choix du modèle d''ECF'!I4:I19)-SUMIF('Option B_Choix du modèle d''ECF'!L4:L34,"_3.",'Option B_Choix du modèle d''ECF'!I4:I19)-SUMIF('Option B_Choix du modèle d''ECF'!L4:L34,"_4.",'Option B_Choix du modèle d''ECF'!I4:I19)</f>
        <v>0</v>
      </c>
      <c r="D11" s="98">
        <f ca="1">SUM('Option C_Choix du modèle d''ECF'!I4:I19)-SUMIF('Option C_Choix du modèle d''ECF'!L4:L34,"_3.",'Option C_Choix du modèle d''ECF'!I4:I19)-SUMIF('Option C_Choix du modèle d''ECF'!L4:L34,"_4.",'Option C_Choix du modèle d''ECF'!I4:I19)</f>
        <v>0</v>
      </c>
      <c r="E11" s="252"/>
    </row>
    <row r="12" spans="1:12" ht="39.75" customHeight="1" x14ac:dyDescent="0.25">
      <c r="A12" s="165" t="s">
        <v>40</v>
      </c>
      <c r="B12" s="163">
        <f>SUMIF('Option A_Choix du modèle d''ECF'!L4:L34,"_4.",'Option A_Choix du modèle d''ECF'!I4:I34)</f>
        <v>0</v>
      </c>
      <c r="C12" s="163">
        <f>SUMIF('Option B_Choix du modèle d''ECF'!L4:L34,"_4.",'Option B_Choix du modèle d''ECF'!I4:I34)</f>
        <v>0</v>
      </c>
      <c r="D12" s="164">
        <f>SUMIF('Option C_Choix du modèle d''ECF'!L4:L34,"_4.",'Option C_Choix du modèle d''ECF'!I4:I34)</f>
        <v>0</v>
      </c>
      <c r="E12" s="253"/>
    </row>
    <row r="13" spans="1:12" ht="39.75" customHeight="1" x14ac:dyDescent="0.25">
      <c r="A13" s="165" t="s">
        <v>41</v>
      </c>
      <c r="B13" s="163">
        <f>SUMIF('Option A_Choix du modèle d''ECF'!L4:L34,"_3.",'Option A_Choix du modèle d''ECF'!I4:I34)</f>
        <v>0</v>
      </c>
      <c r="C13" s="163">
        <f>SUMIF('Option B_Choix du modèle d''ECF'!L4:L34,"_3.",'Option B_Choix du modèle d''ECF'!I4:I34)</f>
        <v>0</v>
      </c>
      <c r="D13" s="164">
        <f>SUMIF('Option C_Choix du modèle d''ECF'!L4:L34,"_3.",'Option C_Choix du modèle d''ECF'!I4:I34)</f>
        <v>0</v>
      </c>
      <c r="E13" s="253"/>
    </row>
    <row r="14" spans="1:12" ht="39.75" customHeight="1" x14ac:dyDescent="0.25">
      <c r="A14" s="165" t="s">
        <v>42</v>
      </c>
      <c r="B14" s="170">
        <f>'Option A_Choix du modèle d''ECF'!I52+'Option A_Choix du modèle d''ECF'!I54</f>
        <v>0</v>
      </c>
      <c r="C14" s="169">
        <f>'Option B_Choix du modèle d''ECF'!I52+'Option B_Choix du modèle d''ECF'!I54</f>
        <v>0</v>
      </c>
      <c r="D14" s="168">
        <f>'Option C_Choix du modèle d''ECF'!I52+'Option C_Choix du modèle d''ECF'!I54</f>
        <v>0</v>
      </c>
      <c r="E14" s="253"/>
    </row>
    <row r="15" spans="1:12" ht="31.5" customHeight="1" thickBot="1" x14ac:dyDescent="0.3">
      <c r="A15" s="88" t="s">
        <v>43</v>
      </c>
      <c r="B15" s="167">
        <f>'Option A_Choix du modèle d''ECF'!I56</f>
        <v>0</v>
      </c>
      <c r="C15" s="93">
        <f>'Option B_Choix du modèle d''ECF'!I56</f>
        <v>0</v>
      </c>
      <c r="D15" s="99">
        <f>'Option C_Choix du modèle d''ECF'!I56</f>
        <v>0</v>
      </c>
      <c r="E15" s="254"/>
    </row>
    <row r="16" spans="1:12" x14ac:dyDescent="0.25">
      <c r="A16" s="95" t="s">
        <v>44</v>
      </c>
      <c r="B16" s="94" t="str">
        <f ca="1">IF(ISERROR(MIN($B$15/($B$11+$B$12+$B$13),$C$15/($C$11+$C$12+$C$13),$D$15/($D$11+$D$12+$D$13))),"",IF(MIN($B$15/($B$11+$B$12+$B$13),$C$15/($C$11+$C$12+$C$13),$D$15/($D$11+$D$12+$D$13))=B15/(B11+B12+B13),"X",""))</f>
        <v/>
      </c>
      <c r="C16" s="94" t="str">
        <f ca="1">IF(ISERROR(MIN($B$15/($B$11+$B$12+$B$13),$C$15/($C$11+$C$12+$C$13),$D$15/($D$11+$D$12+$D$13))),"",IF(MIN($B$15/($B$11+$B$12+$B$13),$C$15/($C$11+$C$12+$C$13),$D$15/($D$11+$D$12+$D$13))=C15/(C11+C12+C13),"X",""))</f>
        <v/>
      </c>
      <c r="D16" s="94" t="str">
        <f ca="1">IF(ISERROR(MIN($B$15/($B$11+$B$12+$B$13),$C$15/($C$11+$C$12+$C$13),$D$15/($D$11+$D$12+$D$13))),"",IF(MIN($B$15/($B$11+$B$12+$B$13),$C$15/($C$11+$C$12+$C$13),$D$15/($D$11+$D$12+$D$13))=D15/(D11+D12+D13),"X",""))</f>
        <v/>
      </c>
    </row>
    <row r="17" spans="1:10" x14ac:dyDescent="0.25">
      <c r="A17" s="166" t="s">
        <v>45</v>
      </c>
    </row>
    <row r="18" spans="1:10" x14ac:dyDescent="0.25">
      <c r="A18" s="142" t="s">
        <v>46</v>
      </c>
    </row>
    <row r="19" spans="1:10" x14ac:dyDescent="0.25">
      <c r="A19" s="142"/>
    </row>
    <row r="20" spans="1:10" ht="15.75" thickBot="1" x14ac:dyDescent="0.3">
      <c r="A20" s="142"/>
    </row>
    <row r="21" spans="1:10" x14ac:dyDescent="0.25">
      <c r="A21" s="256" t="s">
        <v>47</v>
      </c>
      <c r="B21" s="257"/>
      <c r="C21" s="257"/>
      <c r="D21" s="257"/>
      <c r="E21" s="257"/>
      <c r="F21" s="257"/>
      <c r="G21" s="257"/>
      <c r="H21" s="257"/>
      <c r="I21" s="257"/>
      <c r="J21" s="258"/>
    </row>
    <row r="22" spans="1:10" ht="15.75" thickBot="1" x14ac:dyDescent="0.3">
      <c r="A22" s="259"/>
      <c r="B22" s="260"/>
      <c r="C22" s="260"/>
      <c r="D22" s="260"/>
      <c r="E22" s="260"/>
      <c r="F22" s="260"/>
      <c r="G22" s="260"/>
      <c r="H22" s="260"/>
      <c r="I22" s="260"/>
      <c r="J22" s="261"/>
    </row>
    <row r="23" spans="1:10" x14ac:dyDescent="0.25">
      <c r="A23" s="262"/>
      <c r="B23" s="263"/>
      <c r="C23" s="263"/>
      <c r="D23" s="263"/>
      <c r="E23" s="263"/>
      <c r="F23" s="263"/>
      <c r="G23" s="263"/>
      <c r="H23" s="263"/>
      <c r="I23" s="263"/>
      <c r="J23" s="264"/>
    </row>
    <row r="24" spans="1:10" x14ac:dyDescent="0.25">
      <c r="A24" s="265"/>
      <c r="B24" s="266"/>
      <c r="C24" s="266"/>
      <c r="D24" s="266"/>
      <c r="E24" s="266"/>
      <c r="F24" s="266"/>
      <c r="G24" s="266"/>
      <c r="H24" s="266"/>
      <c r="I24" s="266"/>
      <c r="J24" s="267"/>
    </row>
    <row r="25" spans="1:10" x14ac:dyDescent="0.25">
      <c r="A25" s="265"/>
      <c r="B25" s="266"/>
      <c r="C25" s="266"/>
      <c r="D25" s="266"/>
      <c r="E25" s="266"/>
      <c r="F25" s="266"/>
      <c r="G25" s="266"/>
      <c r="H25" s="266"/>
      <c r="I25" s="266"/>
      <c r="J25" s="267"/>
    </row>
    <row r="26" spans="1:10" x14ac:dyDescent="0.25">
      <c r="A26" s="265"/>
      <c r="B26" s="266"/>
      <c r="C26" s="266"/>
      <c r="D26" s="266"/>
      <c r="E26" s="266"/>
      <c r="F26" s="266"/>
      <c r="G26" s="266"/>
      <c r="H26" s="266"/>
      <c r="I26" s="266"/>
      <c r="J26" s="267"/>
    </row>
    <row r="27" spans="1:10" x14ac:dyDescent="0.25">
      <c r="A27" s="265"/>
      <c r="B27" s="266"/>
      <c r="C27" s="266"/>
      <c r="D27" s="266"/>
      <c r="E27" s="266"/>
      <c r="F27" s="266"/>
      <c r="G27" s="266"/>
      <c r="H27" s="266"/>
      <c r="I27" s="266"/>
      <c r="J27" s="267"/>
    </row>
    <row r="28" spans="1:10" x14ac:dyDescent="0.25">
      <c r="A28" s="265"/>
      <c r="B28" s="266"/>
      <c r="C28" s="266"/>
      <c r="D28" s="266"/>
      <c r="E28" s="266"/>
      <c r="F28" s="266"/>
      <c r="G28" s="266"/>
      <c r="H28" s="266"/>
      <c r="I28" s="266"/>
      <c r="J28" s="267"/>
    </row>
    <row r="29" spans="1:10" x14ac:dyDescent="0.25">
      <c r="A29" s="265"/>
      <c r="B29" s="266"/>
      <c r="C29" s="266"/>
      <c r="D29" s="266"/>
      <c r="E29" s="266"/>
      <c r="F29" s="266"/>
      <c r="G29" s="266"/>
      <c r="H29" s="266"/>
      <c r="I29" s="266"/>
      <c r="J29" s="267"/>
    </row>
    <row r="30" spans="1:10" x14ac:dyDescent="0.25">
      <c r="A30" s="265"/>
      <c r="B30" s="266"/>
      <c r="C30" s="266"/>
      <c r="D30" s="266"/>
      <c r="E30" s="266"/>
      <c r="F30" s="266"/>
      <c r="G30" s="266"/>
      <c r="H30" s="266"/>
      <c r="I30" s="266"/>
      <c r="J30" s="267"/>
    </row>
    <row r="31" spans="1:10" x14ac:dyDescent="0.25">
      <c r="A31" s="265"/>
      <c r="B31" s="266"/>
      <c r="C31" s="266"/>
      <c r="D31" s="266"/>
      <c r="E31" s="266"/>
      <c r="F31" s="266"/>
      <c r="G31" s="266"/>
      <c r="H31" s="266"/>
      <c r="I31" s="266"/>
      <c r="J31" s="267"/>
    </row>
    <row r="32" spans="1:10" x14ac:dyDescent="0.25">
      <c r="A32" s="265"/>
      <c r="B32" s="266"/>
      <c r="C32" s="266"/>
      <c r="D32" s="266"/>
      <c r="E32" s="266"/>
      <c r="F32" s="266"/>
      <c r="G32" s="266"/>
      <c r="H32" s="266"/>
      <c r="I32" s="266"/>
      <c r="J32" s="267"/>
    </row>
    <row r="33" spans="1:10" x14ac:dyDescent="0.25">
      <c r="A33" s="265"/>
      <c r="B33" s="266"/>
      <c r="C33" s="266"/>
      <c r="D33" s="266"/>
      <c r="E33" s="266"/>
      <c r="F33" s="266"/>
      <c r="G33" s="266"/>
      <c r="H33" s="266"/>
      <c r="I33" s="266"/>
      <c r="J33" s="267"/>
    </row>
    <row r="34" spans="1:10" x14ac:dyDescent="0.25">
      <c r="A34" s="265"/>
      <c r="B34" s="266"/>
      <c r="C34" s="266"/>
      <c r="D34" s="266"/>
      <c r="E34" s="266"/>
      <c r="F34" s="266"/>
      <c r="G34" s="266"/>
      <c r="H34" s="266"/>
      <c r="I34" s="266"/>
      <c r="J34" s="267"/>
    </row>
    <row r="35" spans="1:10" ht="15.75" thickBot="1" x14ac:dyDescent="0.3">
      <c r="A35" s="268"/>
      <c r="B35" s="269"/>
      <c r="C35" s="269"/>
      <c r="D35" s="269"/>
      <c r="E35" s="269"/>
      <c r="F35" s="269"/>
      <c r="G35" s="269"/>
      <c r="H35" s="269"/>
      <c r="I35" s="269"/>
      <c r="J35" s="270"/>
    </row>
  </sheetData>
  <sheetProtection algorithmName="SHA-512" hashValue="oLQQ6DiAVU35APzdHhaM3lTKKBbBFjLf4+VE2Zn6O41rw8G/F7s/lgeYx4d9+A5/UjTeIFodt+tWSeMOR4l6jQ==" saltValue="seEpf5a8O4JER/sqY5jOHA==" spinCount="100000" sheet="1" objects="1" scenarios="1"/>
  <mergeCells count="5">
    <mergeCell ref="A3:L5"/>
    <mergeCell ref="E11:E15"/>
    <mergeCell ref="A6:L6"/>
    <mergeCell ref="A21:J22"/>
    <mergeCell ref="A23:J35"/>
  </mergeCells>
  <conditionalFormatting sqref="B11:B15">
    <cfRule type="expression" dxfId="246" priority="4">
      <formula>$B$16="X"</formula>
    </cfRule>
  </conditionalFormatting>
  <conditionalFormatting sqref="C11:C15">
    <cfRule type="expression" dxfId="245" priority="3">
      <formula>$C$16="X"</formula>
    </cfRule>
  </conditionalFormatting>
  <conditionalFormatting sqref="D11:D15">
    <cfRule type="expression" dxfId="244" priority="2">
      <formula>$D$16="X"</formula>
    </cfRule>
  </conditionalFormatting>
  <conditionalFormatting sqref="C14">
    <cfRule type="expression" dxfId="243" priority="1">
      <formula>$B$16="X"</formula>
    </cfRule>
  </conditionalFormatting>
  <dataValidations count="1">
    <dataValidation type="list" allowBlank="1" showInputMessage="1" showErrorMessage="1" promptTitle="Select final option" prompt="Select final option" sqref="E11:E15" xr:uid="{00000000-0002-0000-0100-000000000000}">
      <formula1>$B$10:$D$10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499984740745262"/>
    <pageSetUpPr fitToPage="1"/>
  </sheetPr>
  <dimension ref="A1:BX56"/>
  <sheetViews>
    <sheetView showGridLines="0" topLeftCell="A31" zoomScaleNormal="100" zoomScaleSheetLayoutView="100" workbookViewId="0">
      <selection activeCell="I45" sqref="I45:J45"/>
    </sheetView>
  </sheetViews>
  <sheetFormatPr defaultColWidth="0" defaultRowHeight="27" customHeight="1" x14ac:dyDescent="0.25"/>
  <cols>
    <col min="1" max="1" width="30.42578125" customWidth="1"/>
    <col min="2" max="2" width="19.7109375" customWidth="1"/>
    <col min="3" max="3" width="15.42578125" customWidth="1"/>
    <col min="4" max="4" width="15.42578125" style="33" customWidth="1"/>
    <col min="5" max="5" width="11.42578125" style="33" bestFit="1" customWidth="1"/>
    <col min="6" max="6" width="13.42578125" style="33" bestFit="1" customWidth="1"/>
    <col min="7" max="7" width="21.42578125" style="33" bestFit="1" customWidth="1"/>
    <col min="8" max="8" width="14.28515625" style="33" bestFit="1" customWidth="1"/>
    <col min="9" max="10" width="12.42578125" style="33" customWidth="1"/>
    <col min="11" max="12" width="9.140625" style="37" customWidth="1"/>
    <col min="13" max="76" width="0" hidden="1" customWidth="1"/>
    <col min="77" max="16384" width="9.140625" hidden="1"/>
  </cols>
  <sheetData>
    <row r="1" spans="1:12" s="70" customFormat="1" ht="16.5" customHeight="1" thickTop="1" thickBot="1" x14ac:dyDescent="0.3">
      <c r="A1" s="67"/>
      <c r="B1" s="68"/>
      <c r="C1" s="68"/>
      <c r="D1" s="68"/>
      <c r="E1" s="71"/>
      <c r="F1" s="71"/>
      <c r="G1" s="71"/>
      <c r="H1" s="71"/>
      <c r="I1" s="300" t="s">
        <v>48</v>
      </c>
      <c r="J1" s="301"/>
      <c r="K1" s="69"/>
      <c r="L1" s="69"/>
    </row>
    <row r="2" spans="1:12" s="6" customFormat="1" ht="60.75" customHeight="1" thickTop="1" x14ac:dyDescent="0.25">
      <c r="A2" s="7" t="s">
        <v>49</v>
      </c>
      <c r="B2" s="7" t="s">
        <v>50</v>
      </c>
      <c r="C2" s="7" t="s">
        <v>51</v>
      </c>
      <c r="D2" s="30" t="s">
        <v>52</v>
      </c>
      <c r="E2" s="77" t="s">
        <v>53</v>
      </c>
      <c r="F2" s="77" t="s">
        <v>54</v>
      </c>
      <c r="G2" s="77" t="s">
        <v>55</v>
      </c>
      <c r="H2" s="78" t="s">
        <v>56</v>
      </c>
      <c r="I2" s="79" t="s">
        <v>57</v>
      </c>
      <c r="J2" s="80" t="s">
        <v>58</v>
      </c>
      <c r="K2" s="160"/>
      <c r="L2" s="55"/>
    </row>
    <row r="3" spans="1:12" s="11" customFormat="1" ht="45" customHeight="1" x14ac:dyDescent="0.25">
      <c r="A3" s="9"/>
      <c r="B3" s="10" t="s">
        <v>59</v>
      </c>
      <c r="C3" s="9"/>
      <c r="D3" s="31"/>
      <c r="E3" s="31"/>
      <c r="F3" s="31"/>
      <c r="G3" s="81" t="s">
        <v>60</v>
      </c>
      <c r="H3" s="82"/>
      <c r="I3" s="83" t="s">
        <v>61</v>
      </c>
      <c r="J3" s="84"/>
      <c r="K3" s="56"/>
      <c r="L3" s="56"/>
    </row>
    <row r="4" spans="1:12" s="26" customFormat="1" ht="27" customHeight="1" x14ac:dyDescent="0.25">
      <c r="A4" s="41" t="s">
        <v>434</v>
      </c>
      <c r="B4" s="42"/>
      <c r="C4" s="29" t="str">
        <f>IFERROR(INDEX('Modèle de liste de prix spécifi'!$A$3:$O$278,MATCH('Option A_Choix du modèle d''ECF'!$B4,'Modèle de liste de prix spécifi'!$E$3:$E$278,0),MATCH('Option A_Choix du modèle d''ECF'!C$2,'Modèle de liste de prix spécifi'!$A$3:$O$3,0)),"")</f>
        <v/>
      </c>
      <c r="D4" s="32" t="str">
        <f>IFERROR(INDEX('Modèle de liste de prix spécifi'!$A$3:$O$278,MATCH('Option A_Choix du modèle d''ECF'!$B4,'Modèle de liste de prix spécifi'!$E$3:$E$278,0),MATCH('Option A_Choix du modèle d''ECF'!D$2,'Modèle de liste de prix spécifi'!$A$3:$O$3,0)),"")</f>
        <v/>
      </c>
      <c r="E4" s="32" t="str">
        <f>IFERROR(INDEX('Modèle de liste de prix spécifi'!$A$3:$O$278,MATCH('Option A_Choix du modèle d''ECF'!$B4,'Modèle de liste de prix spécifi'!$E$3:$E$278,0),MATCH('Option A_Choix du modèle d''ECF'!E$2,'Modèle de liste de prix spécifi'!$A$3:$O$3,0)),"")</f>
        <v/>
      </c>
      <c r="F4" s="129" t="str">
        <f>IFERROR(INDEX('Modèle de liste de prix spécifi'!$A$3:$O$278,MATCH('Option A_Choix du modèle d''ECF'!$B4,'Modèle de liste de prix spécifi'!$E$3:$E$278,0),MATCH('Option A_Choix du modèle d''ECF'!F$2,'Modèle de liste de prix spécifi'!$A$3:$O$3,0)),"")</f>
        <v/>
      </c>
      <c r="G4" s="54"/>
      <c r="H4" s="118" t="str">
        <f>IFERROR(IF(OR(EXACT(A4,'Modèle de liste de prix spécifi'!$AB$14),EXACT(A4,'Modèle de liste de prix spécifi'!$AB$16),EXACT(A4,'Modèle de liste de prix spécifi'!$AB$17),EXACT(A4,'Modèle de liste de prix spécifi'!$AB$18),EXACT(A4,'Modèle de liste de prix spécifi'!$AB$19),EXACT(A4,'Modèle de liste de prix spécifi'!$AB$20),EXACT(A4,'Modèle de liste de prix spécifi'!$AB$21),EXACT(A4,'Modèle de liste de prix spécifi'!$AB$22),EXACT(A4,'Modèle de liste de prix spécifi'!$AB$23),EXACT(A4,'Modèle de liste de prix spécifi'!$AB$24),EXACT(A4,'Modèle de liste de prix spécifi'!$AB$25),EXACT(A4,'Modèle de liste de prix spécifi'!$AB$26),EXACT(A4,'Modèle de liste de prix spécifi'!$AB$27)),"N/A",G4+F4),"")</f>
        <v/>
      </c>
      <c r="I4" s="75"/>
      <c r="J4" s="76" t="str">
        <f t="shared" ref="J4" si="0">IFERROR(IF(H4="N/A",F4*I4,H4*I4),"")</f>
        <v/>
      </c>
      <c r="K4" s="57"/>
      <c r="L4" s="159" t="str">
        <f>LEFT(A4,3)</f>
        <v>_1.</v>
      </c>
    </row>
    <row r="5" spans="1:12" s="26" customFormat="1" ht="27" customHeight="1" x14ac:dyDescent="0.25">
      <c r="A5" s="41" t="s">
        <v>434</v>
      </c>
      <c r="B5" s="42"/>
      <c r="C5" s="29" t="str">
        <f>IFERROR(INDEX('Modèle de liste de prix spécifi'!$A$3:$O$278,MATCH('Option A_Choix du modèle d''ECF'!$B5,'Modèle de liste de prix spécifi'!$E$3:$E$278,0),MATCH('Option A_Choix du modèle d''ECF'!C$2,'Modèle de liste de prix spécifi'!$A$3:$O$3,0)),"")</f>
        <v/>
      </c>
      <c r="D5" s="32" t="str">
        <f>IFERROR(INDEX('Modèle de liste de prix spécifi'!$A$3:$O$278,MATCH('Option A_Choix du modèle d''ECF'!$B5,'Modèle de liste de prix spécifi'!$E$3:$E$278,0),MATCH('Option A_Choix du modèle d''ECF'!D$2,'Modèle de liste de prix spécifi'!$A$3:$O$3,0)),"")</f>
        <v/>
      </c>
      <c r="E5" s="32" t="str">
        <f>IFERROR(INDEX('Modèle de liste de prix spécifi'!$A$3:$O$278,MATCH('Option A_Choix du modèle d''ECF'!$B5,'Modèle de liste de prix spécifi'!$E$3:$E$278,0),MATCH('Option A_Choix du modèle d''ECF'!E$2,'Modèle de liste de prix spécifi'!$A$3:$O$3,0)),"")</f>
        <v/>
      </c>
      <c r="F5" s="129" t="str">
        <f>IFERROR(INDEX('Modèle de liste de prix spécifi'!$A$3:$O$278,MATCH('Option A_Choix du modèle d''ECF'!$B5,'Modèle de liste de prix spécifi'!$E$3:$E$278,0),MATCH('Option A_Choix du modèle d''ECF'!F$2,'Modèle de liste de prix spécifi'!$A$3:$O$3,0)),"")</f>
        <v/>
      </c>
      <c r="G5" s="54"/>
      <c r="H5" s="118" t="str">
        <f>IFERROR(IF(OR(EXACT(A5,'Modèle de liste de prix spécifi'!$AB$14),EXACT(A5,'Modèle de liste de prix spécifi'!$AB$16),EXACT(A5,'Modèle de liste de prix spécifi'!$AB$17),EXACT(A5,'Modèle de liste de prix spécifi'!$AB$18),EXACT(A5,'Modèle de liste de prix spécifi'!$AB$19),EXACT(A5,'Modèle de liste de prix spécifi'!$AB$20),EXACT(A5,'Modèle de liste de prix spécifi'!$AB$21),EXACT(A5,'Modèle de liste de prix spécifi'!$AB$22),EXACT(A5,'Modèle de liste de prix spécifi'!$AB$23),EXACT(A5,'Modèle de liste de prix spécifi'!$AB$24),EXACT(A5,'Modèle de liste de prix spécifi'!$AB$25),EXACT(A5,'Modèle de liste de prix spécifi'!$AB$26),EXACT(A5,'Modèle de liste de prix spécifi'!$AB$27)),"N/A",G5+F5),"")</f>
        <v/>
      </c>
      <c r="I5" s="75"/>
      <c r="J5" s="76" t="str">
        <f t="shared" ref="J5:J33" si="1">IFERROR(IF(H5="N/A",F5*I5,H5*I5),"")</f>
        <v/>
      </c>
      <c r="K5" s="57"/>
      <c r="L5" s="159" t="str">
        <f t="shared" ref="L5:L34" si="2">LEFT(A5,3)</f>
        <v>_1.</v>
      </c>
    </row>
    <row r="6" spans="1:12" s="26" customFormat="1" ht="27" customHeight="1" x14ac:dyDescent="0.25">
      <c r="A6" s="41" t="s">
        <v>435</v>
      </c>
      <c r="B6" s="42"/>
      <c r="C6" s="29" t="str">
        <f>IFERROR(INDEX('Modèle de liste de prix spécifi'!$A$3:$O$278,MATCH('Option A_Choix du modèle d''ECF'!$B6,'Modèle de liste de prix spécifi'!$E$3:$E$278,0),MATCH('Option A_Choix du modèle d''ECF'!C$2,'Modèle de liste de prix spécifi'!$A$3:$O$3,0)),"")</f>
        <v/>
      </c>
      <c r="D6" s="32" t="str">
        <f>IFERROR(INDEX('Modèle de liste de prix spécifi'!$A$3:$O$278,MATCH('Option A_Choix du modèle d''ECF'!$B6,'Modèle de liste de prix spécifi'!$E$3:$E$278,0),MATCH('Option A_Choix du modèle d''ECF'!D$2,'Modèle de liste de prix spécifi'!$A$3:$O$3,0)),"")</f>
        <v/>
      </c>
      <c r="E6" s="32" t="str">
        <f>IFERROR(INDEX('Modèle de liste de prix spécifi'!$A$3:$O$278,MATCH('Option A_Choix du modèle d''ECF'!$B6,'Modèle de liste de prix spécifi'!$E$3:$E$278,0),MATCH('Option A_Choix du modèle d''ECF'!E$2,'Modèle de liste de prix spécifi'!$A$3:$O$3,0)),"")</f>
        <v/>
      </c>
      <c r="F6" s="129" t="str">
        <f>IFERROR(INDEX('Modèle de liste de prix spécifi'!$A$3:$O$278,MATCH('Option A_Choix du modèle d''ECF'!$B6,'Modèle de liste de prix spécifi'!$E$3:$E$278,0),MATCH('Option A_Choix du modèle d''ECF'!F$2,'Modèle de liste de prix spécifi'!$A$3:$O$3,0)),"")</f>
        <v/>
      </c>
      <c r="G6" s="54"/>
      <c r="H6" s="118" t="str">
        <f>IFERROR(IF(OR(EXACT(A6,'Modèle de liste de prix spécifi'!$AB$14),EXACT(A6,'Modèle de liste de prix spécifi'!$AB$16),EXACT(A6,'Modèle de liste de prix spécifi'!$AB$17),EXACT(A6,'Modèle de liste de prix spécifi'!$AB$18),EXACT(A6,'Modèle de liste de prix spécifi'!$AB$19),EXACT(A6,'Modèle de liste de prix spécifi'!$AB$20),EXACT(A6,'Modèle de liste de prix spécifi'!$AB$21),EXACT(A6,'Modèle de liste de prix spécifi'!$AB$22),EXACT(A6,'Modèle de liste de prix spécifi'!$AB$23),EXACT(A6,'Modèle de liste de prix spécifi'!$AB$24),EXACT(A6,'Modèle de liste de prix spécifi'!$AB$25),EXACT(A6,'Modèle de liste de prix spécifi'!$AB$26),EXACT(A6,'Modèle de liste de prix spécifi'!$AB$27)),"N/A",G6+F6),"")</f>
        <v/>
      </c>
      <c r="I6" s="75"/>
      <c r="J6" s="76" t="str">
        <f t="shared" si="1"/>
        <v/>
      </c>
      <c r="K6" s="57"/>
      <c r="L6" s="159" t="str">
        <f t="shared" si="2"/>
        <v>_2.</v>
      </c>
    </row>
    <row r="7" spans="1:12" s="26" customFormat="1" ht="27" customHeight="1" x14ac:dyDescent="0.25">
      <c r="A7" s="41" t="s">
        <v>62</v>
      </c>
      <c r="B7" s="42"/>
      <c r="C7" s="29" t="str">
        <f>IFERROR(INDEX('Modèle de liste de prix spécifi'!$A$3:$O$278,MATCH('Option A_Choix du modèle d''ECF'!$B7,'Modèle de liste de prix spécifi'!$E$3:$E$278,0),MATCH('Option A_Choix du modèle d''ECF'!C$2,'Modèle de liste de prix spécifi'!$A$3:$O$3,0)),"")</f>
        <v/>
      </c>
      <c r="D7" s="32" t="str">
        <f>IFERROR(INDEX('Modèle de liste de prix spécifi'!$A$3:$O$278,MATCH('Option A_Choix du modèle d''ECF'!$B7,'Modèle de liste de prix spécifi'!$E$3:$E$278,0),MATCH('Option A_Choix du modèle d''ECF'!D$2,'Modèle de liste de prix spécifi'!$A$3:$O$3,0)),"")</f>
        <v/>
      </c>
      <c r="E7" s="32" t="str">
        <f>IFERROR(INDEX('Modèle de liste de prix spécifi'!$A$3:$O$278,MATCH('Option A_Choix du modèle d''ECF'!$B7,'Modèle de liste de prix spécifi'!$E$3:$E$278,0),MATCH('Option A_Choix du modèle d''ECF'!E$2,'Modèle de liste de prix spécifi'!$A$3:$O$3,0)),"")</f>
        <v/>
      </c>
      <c r="F7" s="129" t="str">
        <f>IFERROR(INDEX('Modèle de liste de prix spécifi'!$A$3:$O$278,MATCH('Option A_Choix du modèle d''ECF'!$B7,'Modèle de liste de prix spécifi'!$E$3:$E$278,0),MATCH('Option A_Choix du modèle d''ECF'!F$2,'Modèle de liste de prix spécifi'!$A$3:$O$3,0)),"")</f>
        <v/>
      </c>
      <c r="G7" s="54"/>
      <c r="H7" s="118" t="str">
        <f>IFERROR(IF(OR(EXACT(A7,'Modèle de liste de prix spécifi'!$AB$14),EXACT(A7,'Modèle de liste de prix spécifi'!$AB$16),EXACT(A7,'Modèle de liste de prix spécifi'!$AB$17),EXACT(A7,'Modèle de liste de prix spécifi'!$AB$18),EXACT(A7,'Modèle de liste de prix spécifi'!$AB$19),EXACT(A7,'Modèle de liste de prix spécifi'!$AB$20),EXACT(A7,'Modèle de liste de prix spécifi'!$AB$21),EXACT(A7,'Modèle de liste de prix spécifi'!$AB$22),EXACT(A7,'Modèle de liste de prix spécifi'!$AB$23),EXACT(A7,'Modèle de liste de prix spécifi'!$AB$24),EXACT(A7,'Modèle de liste de prix spécifi'!$AB$25),EXACT(A7,'Modèle de liste de prix spécifi'!$AB$26),EXACT(A7,'Modèle de liste de prix spécifi'!$AB$27)),"N/A",G7+F7),"")</f>
        <v/>
      </c>
      <c r="I7" s="75"/>
      <c r="J7" s="76" t="str">
        <f t="shared" si="1"/>
        <v/>
      </c>
      <c r="K7" s="57"/>
      <c r="L7" s="159" t="str">
        <f t="shared" si="2"/>
        <v>_3.</v>
      </c>
    </row>
    <row r="8" spans="1:12" s="26" customFormat="1" ht="27" customHeight="1" x14ac:dyDescent="0.25">
      <c r="A8" s="41" t="s">
        <v>63</v>
      </c>
      <c r="B8" s="42"/>
      <c r="C8" s="29" t="str">
        <f>IFERROR(INDEX('Modèle de liste de prix spécifi'!$A$3:$O$278,MATCH('Option A_Choix du modèle d''ECF'!$B8,'Modèle de liste de prix spécifi'!$E$3:$E$278,0),MATCH('Option A_Choix du modèle d''ECF'!C$2,'Modèle de liste de prix spécifi'!$A$3:$O$3,0)),"")</f>
        <v/>
      </c>
      <c r="D8" s="32" t="str">
        <f>IFERROR(INDEX('Modèle de liste de prix spécifi'!$A$3:$O$278,MATCH('Option A_Choix du modèle d''ECF'!$B8,'Modèle de liste de prix spécifi'!$E$3:$E$278,0),MATCH('Option A_Choix du modèle d''ECF'!D$2,'Modèle de liste de prix spécifi'!$A$3:$O$3,0)),"")</f>
        <v/>
      </c>
      <c r="E8" s="32" t="str">
        <f>IFERROR(INDEX('Modèle de liste de prix spécifi'!$A$3:$O$278,MATCH('Option A_Choix du modèle d''ECF'!$B8,'Modèle de liste de prix spécifi'!$E$3:$E$278,0),MATCH('Option A_Choix du modèle d''ECF'!E$2,'Modèle de liste de prix spécifi'!$A$3:$O$3,0)),"")</f>
        <v/>
      </c>
      <c r="F8" s="129" t="str">
        <f>IFERROR(INDEX('Modèle de liste de prix spécifi'!$A$3:$O$278,MATCH('Option A_Choix du modèle d''ECF'!$B8,'Modèle de liste de prix spécifi'!$E$3:$E$278,0),MATCH('Option A_Choix du modèle d''ECF'!F$2,'Modèle de liste de prix spécifi'!$A$3:$O$3,0)),"")</f>
        <v/>
      </c>
      <c r="G8" s="54"/>
      <c r="H8" s="118" t="str">
        <f>IFERROR(IF(OR(EXACT(A8,'Modèle de liste de prix spécifi'!$AB$14),EXACT(A8,'Modèle de liste de prix spécifi'!$AB$16),EXACT(A8,'Modèle de liste de prix spécifi'!$AB$17),EXACT(A8,'Modèle de liste de prix spécifi'!$AB$18),EXACT(A8,'Modèle de liste de prix spécifi'!$AB$19),EXACT(A8,'Modèle de liste de prix spécifi'!$AB$20),EXACT(A8,'Modèle de liste de prix spécifi'!$AB$21),EXACT(A8,'Modèle de liste de prix spécifi'!$AB$22),EXACT(A8,'Modèle de liste de prix spécifi'!$AB$23),EXACT(A8,'Modèle de liste de prix spécifi'!$AB$24),EXACT(A8,'Modèle de liste de prix spécifi'!$AB$25),EXACT(A8,'Modèle de liste de prix spécifi'!$AB$26),EXACT(A8,'Modèle de liste de prix spécifi'!$AB$27)),"N/A",G8+F8),"")</f>
        <v/>
      </c>
      <c r="I8" s="75"/>
      <c r="J8" s="76" t="str">
        <f t="shared" si="1"/>
        <v/>
      </c>
      <c r="K8" s="57"/>
      <c r="L8" s="159" t="str">
        <f t="shared" si="2"/>
        <v>_4.</v>
      </c>
    </row>
    <row r="9" spans="1:12" s="26" customFormat="1" ht="27" customHeight="1" x14ac:dyDescent="0.25">
      <c r="A9" s="43" t="s">
        <v>64</v>
      </c>
      <c r="B9" s="42"/>
      <c r="C9" s="29" t="str">
        <f>IFERROR(INDEX('Modèle de liste de prix spécifi'!$A$3:$O$278,MATCH('Option A_Choix du modèle d''ECF'!$B9,'Modèle de liste de prix spécifi'!$E$3:$E$278,0),MATCH('Option A_Choix du modèle d''ECF'!C$2,'Modèle de liste de prix spécifi'!$A$3:$O$3,0)),"")</f>
        <v/>
      </c>
      <c r="D9" s="32" t="str">
        <f>IFERROR(INDEX('Modèle de liste de prix spécifi'!$A$3:$O$278,MATCH('Option A_Choix du modèle d''ECF'!$B9,'Modèle de liste de prix spécifi'!$E$3:$E$278,0),MATCH('Option A_Choix du modèle d''ECF'!D$2,'Modèle de liste de prix spécifi'!$A$3:$O$3,0)),"")</f>
        <v/>
      </c>
      <c r="E9" s="32" t="str">
        <f>IFERROR(INDEX('Modèle de liste de prix spécifi'!$A$3:$O$278,MATCH('Option A_Choix du modèle d''ECF'!$B9,'Modèle de liste de prix spécifi'!$E$3:$E$278,0),MATCH('Option A_Choix du modèle d''ECF'!E$2,'Modèle de liste de prix spécifi'!$A$3:$O$3,0)),"")</f>
        <v/>
      </c>
      <c r="F9" s="129" t="str">
        <f>IFERROR(INDEX('Modèle de liste de prix spécifi'!$A$3:$O$278,MATCH('Option A_Choix du modèle d''ECF'!$B9,'Modèle de liste de prix spécifi'!$E$3:$E$278,0),MATCH('Option A_Choix du modèle d''ECF'!F$2,'Modèle de liste de prix spécifi'!$A$3:$O$3,0)),"")</f>
        <v/>
      </c>
      <c r="G9" s="54"/>
      <c r="H9" s="118" t="str">
        <f>IFERROR(IF(OR(EXACT(A9,'Modèle de liste de prix spécifi'!$AB$14),EXACT(A9,'Modèle de liste de prix spécifi'!$AB$16),EXACT(A9,'Modèle de liste de prix spécifi'!$AB$17),EXACT(A9,'Modèle de liste de prix spécifi'!$AB$18),EXACT(A9,'Modèle de liste de prix spécifi'!$AB$19),EXACT(A9,'Modèle de liste de prix spécifi'!$AB$20),EXACT(A9,'Modèle de liste de prix spécifi'!$AB$21),EXACT(A9,'Modèle de liste de prix spécifi'!$AB$22),EXACT(A9,'Modèle de liste de prix spécifi'!$AB$23),EXACT(A9,'Modèle de liste de prix spécifi'!$AB$24),EXACT(A9,'Modèle de liste de prix spécifi'!$AB$25),EXACT(A9,'Modèle de liste de prix spécifi'!$AB$26),EXACT(A9,'Modèle de liste de prix spécifi'!$AB$27)),"N/A",G9+F9),"")</f>
        <v/>
      </c>
      <c r="I9" s="75"/>
      <c r="J9" s="76" t="str">
        <f t="shared" si="1"/>
        <v/>
      </c>
      <c r="K9" s="57"/>
      <c r="L9" s="159" t="str">
        <f t="shared" si="2"/>
        <v>_5.</v>
      </c>
    </row>
    <row r="10" spans="1:12" s="26" customFormat="1" ht="27" customHeight="1" x14ac:dyDescent="0.25">
      <c r="A10" s="44" t="s">
        <v>65</v>
      </c>
      <c r="B10" s="42"/>
      <c r="C10" s="29" t="str">
        <f>IFERROR(INDEX('Modèle de liste de prix spécifi'!$A$3:$O$278,MATCH('Option A_Choix du modèle d''ECF'!$B10,'Modèle de liste de prix spécifi'!$E$3:$E$278,0),MATCH('Option A_Choix du modèle d''ECF'!C$2,'Modèle de liste de prix spécifi'!$A$3:$O$3,0)),"")</f>
        <v/>
      </c>
      <c r="D10" s="32" t="str">
        <f>IFERROR(INDEX('Modèle de liste de prix spécifi'!$A$3:$O$278,MATCH('Option A_Choix du modèle d''ECF'!$B10,'Modèle de liste de prix spécifi'!$E$3:$E$278,0),MATCH('Option A_Choix du modèle d''ECF'!D$2,'Modèle de liste de prix spécifi'!$A$3:$O$3,0)),"")</f>
        <v/>
      </c>
      <c r="E10" s="32" t="str">
        <f>IFERROR(INDEX('Modèle de liste de prix spécifi'!$A$3:$O$278,MATCH('Option A_Choix du modèle d''ECF'!$B10,'Modèle de liste de prix spécifi'!$E$3:$E$278,0),MATCH('Option A_Choix du modèle d''ECF'!E$2,'Modèle de liste de prix spécifi'!$A$3:$O$3,0)),"")</f>
        <v/>
      </c>
      <c r="F10" s="129" t="str">
        <f>IFERROR(INDEX('Modèle de liste de prix spécifi'!$A$3:$O$278,MATCH('Option A_Choix du modèle d''ECF'!$B10,'Modèle de liste de prix spécifi'!$E$3:$E$278,0),MATCH('Option A_Choix du modèle d''ECF'!F$2,'Modèle de liste de prix spécifi'!$A$3:$O$3,0)),"")</f>
        <v/>
      </c>
      <c r="G10" s="54"/>
      <c r="H10" s="118" t="str">
        <f>IFERROR(IF(OR(EXACT(A10,'Modèle de liste de prix spécifi'!$AB$14),EXACT(A10,'Modèle de liste de prix spécifi'!$AB$16),EXACT(A10,'Modèle de liste de prix spécifi'!$AB$17),EXACT(A10,'Modèle de liste de prix spécifi'!$AB$18),EXACT(A10,'Modèle de liste de prix spécifi'!$AB$19),EXACT(A10,'Modèle de liste de prix spécifi'!$AB$20),EXACT(A10,'Modèle de liste de prix spécifi'!$AB$21),EXACT(A10,'Modèle de liste de prix spécifi'!$AB$22),EXACT(A10,'Modèle de liste de prix spécifi'!$AB$23),EXACT(A10,'Modèle de liste de prix spécifi'!$AB$24),EXACT(A10,'Modèle de liste de prix spécifi'!$AB$25),EXACT(A10,'Modèle de liste de prix spécifi'!$AB$26),EXACT(A10,'Modèle de liste de prix spécifi'!$AB$27)),"N/A",G10+F10),"")</f>
        <v/>
      </c>
      <c r="I10" s="75"/>
      <c r="J10" s="76" t="str">
        <f t="shared" si="1"/>
        <v/>
      </c>
      <c r="K10" s="57"/>
      <c r="L10" s="159" t="str">
        <f t="shared" si="2"/>
        <v>_6.</v>
      </c>
    </row>
    <row r="11" spans="1:12" s="26" customFormat="1" ht="27" customHeight="1" x14ac:dyDescent="0.25">
      <c r="A11" s="44" t="s">
        <v>65</v>
      </c>
      <c r="B11" s="42"/>
      <c r="C11" s="29" t="str">
        <f>IFERROR(INDEX('Modèle de liste de prix spécifi'!$A$3:$O$278,MATCH('Option A_Choix du modèle d''ECF'!$B11,'Modèle de liste de prix spécifi'!$E$3:$E$278,0),MATCH('Option A_Choix du modèle d''ECF'!C$2,'Modèle de liste de prix spécifi'!$A$3:$O$3,0)),"")</f>
        <v/>
      </c>
      <c r="D11" s="32" t="str">
        <f>IFERROR(INDEX('Modèle de liste de prix spécifi'!$A$3:$O$278,MATCH('Option A_Choix du modèle d''ECF'!$B11,'Modèle de liste de prix spécifi'!$E$3:$E$278,0),MATCH('Option A_Choix du modèle d''ECF'!D$2,'Modèle de liste de prix spécifi'!$A$3:$O$3,0)),"")</f>
        <v/>
      </c>
      <c r="E11" s="32" t="str">
        <f>IFERROR(INDEX('Modèle de liste de prix spécifi'!$A$3:$O$278,MATCH('Option A_Choix du modèle d''ECF'!$B11,'Modèle de liste de prix spécifi'!$E$3:$E$278,0),MATCH('Option A_Choix du modèle d''ECF'!E$2,'Modèle de liste de prix spécifi'!$A$3:$O$3,0)),"")</f>
        <v/>
      </c>
      <c r="F11" s="129" t="str">
        <f>IFERROR(INDEX('Modèle de liste de prix spécifi'!$A$3:$O$278,MATCH('Option A_Choix du modèle d''ECF'!$B11,'Modèle de liste de prix spécifi'!$E$3:$E$278,0),MATCH('Option A_Choix du modèle d''ECF'!F$2,'Modèle de liste de prix spécifi'!$A$3:$O$3,0)),"")</f>
        <v/>
      </c>
      <c r="G11" s="54"/>
      <c r="H11" s="118" t="str">
        <f>IFERROR(IF(OR(EXACT(A11,'Modèle de liste de prix spécifi'!$AB$14),EXACT(A11,'Modèle de liste de prix spécifi'!$AB$16),EXACT(A11,'Modèle de liste de prix spécifi'!$AB$17),EXACT(A11,'Modèle de liste de prix spécifi'!$AB$18),EXACT(A11,'Modèle de liste de prix spécifi'!$AB$19),EXACT(A11,'Modèle de liste de prix spécifi'!$AB$20),EXACT(A11,'Modèle de liste de prix spécifi'!$AB$21),EXACT(A11,'Modèle de liste de prix spécifi'!$AB$22),EXACT(A11,'Modèle de liste de prix spécifi'!$AB$23),EXACT(A11,'Modèle de liste de prix spécifi'!$AB$24),EXACT(A11,'Modèle de liste de prix spécifi'!$AB$25),EXACT(A11,'Modèle de liste de prix spécifi'!$AB$26),EXACT(A11,'Modèle de liste de prix spécifi'!$AB$27)),"N/A",G11+F11),"")</f>
        <v/>
      </c>
      <c r="I11" s="75"/>
      <c r="J11" s="76" t="str">
        <f t="shared" si="1"/>
        <v/>
      </c>
      <c r="K11" s="57"/>
      <c r="L11" s="159" t="str">
        <f t="shared" si="2"/>
        <v>_6.</v>
      </c>
    </row>
    <row r="12" spans="1:12" s="26" customFormat="1" ht="27" customHeight="1" x14ac:dyDescent="0.25">
      <c r="A12" s="200" t="s">
        <v>66</v>
      </c>
      <c r="B12" s="42"/>
      <c r="C12" s="29" t="str">
        <f>IFERROR(INDEX('Modèle de liste de prix spécifi'!$A$3:$O$278,MATCH('Option A_Choix du modèle d''ECF'!$B12,'Modèle de liste de prix spécifi'!$E$3:$E$278,0),MATCH('Option A_Choix du modèle d''ECF'!C$2,'Modèle de liste de prix spécifi'!$A$3:$O$3,0)),"")</f>
        <v/>
      </c>
      <c r="D12" s="32" t="str">
        <f>IFERROR(INDEX('Modèle de liste de prix spécifi'!$A$3:$O$278,MATCH('Option A_Choix du modèle d''ECF'!$B12,'Modèle de liste de prix spécifi'!$E$3:$E$278,0),MATCH('Option A_Choix du modèle d''ECF'!D$2,'Modèle de liste de prix spécifi'!$A$3:$O$3,0)),"")</f>
        <v/>
      </c>
      <c r="E12" s="32" t="str">
        <f>IFERROR(INDEX('Modèle de liste de prix spécifi'!$A$3:$O$278,MATCH('Option A_Choix du modèle d''ECF'!$B12,'Modèle de liste de prix spécifi'!$E$3:$E$278,0),MATCH('Option A_Choix du modèle d''ECF'!E$2,'Modèle de liste de prix spécifi'!$A$3:$O$3,0)),"")</f>
        <v/>
      </c>
      <c r="F12" s="129" t="str">
        <f>IFERROR(INDEX('Modèle de liste de prix spécifi'!$A$3:$O$278,MATCH('Option A_Choix du modèle d''ECF'!$B12,'Modèle de liste de prix spécifi'!$E$3:$E$278,0),MATCH('Option A_Choix du modèle d''ECF'!F$2,'Modèle de liste de prix spécifi'!$A$3:$O$3,0)),"")</f>
        <v/>
      </c>
      <c r="G12" s="54"/>
      <c r="H12" s="118" t="str">
        <f>IFERROR(IF(OR(EXACT(A12,'Modèle de liste de prix spécifi'!$AB$14),EXACT(A12,'Modèle de liste de prix spécifi'!$AB$16),EXACT(A12,'Modèle de liste de prix spécifi'!$AB$17),EXACT(A12,'Modèle de liste de prix spécifi'!$AB$18),EXACT(A12,'Modèle de liste de prix spécifi'!$AB$19),EXACT(A12,'Modèle de liste de prix spécifi'!$AB$20),EXACT(A12,'Modèle de liste de prix spécifi'!$AB$21),EXACT(A12,'Modèle de liste de prix spécifi'!$AB$22),EXACT(A12,'Modèle de liste de prix spécifi'!$AB$23),EXACT(A12,'Modèle de liste de prix spécifi'!$AB$24),EXACT(A12,'Modèle de liste de prix spécifi'!$AB$25),EXACT(A12,'Modèle de liste de prix spécifi'!$AB$26),EXACT(A12,'Modèle de liste de prix spécifi'!$AB$27)),"N/A",G12+F12),"")</f>
        <v/>
      </c>
      <c r="I12" s="75"/>
      <c r="J12" s="76" t="str">
        <f t="shared" si="1"/>
        <v/>
      </c>
      <c r="K12" s="57"/>
      <c r="L12" s="159" t="str">
        <f t="shared" si="2"/>
        <v>_7.</v>
      </c>
    </row>
    <row r="13" spans="1:12" s="26" customFormat="1" ht="27" customHeight="1" x14ac:dyDescent="0.25">
      <c r="A13" s="45" t="s">
        <v>67</v>
      </c>
      <c r="B13" s="42"/>
      <c r="C13" s="29" t="str">
        <f>IFERROR(INDEX('Modèle de liste de prix spécifi'!$A$3:$O$278,MATCH('Option A_Choix du modèle d''ECF'!$B13,'Modèle de liste de prix spécifi'!$E$3:$E$278,0),MATCH('Option A_Choix du modèle d''ECF'!C$2,'Modèle de liste de prix spécifi'!$A$3:$O$3,0)),"")</f>
        <v/>
      </c>
      <c r="D13" s="32" t="str">
        <f>IFERROR(INDEX('Modèle de liste de prix spécifi'!$A$3:$O$278,MATCH('Option A_Choix du modèle d''ECF'!$B13,'Modèle de liste de prix spécifi'!$E$3:$E$278,0),MATCH('Option A_Choix du modèle d''ECF'!D$2,'Modèle de liste de prix spécifi'!$A$3:$O$3,0)),"")</f>
        <v/>
      </c>
      <c r="E13" s="32" t="str">
        <f>IFERROR(INDEX('Modèle de liste de prix spécifi'!$A$3:$O$278,MATCH('Option A_Choix du modèle d''ECF'!$B13,'Modèle de liste de prix spécifi'!$E$3:$E$278,0),MATCH('Option A_Choix du modèle d''ECF'!E$2,'Modèle de liste de prix spécifi'!$A$3:$O$3,0)),"")</f>
        <v/>
      </c>
      <c r="F13" s="129" t="str">
        <f>IFERROR(INDEX('Modèle de liste de prix spécifi'!$A$3:$O$278,MATCH('Option A_Choix du modèle d''ECF'!$B13,'Modèle de liste de prix spécifi'!$E$3:$E$278,0),MATCH('Option A_Choix du modèle d''ECF'!F$2,'Modèle de liste de prix spécifi'!$A$3:$O$3,0)),"")</f>
        <v/>
      </c>
      <c r="G13" s="54"/>
      <c r="H13" s="118" t="str">
        <f>IFERROR(IF(OR(EXACT(A13,'Modèle de liste de prix spécifi'!$AB$14),EXACT(A13,'Modèle de liste de prix spécifi'!$AB$16),EXACT(A13,'Modèle de liste de prix spécifi'!$AB$17),EXACT(A13,'Modèle de liste de prix spécifi'!$AB$18),EXACT(A13,'Modèle de liste de prix spécifi'!$AB$19),EXACT(A13,'Modèle de liste de prix spécifi'!$AB$20),EXACT(A13,'Modèle de liste de prix spécifi'!$AB$21),EXACT(A13,'Modèle de liste de prix spécifi'!$AB$22),EXACT(A13,'Modèle de liste de prix spécifi'!$AB$23),EXACT(A13,'Modèle de liste de prix spécifi'!$AB$24),EXACT(A13,'Modèle de liste de prix spécifi'!$AB$25),EXACT(A13,'Modèle de liste de prix spécifi'!$AB$26),EXACT(A13,'Modèle de liste de prix spécifi'!$AB$27)),"N/A",G13+F13),"")</f>
        <v/>
      </c>
      <c r="I13" s="75"/>
      <c r="J13" s="76" t="str">
        <f t="shared" si="1"/>
        <v/>
      </c>
      <c r="K13" s="57"/>
      <c r="L13" s="159" t="str">
        <f t="shared" si="2"/>
        <v>_8.</v>
      </c>
    </row>
    <row r="14" spans="1:12" s="26" customFormat="1" ht="27" customHeight="1" x14ac:dyDescent="0.25">
      <c r="A14" s="46" t="s">
        <v>67</v>
      </c>
      <c r="B14" s="42"/>
      <c r="C14" s="29" t="str">
        <f>IFERROR(INDEX('Modèle de liste de prix spécifi'!$A$3:$O$278,MATCH('Option A_Choix du modèle d''ECF'!$B14,'Modèle de liste de prix spécifi'!$E$3:$E$278,0),MATCH('Option A_Choix du modèle d''ECF'!C$2,'Modèle de liste de prix spécifi'!$A$3:$O$3,0)),"")</f>
        <v/>
      </c>
      <c r="D14" s="32" t="str">
        <f>IFERROR(INDEX('Modèle de liste de prix spécifi'!$A$3:$O$278,MATCH('Option A_Choix du modèle d''ECF'!$B14,'Modèle de liste de prix spécifi'!$E$3:$E$278,0),MATCH('Option A_Choix du modèle d''ECF'!D$2,'Modèle de liste de prix spécifi'!$A$3:$O$3,0)),"")</f>
        <v/>
      </c>
      <c r="E14" s="32" t="str">
        <f>IFERROR(INDEX('Modèle de liste de prix spécifi'!$A$3:$O$278,MATCH('Option A_Choix du modèle d''ECF'!$B14,'Modèle de liste de prix spécifi'!$E$3:$E$278,0),MATCH('Option A_Choix du modèle d''ECF'!E$2,'Modèle de liste de prix spécifi'!$A$3:$O$3,0)),"")</f>
        <v/>
      </c>
      <c r="F14" s="129" t="str">
        <f>IFERROR(INDEX('Modèle de liste de prix spécifi'!$A$3:$O$278,MATCH('Option A_Choix du modèle d''ECF'!$B14,'Modèle de liste de prix spécifi'!$E$3:$E$278,0),MATCH('Option A_Choix du modèle d''ECF'!F$2,'Modèle de liste de prix spécifi'!$A$3:$O$3,0)),"")</f>
        <v/>
      </c>
      <c r="G14" s="54"/>
      <c r="H14" s="118" t="str">
        <f>IFERROR(IF(OR(EXACT(A14,'Modèle de liste de prix spécifi'!$AB$14),EXACT(A14,'Modèle de liste de prix spécifi'!$AB$16),EXACT(A14,'Modèle de liste de prix spécifi'!$AB$17),EXACT(A14,'Modèle de liste de prix spécifi'!$AB$18),EXACT(A14,'Modèle de liste de prix spécifi'!$AB$19),EXACT(A14,'Modèle de liste de prix spécifi'!$AB$20),EXACT(A14,'Modèle de liste de prix spécifi'!$AB$21),EXACT(A14,'Modèle de liste de prix spécifi'!$AB$22),EXACT(A14,'Modèle de liste de prix spécifi'!$AB$23),EXACT(A14,'Modèle de liste de prix spécifi'!$AB$24),EXACT(A14,'Modèle de liste de prix spécifi'!$AB$25),EXACT(A14,'Modèle de liste de prix spécifi'!$AB$26),EXACT(A14,'Modèle de liste de prix spécifi'!$AB$27)),"N/A",G14+F14),"")</f>
        <v/>
      </c>
      <c r="I14" s="75"/>
      <c r="J14" s="76" t="str">
        <f t="shared" si="1"/>
        <v/>
      </c>
      <c r="K14" s="57"/>
      <c r="L14" s="159" t="str">
        <f t="shared" si="2"/>
        <v>_8.</v>
      </c>
    </row>
    <row r="15" spans="1:12" s="26" customFormat="1" ht="27" customHeight="1" x14ac:dyDescent="0.25">
      <c r="A15" s="46" t="s">
        <v>68</v>
      </c>
      <c r="B15" s="42"/>
      <c r="C15" s="29" t="str">
        <f>IFERROR(INDEX('Modèle de liste de prix spécifi'!$A$3:$O$278,MATCH('Option A_Choix du modèle d''ECF'!$B15,'Modèle de liste de prix spécifi'!$E$3:$E$278,0),MATCH('Option A_Choix du modèle d''ECF'!C$2,'Modèle de liste de prix spécifi'!$A$3:$O$3,0)),"")</f>
        <v/>
      </c>
      <c r="D15" s="32" t="str">
        <f>IFERROR(INDEX('Modèle de liste de prix spécifi'!$A$3:$O$278,MATCH('Option A_Choix du modèle d''ECF'!$B15,'Modèle de liste de prix spécifi'!$E$3:$E$278,0),MATCH('Option A_Choix du modèle d''ECF'!D$2,'Modèle de liste de prix spécifi'!$A$3:$O$3,0)),"")</f>
        <v/>
      </c>
      <c r="E15" s="32" t="str">
        <f>IFERROR(INDEX('Modèle de liste de prix spécifi'!$A$3:$O$278,MATCH('Option A_Choix du modèle d''ECF'!$B15,'Modèle de liste de prix spécifi'!$E$3:$E$278,0),MATCH('Option A_Choix du modèle d''ECF'!E$2,'Modèle de liste de prix spécifi'!$A$3:$O$3,0)),"")</f>
        <v/>
      </c>
      <c r="F15" s="129" t="str">
        <f>IFERROR(INDEX('Modèle de liste de prix spécifi'!$A$3:$O$278,MATCH('Option A_Choix du modèle d''ECF'!$B15,'Modèle de liste de prix spécifi'!$E$3:$E$278,0),MATCH('Option A_Choix du modèle d''ECF'!F$2,'Modèle de liste de prix spécifi'!$A$3:$O$3,0)),"")</f>
        <v/>
      </c>
      <c r="G15" s="54"/>
      <c r="H15" s="118" t="str">
        <f>IFERROR(IF(OR(EXACT(A15,'Modèle de liste de prix spécifi'!$AB$14),EXACT(A15,'Modèle de liste de prix spécifi'!$AB$16),EXACT(A15,'Modèle de liste de prix spécifi'!$AB$17),EXACT(A15,'Modèle de liste de prix spécifi'!$AB$18),EXACT(A15,'Modèle de liste de prix spécifi'!$AB$19),EXACT(A15,'Modèle de liste de prix spécifi'!$AB$20),EXACT(A15,'Modèle de liste de prix spécifi'!$AB$21),EXACT(A15,'Modèle de liste de prix spécifi'!$AB$22),EXACT(A15,'Modèle de liste de prix spécifi'!$AB$23),EXACT(A15,'Modèle de liste de prix spécifi'!$AB$24),EXACT(A15,'Modèle de liste de prix spécifi'!$AB$25),EXACT(A15,'Modèle de liste de prix spécifi'!$AB$26),EXACT(A15,'Modèle de liste de prix spécifi'!$AB$27)),"N/A",G15+F15),"")</f>
        <v/>
      </c>
      <c r="I15" s="75"/>
      <c r="J15" s="76" t="str">
        <f t="shared" si="1"/>
        <v/>
      </c>
      <c r="K15" s="57"/>
      <c r="L15" s="159" t="str">
        <f t="shared" si="2"/>
        <v>_9.</v>
      </c>
    </row>
    <row r="16" spans="1:12" s="26" customFormat="1" ht="27" customHeight="1" x14ac:dyDescent="0.25">
      <c r="A16" s="46" t="s">
        <v>68</v>
      </c>
      <c r="B16" s="42"/>
      <c r="C16" s="29" t="str">
        <f>IFERROR(INDEX('Modèle de liste de prix spécifi'!$A$3:$O$278,MATCH('Option A_Choix du modèle d''ECF'!$B16,'Modèle de liste de prix spécifi'!$E$3:$E$278,0),MATCH('Option A_Choix du modèle d''ECF'!C$2,'Modèle de liste de prix spécifi'!$A$3:$O$3,0)),"")</f>
        <v/>
      </c>
      <c r="D16" s="32" t="str">
        <f>IFERROR(INDEX('Modèle de liste de prix spécifi'!$A$3:$O$278,MATCH('Option A_Choix du modèle d''ECF'!$B16,'Modèle de liste de prix spécifi'!$E$3:$E$278,0),MATCH('Option A_Choix du modèle d''ECF'!D$2,'Modèle de liste de prix spécifi'!$A$3:$O$3,0)),"")</f>
        <v/>
      </c>
      <c r="E16" s="32" t="str">
        <f>IFERROR(INDEX('Modèle de liste de prix spécifi'!$A$3:$O$278,MATCH('Option A_Choix du modèle d''ECF'!$B16,'Modèle de liste de prix spécifi'!$E$3:$E$278,0),MATCH('Option A_Choix du modèle d''ECF'!E$2,'Modèle de liste de prix spécifi'!$A$3:$O$3,0)),"")</f>
        <v/>
      </c>
      <c r="F16" s="129" t="str">
        <f>IFERROR(INDEX('Modèle de liste de prix spécifi'!$A$3:$O$278,MATCH('Option A_Choix du modèle d''ECF'!$B16,'Modèle de liste de prix spécifi'!$E$3:$E$278,0),MATCH('Option A_Choix du modèle d''ECF'!F$2,'Modèle de liste de prix spécifi'!$A$3:$O$3,0)),"")</f>
        <v/>
      </c>
      <c r="G16" s="54"/>
      <c r="H16" s="118" t="str">
        <f>IFERROR(IF(OR(EXACT(A16,'Modèle de liste de prix spécifi'!$AB$14),EXACT(A16,'Modèle de liste de prix spécifi'!$AB$16),EXACT(A16,'Modèle de liste de prix spécifi'!$AB$17),EXACT(A16,'Modèle de liste de prix spécifi'!$AB$18),EXACT(A16,'Modèle de liste de prix spécifi'!$AB$19),EXACT(A16,'Modèle de liste de prix spécifi'!$AB$20),EXACT(A16,'Modèle de liste de prix spécifi'!$AB$21),EXACT(A16,'Modèle de liste de prix spécifi'!$AB$22),EXACT(A16,'Modèle de liste de prix spécifi'!$AB$23),EXACT(A16,'Modèle de liste de prix spécifi'!$AB$24),EXACT(A16,'Modèle de liste de prix spécifi'!$AB$25),EXACT(A16,'Modèle de liste de prix spécifi'!$AB$26),EXACT(A16,'Modèle de liste de prix spécifi'!$AB$27)),"N/A",G16+F16),"")</f>
        <v/>
      </c>
      <c r="I16" s="75"/>
      <c r="J16" s="76" t="str">
        <f t="shared" si="1"/>
        <v/>
      </c>
      <c r="K16" s="57"/>
      <c r="L16" s="159" t="str">
        <f t="shared" si="2"/>
        <v>_9.</v>
      </c>
    </row>
    <row r="17" spans="1:12" s="26" customFormat="1" ht="27" customHeight="1" x14ac:dyDescent="0.25">
      <c r="A17" s="46" t="s">
        <v>68</v>
      </c>
      <c r="B17" s="42"/>
      <c r="C17" s="29" t="str">
        <f>IFERROR(INDEX('Modèle de liste de prix spécifi'!$A$3:$O$278,MATCH('Option A_Choix du modèle d''ECF'!$B17,'Modèle de liste de prix spécifi'!$E$3:$E$278,0),MATCH('Option A_Choix du modèle d''ECF'!C$2,'Modèle de liste de prix spécifi'!$A$3:$O$3,0)),"")</f>
        <v/>
      </c>
      <c r="D17" s="32" t="str">
        <f>IFERROR(INDEX('Modèle de liste de prix spécifi'!$A$3:$O$278,MATCH('Option A_Choix du modèle d''ECF'!$B17,'Modèle de liste de prix spécifi'!$E$3:$E$278,0),MATCH('Option A_Choix du modèle d''ECF'!D$2,'Modèle de liste de prix spécifi'!$A$3:$O$3,0)),"")</f>
        <v/>
      </c>
      <c r="E17" s="32" t="str">
        <f>IFERROR(INDEX('Modèle de liste de prix spécifi'!$A$3:$O$278,MATCH('Option A_Choix du modèle d''ECF'!$B17,'Modèle de liste de prix spécifi'!$E$3:$E$278,0),MATCH('Option A_Choix du modèle d''ECF'!E$2,'Modèle de liste de prix spécifi'!$A$3:$O$3,0)),"")</f>
        <v/>
      </c>
      <c r="F17" s="129" t="str">
        <f>IFERROR(INDEX('Modèle de liste de prix spécifi'!$A$3:$O$278,MATCH('Option A_Choix du modèle d''ECF'!$B17,'Modèle de liste de prix spécifi'!$E$3:$E$278,0),MATCH('Option A_Choix du modèle d''ECF'!F$2,'Modèle de liste de prix spécifi'!$A$3:$O$3,0)),"")</f>
        <v/>
      </c>
      <c r="G17" s="54"/>
      <c r="H17" s="118" t="str">
        <f>IFERROR(IF(OR(EXACT(A17,'Modèle de liste de prix spécifi'!$AB$14),EXACT(A17,'Modèle de liste de prix spécifi'!$AB$16),EXACT(A17,'Modèle de liste de prix spécifi'!$AB$17),EXACT(A17,'Modèle de liste de prix spécifi'!$AB$18),EXACT(A17,'Modèle de liste de prix spécifi'!$AB$19),EXACT(A17,'Modèle de liste de prix spécifi'!$AB$20),EXACT(A17,'Modèle de liste de prix spécifi'!$AB$21),EXACT(A17,'Modèle de liste de prix spécifi'!$AB$22),EXACT(A17,'Modèle de liste de prix spécifi'!$AB$23),EXACT(A17,'Modèle de liste de prix spécifi'!$AB$24),EXACT(A17,'Modèle de liste de prix spécifi'!$AB$25),EXACT(A17,'Modèle de liste de prix spécifi'!$AB$26),EXACT(A17,'Modèle de liste de prix spécifi'!$AB$27)),"N/A",G17+F17),"")</f>
        <v/>
      </c>
      <c r="I17" s="75"/>
      <c r="J17" s="76" t="str">
        <f t="shared" si="1"/>
        <v/>
      </c>
      <c r="K17" s="57"/>
      <c r="L17" s="159" t="str">
        <f t="shared" si="2"/>
        <v>_9.</v>
      </c>
    </row>
    <row r="18" spans="1:12" s="26" customFormat="1" ht="27" customHeight="1" x14ac:dyDescent="0.25">
      <c r="A18" s="47" t="s">
        <v>69</v>
      </c>
      <c r="B18" s="42"/>
      <c r="C18" s="29" t="str">
        <f>IFERROR(INDEX('Modèle de liste de prix spécifi'!$A$3:$O$278,MATCH('Option A_Choix du modèle d''ECF'!$B18,'Modèle de liste de prix spécifi'!$E$3:$E$278,0),MATCH('Option A_Choix du modèle d''ECF'!C$2,'Modèle de liste de prix spécifi'!$A$3:$O$3,0)),"")</f>
        <v/>
      </c>
      <c r="D18" s="32" t="str">
        <f>IFERROR(INDEX('Modèle de liste de prix spécifi'!$A$3:$O$278,MATCH('Option A_Choix du modèle d''ECF'!$B18,'Modèle de liste de prix spécifi'!$E$3:$E$278,0),MATCH('Option A_Choix du modèle d''ECF'!D$2,'Modèle de liste de prix spécifi'!$A$3:$O$3,0)),"")</f>
        <v/>
      </c>
      <c r="E18" s="32" t="str">
        <f>IFERROR(INDEX('Modèle de liste de prix spécifi'!$A$3:$O$278,MATCH('Option A_Choix du modèle d''ECF'!$B18,'Modèle de liste de prix spécifi'!$E$3:$E$278,0),MATCH('Option A_Choix du modèle d''ECF'!E$2,'Modèle de liste de prix spécifi'!$A$3:$O$3,0)),"")</f>
        <v/>
      </c>
      <c r="F18" s="129" t="str">
        <f>IFERROR(INDEX('Modèle de liste de prix spécifi'!$A$3:$O$278,MATCH('Option A_Choix du modèle d''ECF'!$B18,'Modèle de liste de prix spécifi'!$E$3:$E$278,0),MATCH('Option A_Choix du modèle d''ECF'!F$2,'Modèle de liste de prix spécifi'!$A$3:$O$3,0)),"")</f>
        <v/>
      </c>
      <c r="G18" s="54"/>
      <c r="H18" s="118" t="str">
        <f>IFERROR(IF(OR(EXACT(A18,'Modèle de liste de prix spécifi'!$AB$14),EXACT(A18,'Modèle de liste de prix spécifi'!$AB$16),EXACT(A18,'Modèle de liste de prix spécifi'!$AB$17),EXACT(A18,'Modèle de liste de prix spécifi'!$AB$18),EXACT(A18,'Modèle de liste de prix spécifi'!$AB$19),EXACT(A18,'Modèle de liste de prix spécifi'!$AB$20),EXACT(A18,'Modèle de liste de prix spécifi'!$AB$21),EXACT(A18,'Modèle de liste de prix spécifi'!$AB$22),EXACT(A18,'Modèle de liste de prix spécifi'!$AB$23),EXACT(A18,'Modèle de liste de prix spécifi'!$AB$24),EXACT(A18,'Modèle de liste de prix spécifi'!$AB$25),EXACT(A18,'Modèle de liste de prix spécifi'!$AB$26),EXACT(A18,'Modèle de liste de prix spécifi'!$AB$27)),"N/A",G18+F18),"")</f>
        <v/>
      </c>
      <c r="I18" s="75"/>
      <c r="J18" s="76" t="str">
        <f t="shared" si="1"/>
        <v/>
      </c>
      <c r="K18" s="57"/>
      <c r="L18" s="159" t="str">
        <f t="shared" si="2"/>
        <v>_10</v>
      </c>
    </row>
    <row r="19" spans="1:12" s="26" customFormat="1" ht="27" customHeight="1" x14ac:dyDescent="0.25">
      <c r="A19" s="47" t="s">
        <v>69</v>
      </c>
      <c r="B19" s="42"/>
      <c r="C19" s="29" t="str">
        <f>IFERROR(INDEX('Modèle de liste de prix spécifi'!$A$3:$O$278,MATCH('Option A_Choix du modèle d''ECF'!$B19,'Modèle de liste de prix spécifi'!$E$3:$E$278,0),MATCH('Option A_Choix du modèle d''ECF'!C$2,'Modèle de liste de prix spécifi'!$A$3:$O$3,0)),"")</f>
        <v/>
      </c>
      <c r="D19" s="32" t="str">
        <f>IFERROR(INDEX('Modèle de liste de prix spécifi'!$A$3:$O$278,MATCH('Option A_Choix du modèle d''ECF'!$B19,'Modèle de liste de prix spécifi'!$E$3:$E$278,0),MATCH('Option A_Choix du modèle d''ECF'!D$2,'Modèle de liste de prix spécifi'!$A$3:$O$3,0)),"")</f>
        <v/>
      </c>
      <c r="E19" s="32" t="str">
        <f>IFERROR(INDEX('Modèle de liste de prix spécifi'!$A$3:$O$278,MATCH('Option A_Choix du modèle d''ECF'!$B19,'Modèle de liste de prix spécifi'!$E$3:$E$278,0),MATCH('Option A_Choix du modèle d''ECF'!E$2,'Modèle de liste de prix spécifi'!$A$3:$O$3,0)),"")</f>
        <v/>
      </c>
      <c r="F19" s="129" t="str">
        <f>IFERROR(INDEX('Modèle de liste de prix spécifi'!$A$3:$O$278,MATCH('Option A_Choix du modèle d''ECF'!$B19,'Modèle de liste de prix spécifi'!$E$3:$E$278,0),MATCH('Option A_Choix du modèle d''ECF'!F$2,'Modèle de liste de prix spécifi'!$A$3:$O$3,0)),"")</f>
        <v/>
      </c>
      <c r="G19" s="54"/>
      <c r="H19" s="118" t="str">
        <f>IFERROR(IF(OR(EXACT(A19,'Modèle de liste de prix spécifi'!$AB$14),EXACT(A19,'Modèle de liste de prix spécifi'!$AB$16),EXACT(A19,'Modèle de liste de prix spécifi'!$AB$17),EXACT(A19,'Modèle de liste de prix spécifi'!$AB$18),EXACT(A19,'Modèle de liste de prix spécifi'!$AB$19),EXACT(A19,'Modèle de liste de prix spécifi'!$AB$20),EXACT(A19,'Modèle de liste de prix spécifi'!$AB$21),EXACT(A19,'Modèle de liste de prix spécifi'!$AB$22),EXACT(A19,'Modèle de liste de prix spécifi'!$AB$23),EXACT(A19,'Modèle de liste de prix spécifi'!$AB$24),EXACT(A19,'Modèle de liste de prix spécifi'!$AB$25),EXACT(A19,'Modèle de liste de prix spécifi'!$AB$26),EXACT(A19,'Modèle de liste de prix spécifi'!$AB$27)),"N/A",G19+F19),"")</f>
        <v/>
      </c>
      <c r="I19" s="75"/>
      <c r="J19" s="76" t="str">
        <f t="shared" si="1"/>
        <v/>
      </c>
      <c r="K19" s="57"/>
      <c r="L19" s="159" t="str">
        <f t="shared" si="2"/>
        <v>_10</v>
      </c>
    </row>
    <row r="20" spans="1:12" s="26" customFormat="1" ht="27" customHeight="1" x14ac:dyDescent="0.25">
      <c r="A20" s="48" t="s">
        <v>70</v>
      </c>
      <c r="B20" s="42"/>
      <c r="C20" s="29" t="str">
        <f>IFERROR(INDEX('Modèle de liste de prix spécifi'!$A$3:$O$278,MATCH('Option A_Choix du modèle d''ECF'!$B20,'Modèle de liste de prix spécifi'!$E$3:$E$278,0),MATCH('Option A_Choix du modèle d''ECF'!C$2,'Modèle de liste de prix spécifi'!$A$3:$O$3,0)),"")</f>
        <v/>
      </c>
      <c r="D20" s="32" t="str">
        <f>IFERROR(INDEX('Modèle de liste de prix spécifi'!$A$3:$O$278,MATCH('Option A_Choix du modèle d''ECF'!$B20,'Modèle de liste de prix spécifi'!$E$3:$E$278,0),MATCH('Option A_Choix du modèle d''ECF'!D$2,'Modèle de liste de prix spécifi'!$A$3:$O$3,0)),"")</f>
        <v/>
      </c>
      <c r="E20" s="32" t="str">
        <f>IFERROR(INDEX('Modèle de liste de prix spécifi'!$A$3:$O$278,MATCH('Option A_Choix du modèle d''ECF'!$B20,'Modèle de liste de prix spécifi'!$E$3:$E$278,0),MATCH('Option A_Choix du modèle d''ECF'!E$2,'Modèle de liste de prix spécifi'!$A$3:$O$3,0)),"")</f>
        <v/>
      </c>
      <c r="F20" s="129" t="str">
        <f>IFERROR(INDEX('Modèle de liste de prix spécifi'!$A$3:$O$278,MATCH('Option A_Choix du modèle d''ECF'!$B20,'Modèle de liste de prix spécifi'!$E$3:$E$278,0),MATCH('Option A_Choix du modèle d''ECF'!F$2,'Modèle de liste de prix spécifi'!$A$3:$O$3,0)),"")</f>
        <v/>
      </c>
      <c r="G20" s="177"/>
      <c r="H20" s="118" t="str">
        <f>IFERROR(IF(OR(EXACT(A20,'Modèle de liste de prix spécifi'!$AB$14),EXACT(A20,'Modèle de liste de prix spécifi'!$AB$16),EXACT(A20,'Modèle de liste de prix spécifi'!$AB$17),EXACT(A20,'Modèle de liste de prix spécifi'!$AB$18),EXACT(A20,'Modèle de liste de prix spécifi'!$AB$19),EXACT(A20,'Modèle de liste de prix spécifi'!$AB$20),EXACT(A20,'Modèle de liste de prix spécifi'!$AB$21),EXACT(A20,'Modèle de liste de prix spécifi'!$AB$22),EXACT(A20,'Modèle de liste de prix spécifi'!$AB$23),EXACT(A20,'Modèle de liste de prix spécifi'!$AB$24),EXACT(A20,'Modèle de liste de prix spécifi'!$AB$25),EXACT(A20,'Modèle de liste de prix spécifi'!$AB$26),EXACT(A20,'Modèle de liste de prix spécifi'!$AB$27)),"N/A",G20+F20),"")</f>
        <v>N/A</v>
      </c>
      <c r="I20" s="75"/>
      <c r="J20" s="76" t="str">
        <f t="shared" si="1"/>
        <v/>
      </c>
      <c r="K20" s="57"/>
      <c r="L20" s="159" t="str">
        <f t="shared" si="2"/>
        <v>_11</v>
      </c>
    </row>
    <row r="21" spans="1:12" s="26" customFormat="1" ht="27" customHeight="1" x14ac:dyDescent="0.25">
      <c r="A21" s="49" t="s">
        <v>71</v>
      </c>
      <c r="B21" s="42"/>
      <c r="C21" s="29" t="str">
        <f>IFERROR(INDEX('Modèle de liste de prix spécifi'!$A$3:$O$278,MATCH('Option A_Choix du modèle d''ECF'!$B21,'Modèle de liste de prix spécifi'!$E$3:$E$278,0),MATCH('Option A_Choix du modèle d''ECF'!C$2,'Modèle de liste de prix spécifi'!$A$3:$O$3,0)),"")</f>
        <v/>
      </c>
      <c r="D21" s="32" t="str">
        <f>IFERROR(INDEX('Modèle de liste de prix spécifi'!$A$3:$O$278,MATCH('Option A_Choix du modèle d''ECF'!$B21,'Modèle de liste de prix spécifi'!$E$3:$E$278,0),MATCH('Option A_Choix du modèle d''ECF'!D$2,'Modèle de liste de prix spécifi'!$A$3:$O$3,0)),"")</f>
        <v/>
      </c>
      <c r="E21" s="32" t="str">
        <f>IFERROR(INDEX('Modèle de liste de prix spécifi'!$A$3:$O$278,MATCH('Option A_Choix du modèle d''ECF'!$B21,'Modèle de liste de prix spécifi'!$E$3:$E$278,0),MATCH('Option A_Choix du modèle d''ECF'!E$2,'Modèle de liste de prix spécifi'!$A$3:$O$3,0)),"")</f>
        <v/>
      </c>
      <c r="F21" s="129" t="str">
        <f>IFERROR(INDEX('Modèle de liste de prix spécifi'!$A$3:$O$278,MATCH('Option A_Choix du modèle d''ECF'!$B21,'Modèle de liste de prix spécifi'!$E$3:$E$278,0),MATCH('Option A_Choix du modèle d''ECF'!F$2,'Modèle de liste de prix spécifi'!$A$3:$O$3,0)),"")</f>
        <v/>
      </c>
      <c r="G21" s="54"/>
      <c r="H21" s="118" t="str">
        <f>IFERROR(IF(OR(EXACT(A21,'Modèle de liste de prix spécifi'!$AB$14),EXACT(A21,'Modèle de liste de prix spécifi'!$AB$16),EXACT(A21,'Modèle de liste de prix spécifi'!$AB$17),EXACT(A21,'Modèle de liste de prix spécifi'!$AB$18),EXACT(A21,'Modèle de liste de prix spécifi'!$AB$19),EXACT(A21,'Modèle de liste de prix spécifi'!$AB$20),EXACT(A21,'Modèle de liste de prix spécifi'!$AB$21),EXACT(A21,'Modèle de liste de prix spécifi'!$AB$22),EXACT(A21,'Modèle de liste de prix spécifi'!$AB$23),EXACT(A21,'Modèle de liste de prix spécifi'!$AB$24),EXACT(A21,'Modèle de liste de prix spécifi'!$AB$25),EXACT(A21,'Modèle de liste de prix spécifi'!$AB$26),EXACT(A21,'Modèle de liste de prix spécifi'!$AB$27)),"N/A",G21+F21),"")</f>
        <v/>
      </c>
      <c r="I21" s="75"/>
      <c r="J21" s="76" t="str">
        <f t="shared" si="1"/>
        <v/>
      </c>
      <c r="K21" s="57"/>
      <c r="L21" s="159" t="str">
        <f t="shared" si="2"/>
        <v>_12</v>
      </c>
    </row>
    <row r="22" spans="1:12" s="26" customFormat="1" ht="27" customHeight="1" x14ac:dyDescent="0.25">
      <c r="A22" s="49" t="s">
        <v>71</v>
      </c>
      <c r="B22" s="42"/>
      <c r="C22" s="29" t="str">
        <f>IFERROR(INDEX('Modèle de liste de prix spécifi'!$A$3:$O$278,MATCH('Option A_Choix du modèle d''ECF'!$B22,'Modèle de liste de prix spécifi'!$E$3:$E$278,0),MATCH('Option A_Choix du modèle d''ECF'!C$2,'Modèle de liste de prix spécifi'!$A$3:$O$3,0)),"")</f>
        <v/>
      </c>
      <c r="D22" s="32" t="str">
        <f>IFERROR(INDEX('Modèle de liste de prix spécifi'!$A$3:$O$278,MATCH('Option A_Choix du modèle d''ECF'!$B22,'Modèle de liste de prix spécifi'!$E$3:$E$278,0),MATCH('Option A_Choix du modèle d''ECF'!D$2,'Modèle de liste de prix spécifi'!$A$3:$O$3,0)),"")</f>
        <v/>
      </c>
      <c r="E22" s="32" t="str">
        <f>IFERROR(INDEX('Modèle de liste de prix spécifi'!$A$3:$O$278,MATCH('Option A_Choix du modèle d''ECF'!$B22,'Modèle de liste de prix spécifi'!$E$3:$E$278,0),MATCH('Option A_Choix du modèle d''ECF'!E$2,'Modèle de liste de prix spécifi'!$A$3:$O$3,0)),"")</f>
        <v/>
      </c>
      <c r="F22" s="129" t="str">
        <f>IFERROR(INDEX('Modèle de liste de prix spécifi'!$A$3:$O$278,MATCH('Option A_Choix du modèle d''ECF'!$B22,'Modèle de liste de prix spécifi'!$E$3:$E$278,0),MATCH('Option A_Choix du modèle d''ECF'!F$2,'Modèle de liste de prix spécifi'!$A$3:$O$3,0)),"")</f>
        <v/>
      </c>
      <c r="G22" s="54"/>
      <c r="H22" s="118" t="str">
        <f>IFERROR(IF(OR(EXACT(A22,'Modèle de liste de prix spécifi'!$AB$14),EXACT(A22,'Modèle de liste de prix spécifi'!$AB$16),EXACT(A22,'Modèle de liste de prix spécifi'!$AB$17),EXACT(A22,'Modèle de liste de prix spécifi'!$AB$18),EXACT(A22,'Modèle de liste de prix spécifi'!$AB$19),EXACT(A22,'Modèle de liste de prix spécifi'!$AB$20),EXACT(A22,'Modèle de liste de prix spécifi'!$AB$21),EXACT(A22,'Modèle de liste de prix spécifi'!$AB$22),EXACT(A22,'Modèle de liste de prix spécifi'!$AB$23),EXACT(A22,'Modèle de liste de prix spécifi'!$AB$24),EXACT(A22,'Modèle de liste de prix spécifi'!$AB$25),EXACT(A22,'Modèle de liste de prix spécifi'!$AB$26),EXACT(A22,'Modèle de liste de prix spécifi'!$AB$27)),"N/A",G22+F22),"")</f>
        <v/>
      </c>
      <c r="I22" s="75"/>
      <c r="J22" s="76" t="str">
        <f t="shared" si="1"/>
        <v/>
      </c>
      <c r="K22" s="57"/>
      <c r="L22" s="159" t="str">
        <f t="shared" si="2"/>
        <v>_12</v>
      </c>
    </row>
    <row r="23" spans="1:12" s="26" customFormat="1" ht="27" customHeight="1" x14ac:dyDescent="0.25">
      <c r="A23" s="49" t="s">
        <v>437</v>
      </c>
      <c r="B23" s="42"/>
      <c r="C23" s="29" t="str">
        <f>IFERROR(INDEX('Modèle de liste de prix spécifi'!$A$3:$O$278,MATCH('Option A_Choix du modèle d''ECF'!$B23,'Modèle de liste de prix spécifi'!$E$3:$E$278,0),MATCH('Option A_Choix du modèle d''ECF'!C$2,'Modèle de liste de prix spécifi'!$A$3:$O$3,0)),"")</f>
        <v/>
      </c>
      <c r="D23" s="158" t="str">
        <f>IFERROR(INDEX('Modèle de liste de prix spécifi'!$A$3:$O$278,MATCH('Option A_Choix du modèle d''ECF'!$B23,'Modèle de liste de prix spécifi'!$E$3:$E$278,0),MATCH('Option A_Choix du modèle d''ECF'!D$2,'Modèle de liste de prix spécifi'!$A$3:$O$3,0)),"")</f>
        <v/>
      </c>
      <c r="E23" s="32" t="str">
        <f>IFERROR(INDEX('Modèle de liste de prix spécifi'!$A$3:$O$278,MATCH('Option A_Choix du modèle d''ECF'!$B23,'Modèle de liste de prix spécifi'!$E$3:$E$278,0),MATCH('Option A_Choix du modèle d''ECF'!E$2,'Modèle de liste de prix spécifi'!$A$3:$O$3,0)),"")</f>
        <v/>
      </c>
      <c r="F23" s="129" t="str">
        <f>IFERROR(INDEX('Modèle de liste de prix spécifi'!$A$3:$O$278,MATCH('Option A_Choix du modèle d''ECF'!$B23,'Modèle de liste de prix spécifi'!$E$3:$E$278,0),MATCH('Option A_Choix du modèle d''ECF'!F$2,'Modèle de liste de prix spécifi'!$A$3:$O$3,0)),"")</f>
        <v/>
      </c>
      <c r="G23" s="177"/>
      <c r="H23" s="118" t="str">
        <f>IFERROR(IF(OR(EXACT(A23,'Modèle de liste de prix spécifi'!$AB$14),EXACT(A23,'Modèle de liste de prix spécifi'!$AB$16),EXACT(A23,'Modèle de liste de prix spécifi'!$AB$17),EXACT(A23,'Modèle de liste de prix spécifi'!$AB$18),EXACT(A23,'Modèle de liste de prix spécifi'!$AB$19),EXACT(A23,'Modèle de liste de prix spécifi'!$AB$20),EXACT(A23,'Modèle de liste de prix spécifi'!$AB$21),EXACT(A23,'Modèle de liste de prix spécifi'!$AB$22),EXACT(A23,'Modèle de liste de prix spécifi'!$AB$23),EXACT(A23,'Modèle de liste de prix spécifi'!$AB$24),EXACT(A23,'Modèle de liste de prix spécifi'!$AB$25),EXACT(A23,'Modèle de liste de prix spécifi'!$AB$26),EXACT(A23,'Modèle de liste de prix spécifi'!$AB$27)),"N/A",G23+F23),"")</f>
        <v>N/A</v>
      </c>
      <c r="I23" s="75"/>
      <c r="J23" s="76" t="str">
        <f t="shared" si="1"/>
        <v/>
      </c>
      <c r="K23" s="57"/>
      <c r="L23" s="159" t="str">
        <f t="shared" si="2"/>
        <v>_13</v>
      </c>
    </row>
    <row r="24" spans="1:12" s="26" customFormat="1" ht="27" customHeight="1" x14ac:dyDescent="0.25">
      <c r="A24" s="49" t="s">
        <v>436</v>
      </c>
      <c r="B24" s="42"/>
      <c r="C24" s="29" t="str">
        <f>IFERROR(INDEX('Modèle de liste de prix spécifi'!$A$3:$O$278,MATCH('Option A_Choix du modèle d''ECF'!$B24,'Modèle de liste de prix spécifi'!$E$3:$E$278,0),MATCH('Option A_Choix du modèle d''ECF'!C$2,'Modèle de liste de prix spécifi'!$A$3:$O$3,0)),"")</f>
        <v/>
      </c>
      <c r="D24" s="158" t="str">
        <f>IFERROR(INDEX('Modèle de liste de prix spécifi'!$A$3:$O$278,MATCH('Option A_Choix du modèle d''ECF'!$B24,'Modèle de liste de prix spécifi'!$E$3:$E$278,0),MATCH('Option A_Choix du modèle d''ECF'!D$2,'Modèle de liste de prix spécifi'!$A$3:$O$3,0)),"")</f>
        <v/>
      </c>
      <c r="E24" s="32" t="str">
        <f>IFERROR(INDEX('Modèle de liste de prix spécifi'!$A$3:$O$278,MATCH('Option A_Choix du modèle d''ECF'!$B24,'Modèle de liste de prix spécifi'!$E$3:$E$278,0),MATCH('Option A_Choix du modèle d''ECF'!E$2,'Modèle de liste de prix spécifi'!$A$3:$O$3,0)),"")</f>
        <v/>
      </c>
      <c r="F24" s="129" t="str">
        <f>IFERROR(INDEX('Modèle de liste de prix spécifi'!$A$3:$O$278,MATCH('Option A_Choix du modèle d''ECF'!$B24,'Modèle de liste de prix spécifi'!$E$3:$E$278,0),MATCH('Option A_Choix du modèle d''ECF'!F$2,'Modèle de liste de prix spécifi'!$A$3:$O$3,0)),"")</f>
        <v/>
      </c>
      <c r="G24" s="177"/>
      <c r="H24" s="118" t="str">
        <f>IFERROR(IF(OR(EXACT(A24,'Modèle de liste de prix spécifi'!$AB$14),EXACT(A24,'Modèle de liste de prix spécifi'!$AB$16),EXACT(A24,'Modèle de liste de prix spécifi'!$AB$17),EXACT(A24,'Modèle de liste de prix spécifi'!$AB$18),EXACT(A24,'Modèle de liste de prix spécifi'!$AB$19),EXACT(A24,'Modèle de liste de prix spécifi'!$AB$20),EXACT(A24,'Modèle de liste de prix spécifi'!$AB$21),EXACT(A24,'Modèle de liste de prix spécifi'!$AB$22),EXACT(A24,'Modèle de liste de prix spécifi'!$AB$23),EXACT(A24,'Modèle de liste de prix spécifi'!$AB$24),EXACT(A24,'Modèle de liste de prix spécifi'!$AB$25),EXACT(A24,'Modèle de liste de prix spécifi'!$AB$26),EXACT(A24,'Modèle de liste de prix spécifi'!$AB$27)),"N/A",G24+F24),"")</f>
        <v>N/A</v>
      </c>
      <c r="I24" s="75"/>
      <c r="J24" s="76" t="str">
        <f t="shared" si="1"/>
        <v/>
      </c>
      <c r="K24" s="57"/>
      <c r="L24" s="159" t="str">
        <f t="shared" si="2"/>
        <v>_14</v>
      </c>
    </row>
    <row r="25" spans="1:12" s="26" customFormat="1" ht="27" customHeight="1" x14ac:dyDescent="0.25">
      <c r="A25" s="50" t="s">
        <v>72</v>
      </c>
      <c r="B25" s="42"/>
      <c r="C25" s="29" t="str">
        <f>IFERROR(INDEX('Modèle de liste de prix spécifi'!$A$3:$O$278,MATCH('Option A_Choix du modèle d''ECF'!$B25,'Modèle de liste de prix spécifi'!$E$3:$E$278,0),MATCH('Option A_Choix du modèle d''ECF'!C$2,'Modèle de liste de prix spécifi'!$A$3:$O$3,0)),"")</f>
        <v/>
      </c>
      <c r="D25" s="158" t="str">
        <f>IFERROR(INDEX('Modèle de liste de prix spécifi'!$A$3:$O$278,MATCH('Option A_Choix du modèle d''ECF'!$B25,'Modèle de liste de prix spécifi'!$E$3:$E$278,0),MATCH('Option A_Choix du modèle d''ECF'!D$2,'Modèle de liste de prix spécifi'!$A$3:$O$3,0)),"")</f>
        <v/>
      </c>
      <c r="E25" s="32" t="str">
        <f>IFERROR(INDEX('Modèle de liste de prix spécifi'!$A$3:$O$278,MATCH('Option A_Choix du modèle d''ECF'!$B25,'Modèle de liste de prix spécifi'!$E$3:$E$278,0),MATCH('Option A_Choix du modèle d''ECF'!E$2,'Modèle de liste de prix spécifi'!$A$3:$O$3,0)),"")</f>
        <v/>
      </c>
      <c r="F25" s="129" t="str">
        <f>IFERROR(INDEX('Modèle de liste de prix spécifi'!$A$3:$O$278,MATCH('Option A_Choix du modèle d''ECF'!$B25,'Modèle de liste de prix spécifi'!$E$3:$E$278,0),MATCH('Option A_Choix du modèle d''ECF'!F$2,'Modèle de liste de prix spécifi'!$A$3:$O$3,0)),"")</f>
        <v/>
      </c>
      <c r="G25" s="177"/>
      <c r="H25" s="118" t="str">
        <f>IFERROR(IF(OR(EXACT(A25,'Modèle de liste de prix spécifi'!$AB$14),EXACT(A25,'Modèle de liste de prix spécifi'!$AB$16),EXACT(A25,'Modèle de liste de prix spécifi'!$AB$17),EXACT(A25,'Modèle de liste de prix spécifi'!$AB$18),EXACT(A25,'Modèle de liste de prix spécifi'!$AB$19),EXACT(A25,'Modèle de liste de prix spécifi'!$AB$20),EXACT(A25,'Modèle de liste de prix spécifi'!$AB$21),EXACT(A25,'Modèle de liste de prix spécifi'!$AB$22),EXACT(A25,'Modèle de liste de prix spécifi'!$AB$23),EXACT(A25,'Modèle de liste de prix spécifi'!$AB$24),EXACT(A25,'Modèle de liste de prix spécifi'!$AB$25),EXACT(A25,'Modèle de liste de prix spécifi'!$AB$26),EXACT(A25,'Modèle de liste de prix spécifi'!$AB$27)),"N/A",G25+F25),"")</f>
        <v>N/A</v>
      </c>
      <c r="I25" s="75"/>
      <c r="J25" s="76" t="str">
        <f t="shared" si="1"/>
        <v/>
      </c>
      <c r="K25" s="57"/>
      <c r="L25" s="159" t="str">
        <f t="shared" si="2"/>
        <v>_15</v>
      </c>
    </row>
    <row r="26" spans="1:12" s="26" customFormat="1" ht="27" customHeight="1" x14ac:dyDescent="0.25">
      <c r="A26" s="50" t="s">
        <v>438</v>
      </c>
      <c r="B26" s="42"/>
      <c r="C26" s="29" t="str">
        <f>IFERROR(INDEX('Modèle de liste de prix spécifi'!$A$3:$O$278,MATCH('Option A_Choix du modèle d''ECF'!$B26,'Modèle de liste de prix spécifi'!$E$3:$E$278,0),MATCH('Option A_Choix du modèle d''ECF'!C$2,'Modèle de liste de prix spécifi'!$A$3:$O$3,0)),"")</f>
        <v/>
      </c>
      <c r="D26" s="158" t="str">
        <f>IFERROR(INDEX('Modèle de liste de prix spécifi'!$A$3:$O$278,MATCH('Option A_Choix du modèle d''ECF'!$B26,'Modèle de liste de prix spécifi'!$E$3:$E$278,0),MATCH('Option A_Choix du modèle d''ECF'!D$2,'Modèle de liste de prix spécifi'!$A$3:$O$3,0)),"")</f>
        <v/>
      </c>
      <c r="E26" s="32" t="str">
        <f>IFERROR(INDEX('Modèle de liste de prix spécifi'!$A$3:$O$278,MATCH('Option A_Choix du modèle d''ECF'!$B26,'Modèle de liste de prix spécifi'!$E$3:$E$278,0),MATCH('Option A_Choix du modèle d''ECF'!E$2,'Modèle de liste de prix spécifi'!$A$3:$O$3,0)),"")</f>
        <v/>
      </c>
      <c r="F26" s="129" t="str">
        <f>IFERROR(INDEX('Modèle de liste de prix spécifi'!$A$3:$O$278,MATCH('Option A_Choix du modèle d''ECF'!$B26,'Modèle de liste de prix spécifi'!$E$3:$E$278,0),MATCH('Option A_Choix du modèle d''ECF'!F$2,'Modèle de liste de prix spécifi'!$A$3:$O$3,0)),"")</f>
        <v/>
      </c>
      <c r="G26" s="177"/>
      <c r="H26" s="118" t="str">
        <f>IFERROR(IF(OR(EXACT(A26,'Modèle de liste de prix spécifi'!$AB$14),EXACT(A26,'Modèle de liste de prix spécifi'!$AB$16),EXACT(A26,'Modèle de liste de prix spécifi'!$AB$17),EXACT(A26,'Modèle de liste de prix spécifi'!$AB$18),EXACT(A26,'Modèle de liste de prix spécifi'!$AB$19),EXACT(A26,'Modèle de liste de prix spécifi'!$AB$20),EXACT(A26,'Modèle de liste de prix spécifi'!$AB$21),EXACT(A26,'Modèle de liste de prix spécifi'!$AB$22),EXACT(A26,'Modèle de liste de prix spécifi'!$AB$23),EXACT(A26,'Modèle de liste de prix spécifi'!$AB$24),EXACT(A26,'Modèle de liste de prix spécifi'!$AB$25),EXACT(A26,'Modèle de liste de prix spécifi'!$AB$26),EXACT(A26,'Modèle de liste de prix spécifi'!$AB$27)),"N/A",G26+F26),"")</f>
        <v>N/A</v>
      </c>
      <c r="I26" s="75"/>
      <c r="J26" s="76" t="str">
        <f t="shared" si="1"/>
        <v/>
      </c>
      <c r="K26" s="57"/>
      <c r="L26" s="159" t="str">
        <f t="shared" si="2"/>
        <v>_16</v>
      </c>
    </row>
    <row r="27" spans="1:12" s="26" customFormat="1" ht="27" customHeight="1" x14ac:dyDescent="0.25">
      <c r="A27" s="51" t="s">
        <v>73</v>
      </c>
      <c r="B27" s="42"/>
      <c r="C27" s="29" t="str">
        <f>IFERROR(INDEX('Modèle de liste de prix spécifi'!$A$3:$O$278,MATCH('Option A_Choix du modèle d''ECF'!$B27,'Modèle de liste de prix spécifi'!$E$3:$E$278,0),MATCH('Option A_Choix du modèle d''ECF'!C$2,'Modèle de liste de prix spécifi'!$A$3:$O$3,0)),"")</f>
        <v/>
      </c>
      <c r="D27" s="32" t="str">
        <f>IFERROR(INDEX('Modèle de liste de prix spécifi'!$A$3:$O$278,MATCH('Option A_Choix du modèle d''ECF'!$B27,'Modèle de liste de prix spécifi'!$E$3:$E$278,0),MATCH('Option A_Choix du modèle d''ECF'!D$2,'Modèle de liste de prix spécifi'!$A$3:$O$3,0)),"")</f>
        <v/>
      </c>
      <c r="E27" s="32" t="str">
        <f>IFERROR(INDEX('Modèle de liste de prix spécifi'!$A$3:$O$278,MATCH('Option A_Choix du modèle d''ECF'!$B27,'Modèle de liste de prix spécifi'!$E$3:$E$278,0),MATCH('Option A_Choix du modèle d''ECF'!E$2,'Modèle de liste de prix spécifi'!$A$3:$O$3,0)),"")</f>
        <v/>
      </c>
      <c r="F27" s="129" t="str">
        <f>IFERROR(INDEX('Modèle de liste de prix spécifi'!$A$3:$O$278,MATCH('Option A_Choix du modèle d''ECF'!$B27,'Modèle de liste de prix spécifi'!$E$3:$E$278,0),MATCH('Option A_Choix du modèle d''ECF'!F$2,'Modèle de liste de prix spécifi'!$A$3:$O$3,0)),"")</f>
        <v/>
      </c>
      <c r="G27" s="177"/>
      <c r="H27" s="118" t="str">
        <f>IFERROR(IF(OR(EXACT(A27,'Modèle de liste de prix spécifi'!$AB$14),EXACT(A27,'Modèle de liste de prix spécifi'!$AB$16),EXACT(A27,'Modèle de liste de prix spécifi'!$AB$17),EXACT(A27,'Modèle de liste de prix spécifi'!$AB$18),EXACT(A27,'Modèle de liste de prix spécifi'!$AB$19),EXACT(A27,'Modèle de liste de prix spécifi'!$AB$20),EXACT(A27,'Modèle de liste de prix spécifi'!$AB$21),EXACT(A27,'Modèle de liste de prix spécifi'!$AB$22),EXACT(A27,'Modèle de liste de prix spécifi'!$AB$23),EXACT(A27,'Modèle de liste de prix spécifi'!$AB$24),EXACT(A27,'Modèle de liste de prix spécifi'!$AB$25),EXACT(A27,'Modèle de liste de prix spécifi'!$AB$26),EXACT(A27,'Modèle de liste de prix spécifi'!$AB$27)),"N/A",G27+F27),"")</f>
        <v>N/A</v>
      </c>
      <c r="I27" s="75"/>
      <c r="J27" s="76" t="str">
        <f t="shared" si="1"/>
        <v/>
      </c>
      <c r="K27" s="57"/>
      <c r="L27" s="159" t="str">
        <f t="shared" si="2"/>
        <v>_17</v>
      </c>
    </row>
    <row r="28" spans="1:12" s="26" customFormat="1" ht="27" customHeight="1" x14ac:dyDescent="0.25">
      <c r="A28" s="52" t="s">
        <v>74</v>
      </c>
      <c r="B28" s="42"/>
      <c r="C28" s="29" t="str">
        <f>IFERROR(INDEX('Modèle de liste de prix spécifi'!$A$3:$O$278,MATCH('Option A_Choix du modèle d''ECF'!$B28,'Modèle de liste de prix spécifi'!$E$3:$E$278,0),MATCH('Option A_Choix du modèle d''ECF'!C$2,'Modèle de liste de prix spécifi'!$A$3:$O$3,0)),"")</f>
        <v/>
      </c>
      <c r="D28" s="32" t="str">
        <f>IFERROR(INDEX('Modèle de liste de prix spécifi'!$A$3:$O$278,MATCH('Option A_Choix du modèle d''ECF'!$B28,'Modèle de liste de prix spécifi'!$E$3:$E$278,0),MATCH('Option A_Choix du modèle d''ECF'!D$2,'Modèle de liste de prix spécifi'!$A$3:$O$3,0)),"")</f>
        <v/>
      </c>
      <c r="E28" s="32" t="str">
        <f>IFERROR(INDEX('Modèle de liste de prix spécifi'!$A$3:$O$278,MATCH('Option A_Choix du modèle d''ECF'!$B28,'Modèle de liste de prix spécifi'!$E$3:$E$278,0),MATCH('Option A_Choix du modèle d''ECF'!E$2,'Modèle de liste de prix spécifi'!$A$3:$O$3,0)),"")</f>
        <v/>
      </c>
      <c r="F28" s="204" t="str">
        <f>IFERROR(INDEX('Modèle de liste de prix spécifi'!$A$3:$O$278,MATCH('Option A_Choix du modèle d''ECF'!$B28,'Modèle de liste de prix spécifi'!$E$3:$E$278,0),MATCH('Option A_Choix du modèle d''ECF'!F$2,'Modèle de liste de prix spécifi'!$A$3:$O$3,0)),"")</f>
        <v/>
      </c>
      <c r="G28" s="177"/>
      <c r="H28" s="118" t="str">
        <f>IFERROR(IF(OR(EXACT(A28,'Modèle de liste de prix spécifi'!$AB$14),EXACT(A28,'Modèle de liste de prix spécifi'!$AB$16),EXACT(A28,'Modèle de liste de prix spécifi'!$AB$17),EXACT(A28,'Modèle de liste de prix spécifi'!$AB$18),EXACT(A28,'Modèle de liste de prix spécifi'!$AB$19),EXACT(A28,'Modèle de liste de prix spécifi'!$AB$20),EXACT(A28,'Modèle de liste de prix spécifi'!$AB$21),EXACT(A28,'Modèle de liste de prix spécifi'!$AB$22),EXACT(A28,'Modèle de liste de prix spécifi'!$AB$23),EXACT(A28,'Modèle de liste de prix spécifi'!$AB$24),EXACT(A28,'Modèle de liste de prix spécifi'!$AB$25),EXACT(A28,'Modèle de liste de prix spécifi'!$AB$26),EXACT(A28,'Modèle de liste de prix spécifi'!$AB$27)),"N/A",G28+F28),"")</f>
        <v>N/A</v>
      </c>
      <c r="I28" s="75"/>
      <c r="J28" s="76" t="str">
        <f t="shared" si="1"/>
        <v/>
      </c>
      <c r="K28" s="57"/>
      <c r="L28" s="159" t="str">
        <f t="shared" si="2"/>
        <v>_18</v>
      </c>
    </row>
    <row r="29" spans="1:12" s="26" customFormat="1" ht="27" customHeight="1" x14ac:dyDescent="0.25">
      <c r="A29" s="53" t="s">
        <v>75</v>
      </c>
      <c r="B29" s="42"/>
      <c r="C29" s="29" t="str">
        <f>IFERROR(INDEX('Modèle de liste de prix spécifi'!$A$3:$O$278,MATCH('Option A_Choix du modèle d''ECF'!$B29,'Modèle de liste de prix spécifi'!$E$3:$E$278,0),MATCH('Option A_Choix du modèle d''ECF'!C$2,'Modèle de liste de prix spécifi'!$A$3:$O$3,0)),"")</f>
        <v/>
      </c>
      <c r="D29" s="32" t="str">
        <f>IFERROR(INDEX('Modèle de liste de prix spécifi'!$A$3:$O$278,MATCH('Option A_Choix du modèle d''ECF'!$B29,'Modèle de liste de prix spécifi'!$E$3:$E$278,0),MATCH('Option A_Choix du modèle d''ECF'!D$2,'Modèle de liste de prix spécifi'!$A$3:$O$3,0)),"")</f>
        <v/>
      </c>
      <c r="E29" s="32" t="str">
        <f>IFERROR(INDEX('Modèle de liste de prix spécifi'!$A$3:$O$278,MATCH('Option A_Choix du modèle d''ECF'!$B29,'Modèle de liste de prix spécifi'!$E$3:$E$278,0),MATCH('Option A_Choix du modèle d''ECF'!E$2,'Modèle de liste de prix spécifi'!$A$3:$O$3,0)),"")</f>
        <v/>
      </c>
      <c r="F29" s="204" t="str">
        <f>IFERROR(INDEX('Modèle de liste de prix spécifi'!$A$3:$O$278,MATCH('Option A_Choix du modèle d''ECF'!$B29,'Modèle de liste de prix spécifi'!$E$3:$E$278,0),MATCH('Option A_Choix du modèle d''ECF'!F$2,'Modèle de liste de prix spécifi'!$A$3:$O$3,0)),"")</f>
        <v/>
      </c>
      <c r="G29" s="177"/>
      <c r="H29" s="118" t="str">
        <f>IFERROR(IF(OR(EXACT(A29,'Modèle de liste de prix spécifi'!$AB$14),EXACT(A29,'Modèle de liste de prix spécifi'!$AB$16),EXACT(A29,'Modèle de liste de prix spécifi'!$AB$17),EXACT(A29,'Modèle de liste de prix spécifi'!$AB$18),EXACT(A29,'Modèle de liste de prix spécifi'!$AB$19),EXACT(A29,'Modèle de liste de prix spécifi'!$AB$20),EXACT(A29,'Modèle de liste de prix spécifi'!$AB$21),EXACT(A29,'Modèle de liste de prix spécifi'!$AB$22),EXACT(A29,'Modèle de liste de prix spécifi'!$AB$23),EXACT(A29,'Modèle de liste de prix spécifi'!$AB$24),EXACT(A29,'Modèle de liste de prix spécifi'!$AB$25),EXACT(A29,'Modèle de liste de prix spécifi'!$AB$26),EXACT(A29,'Modèle de liste de prix spécifi'!$AB$27)),"N/A",G29+F29),"")</f>
        <v>N/A</v>
      </c>
      <c r="I29" s="75"/>
      <c r="J29" s="76" t="str">
        <f t="shared" si="1"/>
        <v/>
      </c>
      <c r="K29" s="57"/>
      <c r="L29" s="159" t="str">
        <f t="shared" si="2"/>
        <v>_19</v>
      </c>
    </row>
    <row r="30" spans="1:12" s="26" customFormat="1" ht="27" customHeight="1" x14ac:dyDescent="0.25">
      <c r="A30" s="53" t="s">
        <v>76</v>
      </c>
      <c r="B30" s="42"/>
      <c r="C30" s="29" t="str">
        <f>IFERROR(INDEX('Modèle de liste de prix spécifi'!$A$3:$O$278,MATCH('Option A_Choix du modèle d''ECF'!$B30,'Modèle de liste de prix spécifi'!$E$3:$E$278,0),MATCH('Option A_Choix du modèle d''ECF'!C$2,'Modèle de liste de prix spécifi'!$A$3:$O$3,0)),"")</f>
        <v/>
      </c>
      <c r="D30" s="32" t="str">
        <f>IFERROR(INDEX('Modèle de liste de prix spécifi'!$A$3:$O$278,MATCH('Option A_Choix du modèle d''ECF'!$B30,'Modèle de liste de prix spécifi'!$E$3:$E$278,0),MATCH('Option A_Choix du modèle d''ECF'!D$2,'Modèle de liste de prix spécifi'!$A$3:$O$3,0)),"")</f>
        <v/>
      </c>
      <c r="E30" s="32" t="str">
        <f>IFERROR(INDEX('Modèle de liste de prix spécifi'!$A$3:$O$278,MATCH('Option A_Choix du modèle d''ECF'!$B30,'Modèle de liste de prix spécifi'!$E$3:$E$278,0),MATCH('Option A_Choix du modèle d''ECF'!E$2,'Modèle de liste de prix spécifi'!$A$3:$O$3,0)),"")</f>
        <v/>
      </c>
      <c r="F30" s="204" t="str">
        <f>IFERROR(INDEX('Modèle de liste de prix spécifi'!$A$3:$O$278,MATCH('Option A_Choix du modèle d''ECF'!$B30,'Modèle de liste de prix spécifi'!$E$3:$E$278,0),MATCH('Option A_Choix du modèle d''ECF'!F$2,'Modèle de liste de prix spécifi'!$A$3:$O$3,0)),"")</f>
        <v/>
      </c>
      <c r="G30" s="177"/>
      <c r="H30" s="118" t="str">
        <f>IFERROR(IF(OR(EXACT(A30,'Modèle de liste de prix spécifi'!$AB$14),EXACT(A30,'Modèle de liste de prix spécifi'!$AB$16),EXACT(A30,'Modèle de liste de prix spécifi'!$AB$17),EXACT(A30,'Modèle de liste de prix spécifi'!$AB$18),EXACT(A30,'Modèle de liste de prix spécifi'!$AB$19),EXACT(A30,'Modèle de liste de prix spécifi'!$AB$20),EXACT(A30,'Modèle de liste de prix spécifi'!$AB$21),EXACT(A30,'Modèle de liste de prix spécifi'!$AB$22),EXACT(A30,'Modèle de liste de prix spécifi'!$AB$23),EXACT(A30,'Modèle de liste de prix spécifi'!$AB$24),EXACT(A30,'Modèle de liste de prix spécifi'!$AB$25),EXACT(A30,'Modèle de liste de prix spécifi'!$AB$26),EXACT(A30,'Modèle de liste de prix spécifi'!$AB$27)),"N/A",G30+F30),"")</f>
        <v>N/A</v>
      </c>
      <c r="I30" s="75"/>
      <c r="J30" s="76" t="str">
        <f t="shared" si="1"/>
        <v/>
      </c>
      <c r="K30" s="57"/>
      <c r="L30" s="159" t="str">
        <f t="shared" si="2"/>
        <v>_20</v>
      </c>
    </row>
    <row r="31" spans="1:12" s="26" customFormat="1" ht="27" customHeight="1" x14ac:dyDescent="0.25">
      <c r="A31" s="121" t="s">
        <v>77</v>
      </c>
      <c r="B31" s="42"/>
      <c r="C31" s="29" t="str">
        <f>IFERROR(INDEX('Modèle de liste de prix spécifi'!$A$3:$O$278,MATCH('Option A_Choix du modèle d''ECF'!$B31,'Modèle de liste de prix spécifi'!$E$3:$E$278,0),MATCH('Option A_Choix du modèle d''ECF'!C$2,'Modèle de liste de prix spécifi'!$A$3:$O$3,0)),"")</f>
        <v/>
      </c>
      <c r="D31" s="32" t="str">
        <f>IFERROR(INDEX('Modèle de liste de prix spécifi'!$A$3:$O$278,MATCH('Option A_Choix du modèle d''ECF'!$B31,'Modèle de liste de prix spécifi'!$E$3:$E$278,0),MATCH('Option A_Choix du modèle d''ECF'!D$2,'Modèle de liste de prix spécifi'!$A$3:$O$3,0)),"")</f>
        <v/>
      </c>
      <c r="E31" s="32" t="str">
        <f>IFERROR(INDEX('Modèle de liste de prix spécifi'!$A$3:$O$278,MATCH('Option A_Choix du modèle d''ECF'!$B31,'Modèle de liste de prix spécifi'!$E$3:$E$278,0),MATCH('Option A_Choix du modèle d''ECF'!E$2,'Modèle de liste de prix spécifi'!$A$3:$O$3,0)),"")</f>
        <v/>
      </c>
      <c r="F31" s="204" t="str">
        <f>IFERROR(INDEX('Modèle de liste de prix spécifi'!$A$3:$O$278,MATCH('Option A_Choix du modèle d''ECF'!$B31,'Modèle de liste de prix spécifi'!$E$3:$E$278,0),MATCH('Option A_Choix du modèle d''ECF'!F$2,'Modèle de liste de prix spécifi'!$A$3:$O$3,0)),"")</f>
        <v/>
      </c>
      <c r="G31" s="177"/>
      <c r="H31" s="118" t="str">
        <f>IFERROR(IF(OR(EXACT(A31,'Modèle de liste de prix spécifi'!$AB$14),EXACT(A31,'Modèle de liste de prix spécifi'!$AB$16),EXACT(A31,'Modèle de liste de prix spécifi'!$AB$17),EXACT(A31,'Modèle de liste de prix spécifi'!$AB$18),EXACT(A31,'Modèle de liste de prix spécifi'!$AB$19),EXACT(A31,'Modèle de liste de prix spécifi'!$AB$20),EXACT(A31,'Modèle de liste de prix spécifi'!$AB$21),EXACT(A31,'Modèle de liste de prix spécifi'!$AB$22),EXACT(A31,'Modèle de liste de prix spécifi'!$AB$23),EXACT(A31,'Modèle de liste de prix spécifi'!$AB$24),EXACT(A31,'Modèle de liste de prix spécifi'!$AB$25),EXACT(A31,'Modèle de liste de prix spécifi'!$AB$26),EXACT(A31,'Modèle de liste de prix spécifi'!$AB$27)),"N/A",G31+F31),"")</f>
        <v>N/A</v>
      </c>
      <c r="I31" s="75"/>
      <c r="J31" s="76" t="str">
        <f t="shared" si="1"/>
        <v/>
      </c>
      <c r="K31" s="57"/>
      <c r="L31" s="159" t="str">
        <f t="shared" si="2"/>
        <v>_21</v>
      </c>
    </row>
    <row r="32" spans="1:12" s="26" customFormat="1" ht="27" customHeight="1" x14ac:dyDescent="0.25">
      <c r="A32" s="121" t="s">
        <v>78</v>
      </c>
      <c r="B32" s="42"/>
      <c r="C32" s="29" t="str">
        <f>IFERROR(INDEX('Modèle de liste de prix spécifi'!$A$3:$O$278,MATCH('Option A_Choix du modèle d''ECF'!$B32,'Modèle de liste de prix spécifi'!$E$3:$E$278,0),MATCH('Option A_Choix du modèle d''ECF'!C$2,'Modèle de liste de prix spécifi'!$A$3:$O$3,0)),"")</f>
        <v/>
      </c>
      <c r="D32" s="32" t="str">
        <f>IFERROR(INDEX('Modèle de liste de prix spécifi'!$A$3:$O$278,MATCH('Option A_Choix du modèle d''ECF'!$B32,'Modèle de liste de prix spécifi'!$E$3:$E$278,0),MATCH('Option A_Choix du modèle d''ECF'!D$2,'Modèle de liste de prix spécifi'!$A$3:$O$3,0)),"")</f>
        <v/>
      </c>
      <c r="E32" s="32" t="str">
        <f>IFERROR(INDEX('Modèle de liste de prix spécifi'!$A$3:$O$278,MATCH('Option A_Choix du modèle d''ECF'!$B32,'Modèle de liste de prix spécifi'!$E$3:$E$278,0),MATCH('Option A_Choix du modèle d''ECF'!E$2,'Modèle de liste de prix spécifi'!$A$3:$O$3,0)),"")</f>
        <v/>
      </c>
      <c r="F32" s="204" t="str">
        <f>IFERROR(INDEX('Modèle de liste de prix spécifi'!$A$3:$O$278,MATCH('Option A_Choix du modèle d''ECF'!$B32,'Modèle de liste de prix spécifi'!$E$3:$E$278,0),MATCH('Option A_Choix du modèle d''ECF'!F$2,'Modèle de liste de prix spécifi'!$A$3:$O$3,0)),"")</f>
        <v/>
      </c>
      <c r="G32" s="177"/>
      <c r="H32" s="118" t="str">
        <f>IFERROR(IF(OR(EXACT(A32,'Modèle de liste de prix spécifi'!$AB$14),EXACT(A32,'Modèle de liste de prix spécifi'!$AB$16),EXACT(A32,'Modèle de liste de prix spécifi'!$AB$17),EXACT(A32,'Modèle de liste de prix spécifi'!$AB$18),EXACT(A32,'Modèle de liste de prix spécifi'!$AB$19),EXACT(A32,'Modèle de liste de prix spécifi'!$AB$20),EXACT(A32,'Modèle de liste de prix spécifi'!$AB$21),EXACT(A32,'Modèle de liste de prix spécifi'!$AB$22),EXACT(A32,'Modèle de liste de prix spécifi'!$AB$23),EXACT(A32,'Modèle de liste de prix spécifi'!$AB$24),EXACT(A32,'Modèle de liste de prix spécifi'!$AB$25),EXACT(A32,'Modèle de liste de prix spécifi'!$AB$26),EXACT(A32,'Modèle de liste de prix spécifi'!$AB$27)),"N/A",G32+F32),"")</f>
        <v>N/A</v>
      </c>
      <c r="I32" s="75"/>
      <c r="J32" s="76" t="str">
        <f t="shared" si="1"/>
        <v/>
      </c>
      <c r="K32" s="57"/>
      <c r="L32" s="159" t="str">
        <f t="shared" si="2"/>
        <v>_22</v>
      </c>
    </row>
    <row r="33" spans="1:75" s="26" customFormat="1" ht="27" customHeight="1" x14ac:dyDescent="0.25">
      <c r="A33" s="121" t="s">
        <v>79</v>
      </c>
      <c r="B33" s="42"/>
      <c r="C33" s="29" t="str">
        <f>IFERROR(INDEX('Modèle de liste de prix spécifi'!$A$3:$O$278,MATCH('Option A_Choix du modèle d''ECF'!$B33,'Modèle de liste de prix spécifi'!$E$3:$E$278,0),MATCH('Option A_Choix du modèle d''ECF'!C$2,'Modèle de liste de prix spécifi'!$A$3:$O$3,0)),"")</f>
        <v/>
      </c>
      <c r="D33" s="32" t="str">
        <f>IFERROR(INDEX('Modèle de liste de prix spécifi'!$A$3:$O$278,MATCH('Option A_Choix du modèle d''ECF'!$B33,'Modèle de liste de prix spécifi'!$E$3:$E$278,0),MATCH('Option A_Choix du modèle d''ECF'!D$2,'Modèle de liste de prix spécifi'!$A$3:$O$3,0)),"")</f>
        <v/>
      </c>
      <c r="E33" s="32" t="str">
        <f>IFERROR(INDEX('Modèle de liste de prix spécifi'!$A$3:$O$278,MATCH('Option A_Choix du modèle d''ECF'!$B33,'Modèle de liste de prix spécifi'!$E$3:$E$278,0),MATCH('Option A_Choix du modèle d''ECF'!E$2,'Modèle de liste de prix spécifi'!$A$3:$O$3,0)),"")</f>
        <v/>
      </c>
      <c r="F33" s="204" t="str">
        <f>IFERROR(INDEX('Modèle de liste de prix spécifi'!$A$3:$O$278,MATCH('Option A_Choix du modèle d''ECF'!$B33,'Modèle de liste de prix spécifi'!$E$3:$E$278,0),MATCH('Option A_Choix du modèle d''ECF'!F$2,'Modèle de liste de prix spécifi'!$A$3:$O$3,0)),"")</f>
        <v/>
      </c>
      <c r="G33" s="177"/>
      <c r="H33" s="118" t="str">
        <f>IFERROR(IF(OR(EXACT(A33,'Modèle de liste de prix spécifi'!$AB$14),EXACT(A33,'Modèle de liste de prix spécifi'!$AB$16),EXACT(A33,'Modèle de liste de prix spécifi'!$AB$17),EXACT(A33,'Modèle de liste de prix spécifi'!$AB$18),EXACT(A33,'Modèle de liste de prix spécifi'!$AB$19),EXACT(A33,'Modèle de liste de prix spécifi'!$AB$20),EXACT(A33,'Modèle de liste de prix spécifi'!$AB$21),EXACT(A33,'Modèle de liste de prix spécifi'!$AB$22),EXACT(A33,'Modèle de liste de prix spécifi'!$AB$23),EXACT(A33,'Modèle de liste de prix spécifi'!$AB$24),EXACT(A33,'Modèle de liste de prix spécifi'!$AB$25),EXACT(A33,'Modèle de liste de prix spécifi'!$AB$26),EXACT(A33,'Modèle de liste de prix spécifi'!$AB$27)),"N/A",G33+F33),"")</f>
        <v>N/A</v>
      </c>
      <c r="I33" s="75"/>
      <c r="J33" s="76" t="str">
        <f t="shared" si="1"/>
        <v/>
      </c>
      <c r="K33" s="57"/>
      <c r="L33" s="159" t="str">
        <f t="shared" si="2"/>
        <v>_23</v>
      </c>
    </row>
    <row r="34" spans="1:75" s="26" customFormat="1" ht="27" customHeight="1" x14ac:dyDescent="0.25">
      <c r="A34" s="121" t="s">
        <v>439</v>
      </c>
      <c r="B34" s="42"/>
      <c r="C34" s="29" t="str">
        <f>IFERROR(INDEX('Modèle de liste de prix spécifi'!$A$3:$O$278,MATCH('Option A_Choix du modèle d''ECF'!$B34,'Modèle de liste de prix spécifi'!$E$3:$E$278,0),MATCH('Option A_Choix du modèle d''ECF'!C$2,'Modèle de liste de prix spécifi'!$A$3:$O$3,0)),"")</f>
        <v/>
      </c>
      <c r="D34" s="32" t="str">
        <f>IFERROR(INDEX('Modèle de liste de prix spécifi'!$A$3:$O$278,MATCH('Option A_Choix du modèle d''ECF'!$B34,'Modèle de liste de prix spécifi'!$E$3:$E$278,0),MATCH('Option A_Choix du modèle d''ECF'!D$2,'Modèle de liste de prix spécifi'!$A$3:$O$3,0)),"")</f>
        <v/>
      </c>
      <c r="E34" s="32" t="str">
        <f>IFERROR(INDEX('Modèle de liste de prix spécifi'!$A$3:$O$278,MATCH('Option A_Choix du modèle d''ECF'!$B34,'Modèle de liste de prix spécifi'!$E$3:$E$278,0),MATCH('Option A_Choix du modèle d''ECF'!E$2,'Modèle de liste de prix spécifi'!$A$3:$O$3,0)),"")</f>
        <v/>
      </c>
      <c r="F34" s="204" t="str">
        <f>IFERROR(INDEX('Modèle de liste de prix spécifi'!$A$3:$O$278,MATCH('Option A_Choix du modèle d''ECF'!$B34,'Modèle de liste de prix spécifi'!$E$3:$E$278,0),MATCH('Option A_Choix du modèle d''ECF'!F$2,'Modèle de liste de prix spécifi'!$A$3:$O$3,0)),"")</f>
        <v/>
      </c>
      <c r="G34" s="177"/>
      <c r="H34" s="201" t="str">
        <f>IFERROR(IF(OR(EXACT(A34,'Modèle de liste de prix spécifi'!$AB$14),EXACT(A34,'Modèle de liste de prix spécifi'!$AB$16),EXACT(A34,'Modèle de liste de prix spécifi'!$AB$17),EXACT(A34,'Modèle de liste de prix spécifi'!$AB$18),EXACT(A34,'Modèle de liste de prix spécifi'!$AB$19),EXACT(A34,'Modèle de liste de prix spécifi'!$AB$20),EXACT(A34,'Modèle de liste de prix spécifi'!$AB$21),EXACT(A34,'Modèle de liste de prix spécifi'!$AB$22),EXACT(A34,'Modèle de liste de prix spécifi'!$AB$23),EXACT(A34,'Modèle de liste de prix spécifi'!$AB$24),EXACT(A34,'Modèle de liste de prix spécifi'!$AB$25),EXACT(A34,'Modèle de liste de prix spécifi'!$AB$26),EXACT(A34,'Modèle de liste de prix spécifi'!$AB$27)),"N/A",G34+F34),"")</f>
        <v>N/A</v>
      </c>
      <c r="I34" s="75"/>
      <c r="J34" s="76"/>
      <c r="K34" s="57"/>
      <c r="L34" s="159" t="str">
        <f t="shared" si="2"/>
        <v>_24</v>
      </c>
    </row>
    <row r="35" spans="1:75" s="26" customFormat="1" ht="15" x14ac:dyDescent="0.25">
      <c r="A35" s="298" t="s">
        <v>80</v>
      </c>
      <c r="B35" s="299"/>
      <c r="C35" s="299"/>
      <c r="D35" s="299"/>
      <c r="E35" s="299"/>
      <c r="F35" s="299"/>
      <c r="G35" s="299"/>
      <c r="H35" s="299"/>
      <c r="I35" s="289">
        <f>SUM(J4:J34)-SUMIF(L4:L34,"_3.",J4:J34)-SUMIF(L4:L34,"_4.",J4:J34)</f>
        <v>0</v>
      </c>
      <c r="J35" s="290"/>
      <c r="K35" s="60"/>
      <c r="L35" s="57"/>
    </row>
    <row r="36" spans="1:75" ht="15" x14ac:dyDescent="0.25">
      <c r="D36"/>
      <c r="E36"/>
      <c r="F36"/>
      <c r="G36"/>
      <c r="H36"/>
      <c r="I36"/>
      <c r="J36"/>
      <c r="K36"/>
      <c r="L36"/>
    </row>
    <row r="37" spans="1:75" s="26" customFormat="1" ht="15" x14ac:dyDescent="0.25">
      <c r="A37" s="271" t="s">
        <v>441</v>
      </c>
      <c r="B37" s="272"/>
      <c r="C37" s="272"/>
      <c r="D37" s="272"/>
      <c r="E37" s="272"/>
      <c r="F37" s="272"/>
      <c r="G37" s="272"/>
      <c r="H37" s="273"/>
      <c r="I37" s="274">
        <v>1000</v>
      </c>
      <c r="J37" s="275"/>
      <c r="K37" s="60"/>
      <c r="L37" s="57"/>
    </row>
    <row r="38" spans="1:75" s="26" customFormat="1" ht="15" x14ac:dyDescent="0.25">
      <c r="A38" s="271" t="s">
        <v>442</v>
      </c>
      <c r="B38" s="272"/>
      <c r="C38" s="272"/>
      <c r="D38" s="272"/>
      <c r="E38" s="272"/>
      <c r="F38" s="272"/>
      <c r="G38" s="272"/>
      <c r="H38" s="273"/>
      <c r="I38" s="274">
        <v>150</v>
      </c>
      <c r="J38" s="275"/>
      <c r="K38" s="60"/>
      <c r="L38" s="57"/>
    </row>
    <row r="39" spans="1:75" s="26" customFormat="1" ht="15" x14ac:dyDescent="0.25">
      <c r="A39" s="271" t="s">
        <v>443</v>
      </c>
      <c r="B39" s="272"/>
      <c r="C39" s="272"/>
      <c r="D39" s="272"/>
      <c r="E39" s="272"/>
      <c r="F39" s="272"/>
      <c r="G39" s="272"/>
      <c r="H39" s="273"/>
      <c r="I39" s="274">
        <v>150</v>
      </c>
      <c r="J39" s="275"/>
      <c r="K39" s="60"/>
      <c r="L39" s="57"/>
    </row>
    <row r="40" spans="1:75" s="26" customFormat="1" ht="15" x14ac:dyDescent="0.25">
      <c r="A40" s="271" t="s">
        <v>444</v>
      </c>
      <c r="B40" s="272"/>
      <c r="C40" s="272"/>
      <c r="D40" s="272"/>
      <c r="E40" s="272"/>
      <c r="F40" s="272"/>
      <c r="G40" s="272"/>
      <c r="H40" s="273"/>
      <c r="I40" s="274">
        <v>150</v>
      </c>
      <c r="J40" s="275"/>
      <c r="K40" s="60"/>
      <c r="L40" s="57"/>
    </row>
    <row r="41" spans="1:75" s="26" customFormat="1" ht="15" x14ac:dyDescent="0.25">
      <c r="A41" s="271" t="s">
        <v>445</v>
      </c>
      <c r="B41" s="272"/>
      <c r="C41" s="272"/>
      <c r="D41" s="272"/>
      <c r="E41" s="272"/>
      <c r="F41" s="272"/>
      <c r="G41" s="272"/>
      <c r="H41" s="273"/>
      <c r="I41" s="274">
        <v>2</v>
      </c>
      <c r="J41" s="275"/>
      <c r="K41" s="60"/>
      <c r="L41" s="57"/>
    </row>
    <row r="42" spans="1:75" s="26" customFormat="1" ht="15" x14ac:dyDescent="0.25">
      <c r="A42" s="271" t="s">
        <v>446</v>
      </c>
      <c r="B42" s="272"/>
      <c r="C42" s="272"/>
      <c r="D42" s="272"/>
      <c r="E42" s="272"/>
      <c r="F42" s="272"/>
      <c r="G42" s="272"/>
      <c r="H42" s="273"/>
      <c r="I42" s="274">
        <v>10</v>
      </c>
      <c r="J42" s="275"/>
      <c r="K42" s="60"/>
      <c r="L42" s="57"/>
    </row>
    <row r="43" spans="1:75" s="26" customFormat="1" ht="15" x14ac:dyDescent="0.25">
      <c r="A43" s="271" t="s">
        <v>447</v>
      </c>
      <c r="B43" s="272"/>
      <c r="C43" s="272"/>
      <c r="D43" s="272"/>
      <c r="E43" s="272"/>
      <c r="F43" s="272"/>
      <c r="G43" s="272"/>
      <c r="H43" s="273"/>
      <c r="I43" s="274">
        <v>60</v>
      </c>
      <c r="J43" s="275"/>
      <c r="K43" s="60"/>
      <c r="L43" s="57"/>
    </row>
    <row r="44" spans="1:75" s="26" customFormat="1" ht="15" x14ac:dyDescent="0.25">
      <c r="A44" s="271" t="s">
        <v>448</v>
      </c>
      <c r="B44" s="272"/>
      <c r="C44" s="272"/>
      <c r="D44" s="272"/>
      <c r="E44" s="272"/>
      <c r="F44" s="272"/>
      <c r="G44" s="272"/>
      <c r="H44" s="273"/>
      <c r="I44" s="276">
        <v>0.1</v>
      </c>
      <c r="J44" s="277"/>
      <c r="K44" s="60"/>
      <c r="L44" s="57"/>
    </row>
    <row r="45" spans="1:75" ht="15" x14ac:dyDescent="0.25">
      <c r="A45" s="309" t="s">
        <v>81</v>
      </c>
      <c r="B45" s="310"/>
      <c r="C45" s="310"/>
      <c r="D45" s="310"/>
      <c r="E45" s="310"/>
      <c r="F45" s="310"/>
      <c r="G45" s="310"/>
      <c r="H45" s="311"/>
      <c r="I45" s="296">
        <f>(I37*SUM(I$4:I$6))+(I38*SUM($I$9:$I$19))+(I39*I20)+(I40*SUM($I$21:$I$22))+(I41*SUM($I$23:$I$24))+(I42*SUM($I$25:$I$26))+(I43*$I$27)+(I44*$I$28)</f>
        <v>0</v>
      </c>
      <c r="J45" s="297"/>
      <c r="K45" s="60"/>
      <c r="L45" s="60"/>
    </row>
    <row r="46" spans="1:75" s="37" customFormat="1" ht="15" x14ac:dyDescent="0.25">
      <c r="A46" s="60"/>
      <c r="B46" s="60"/>
      <c r="C46" s="60"/>
      <c r="D46" s="58"/>
      <c r="E46" s="58"/>
      <c r="F46" s="58"/>
      <c r="G46" s="58"/>
      <c r="H46" s="58"/>
      <c r="I46" s="58"/>
      <c r="J46" s="58"/>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row>
    <row r="47" spans="1:75" s="26" customFormat="1" ht="15" x14ac:dyDescent="0.25">
      <c r="A47" s="291" t="s">
        <v>82</v>
      </c>
      <c r="B47" s="292"/>
      <c r="C47" s="292"/>
      <c r="D47" s="292"/>
      <c r="E47" s="292"/>
      <c r="F47" s="292"/>
      <c r="G47" s="292"/>
      <c r="H47" s="292"/>
      <c r="I47" s="289">
        <f>I35*1.06+I45</f>
        <v>0</v>
      </c>
      <c r="J47" s="290"/>
      <c r="K47" s="60"/>
      <c r="L47" s="57"/>
    </row>
    <row r="48" spans="1:75" ht="15" x14ac:dyDescent="0.25">
      <c r="K48" s="60"/>
      <c r="L48" s="60"/>
    </row>
    <row r="49" spans="1:12" ht="15" x14ac:dyDescent="0.25">
      <c r="A49" s="283" t="s">
        <v>83</v>
      </c>
      <c r="B49" s="284"/>
      <c r="C49" s="284"/>
      <c r="D49" s="284"/>
      <c r="E49" s="284"/>
      <c r="F49" s="284"/>
      <c r="G49" s="284"/>
      <c r="H49" s="285"/>
      <c r="I49" s="307"/>
      <c r="J49" s="308"/>
      <c r="K49" s="60"/>
      <c r="L49" s="60"/>
    </row>
    <row r="50" spans="1:12" ht="15" x14ac:dyDescent="0.25">
      <c r="A50" s="286" t="s">
        <v>84</v>
      </c>
      <c r="B50" s="287"/>
      <c r="C50" s="287"/>
      <c r="D50" s="287"/>
      <c r="E50" s="287"/>
      <c r="F50" s="287"/>
      <c r="G50" s="287"/>
      <c r="H50" s="288"/>
      <c r="I50" s="296">
        <f>I35*I$49</f>
        <v>0</v>
      </c>
      <c r="J50" s="297"/>
      <c r="K50" s="60"/>
      <c r="L50" s="60"/>
    </row>
    <row r="51" spans="1:12" ht="15" x14ac:dyDescent="0.25">
      <c r="D51"/>
      <c r="E51"/>
      <c r="F51"/>
      <c r="G51"/>
      <c r="H51"/>
      <c r="I51"/>
      <c r="J51"/>
      <c r="K51"/>
      <c r="L51"/>
    </row>
    <row r="52" spans="1:12" ht="15" x14ac:dyDescent="0.25">
      <c r="A52" s="302" t="s">
        <v>85</v>
      </c>
      <c r="B52" s="303"/>
      <c r="C52" s="303"/>
      <c r="D52" s="303"/>
      <c r="E52" s="303"/>
      <c r="F52" s="303"/>
      <c r="G52" s="303"/>
      <c r="H52" s="303"/>
      <c r="I52" s="305">
        <f>SUMIF(L4:L34,"_3.",J4:J34)+SUMIF(L4:L34,"_4.",J4:J34)</f>
        <v>0</v>
      </c>
      <c r="J52" s="306"/>
      <c r="K52" s="202"/>
      <c r="L52"/>
    </row>
    <row r="53" spans="1:12" ht="15" x14ac:dyDescent="0.25">
      <c r="A53" s="304" t="s">
        <v>86</v>
      </c>
      <c r="B53" s="304"/>
      <c r="C53" s="304"/>
      <c r="D53" s="304"/>
      <c r="E53" s="304"/>
      <c r="F53" s="304"/>
      <c r="G53" s="304"/>
      <c r="H53" s="304"/>
      <c r="I53" s="307"/>
      <c r="J53" s="308"/>
      <c r="K53" s="202"/>
      <c r="L53"/>
    </row>
    <row r="54" spans="1:12" ht="15" x14ac:dyDescent="0.25">
      <c r="A54" s="293" t="s">
        <v>87</v>
      </c>
      <c r="B54" s="294"/>
      <c r="C54" s="294"/>
      <c r="D54" s="294"/>
      <c r="E54" s="294"/>
      <c r="F54" s="294"/>
      <c r="G54" s="294"/>
      <c r="H54" s="295"/>
      <c r="I54" s="296">
        <f>I52*I53</f>
        <v>0</v>
      </c>
      <c r="J54" s="297"/>
      <c r="K54" s="202"/>
      <c r="L54"/>
    </row>
    <row r="55" spans="1:12" ht="15.75" thickBot="1" x14ac:dyDescent="0.3">
      <c r="D55"/>
      <c r="E55"/>
      <c r="F55"/>
      <c r="G55"/>
      <c r="H55"/>
      <c r="I55"/>
      <c r="J55"/>
      <c r="K55"/>
      <c r="L55"/>
    </row>
    <row r="56" spans="1:12" ht="15.75" thickBot="1" x14ac:dyDescent="0.3">
      <c r="A56" s="278" t="s">
        <v>88</v>
      </c>
      <c r="B56" s="279"/>
      <c r="C56" s="279"/>
      <c r="D56" s="279"/>
      <c r="E56" s="279"/>
      <c r="F56" s="279"/>
      <c r="G56" s="279"/>
      <c r="H56" s="280"/>
      <c r="I56" s="281">
        <f>I47+I50+I52+I54</f>
        <v>0</v>
      </c>
      <c r="J56" s="282"/>
      <c r="K56" s="60"/>
      <c r="L56" s="60"/>
    </row>
  </sheetData>
  <sheetProtection algorithmName="SHA-512" hashValue="aF19/jAqg4f0DDpnihqHJ/H7a2u9WPEXheeC/duZEet7POvsMWm9qAOx8WAHt4g9ryeWHGSP3ptbxJ3EOEbDwA==" saltValue="RMGix4SkVb5vubk93aQdAw==" spinCount="100000" sheet="1" sort="0" autoFilter="0" pivotTables="0"/>
  <dataConsolidate link="1"/>
  <mergeCells count="35">
    <mergeCell ref="A35:H35"/>
    <mergeCell ref="I1:J1"/>
    <mergeCell ref="I35:J35"/>
    <mergeCell ref="A52:H52"/>
    <mergeCell ref="A53:H53"/>
    <mergeCell ref="I52:J52"/>
    <mergeCell ref="I53:J53"/>
    <mergeCell ref="I50:J50"/>
    <mergeCell ref="I49:J49"/>
    <mergeCell ref="I45:J45"/>
    <mergeCell ref="I37:J37"/>
    <mergeCell ref="A45:H45"/>
    <mergeCell ref="A37:H37"/>
    <mergeCell ref="A38:H38"/>
    <mergeCell ref="A39:H39"/>
    <mergeCell ref="A40:H40"/>
    <mergeCell ref="A56:H56"/>
    <mergeCell ref="I56:J56"/>
    <mergeCell ref="A49:H49"/>
    <mergeCell ref="A50:H50"/>
    <mergeCell ref="I47:J47"/>
    <mergeCell ref="A47:H47"/>
    <mergeCell ref="A54:H54"/>
    <mergeCell ref="I54:J54"/>
    <mergeCell ref="A41:H41"/>
    <mergeCell ref="A42:H42"/>
    <mergeCell ref="A43:H43"/>
    <mergeCell ref="A44:H44"/>
    <mergeCell ref="I38:J38"/>
    <mergeCell ref="I39:J39"/>
    <mergeCell ref="I40:J40"/>
    <mergeCell ref="I41:J41"/>
    <mergeCell ref="I42:J42"/>
    <mergeCell ref="I43:J43"/>
    <mergeCell ref="I44:J44"/>
  </mergeCells>
  <conditionalFormatting sqref="C4:F4 D5:D31 C5:C33 E5:E33 H4">
    <cfRule type="cellIs" dxfId="242" priority="4404" operator="equal">
      <formula>"N/A"</formula>
    </cfRule>
  </conditionalFormatting>
  <conditionalFormatting sqref="D32:D33 F5:F33">
    <cfRule type="cellIs" dxfId="241" priority="54" operator="equal">
      <formula>"N/A"</formula>
    </cfRule>
  </conditionalFormatting>
  <conditionalFormatting sqref="C34 E34">
    <cfRule type="cellIs" dxfId="240" priority="5" operator="equal">
      <formula>"N/A"</formula>
    </cfRule>
  </conditionalFormatting>
  <conditionalFormatting sqref="D34 F34">
    <cfRule type="cellIs" dxfId="239" priority="2" operator="equal">
      <formula>"N/A"</formula>
    </cfRule>
  </conditionalFormatting>
  <conditionalFormatting sqref="H5:H34">
    <cfRule type="cellIs" dxfId="238" priority="1" operator="equal">
      <formula>"N/A"</formula>
    </cfRule>
  </conditionalFormatting>
  <dataValidations xWindow="801" yWindow="354" count="3">
    <dataValidation type="list" allowBlank="1" showInputMessage="1" showErrorMessage="1" sqref="A4:A34" xr:uid="{00000000-0002-0000-0200-000000000000}">
      <formula1>typeofequipment</formula1>
    </dataValidation>
    <dataValidation type="list" allowBlank="1" showInputMessage="1" showErrorMessage="1" sqref="B4:B34" xr:uid="{00000000-0002-0000-0200-000001000000}">
      <formula1>INDIRECT(SUBSTITUTE(A4," ",""))</formula1>
    </dataValidation>
    <dataValidation type="whole" allowBlank="1" showInputMessage="1" showErrorMessage="1" error="Amount to be inserted for service bundle should be between:_x000a_$11,000-$38,000 for WICR/WIFR_x000a_$650-$2150 for Off-Grid CCE with ground mounted panels_x000a_$1300- $4000 for Off-Grid CCE with pole mounted panels_x000a_$200-$400 for RTMDs" prompt="Amount to be inserted for service bundle should be between:_x000a_$11,000-$38,000 for WICR/WIFR_x000a_$650-$2150 (ground mount) and $1300- $4000 (pole mount) for Off-Grid CCE _x000a_$200-$400 for RTMDs_x000a_$400-$1,350 for on-grid devices" sqref="G4:G34" xr:uid="{3FF8A12C-FBE2-423B-801E-7718F512049F}">
      <formula1>200</formula1>
      <formula2>38000</formula2>
    </dataValidation>
  </dataValidations>
  <pageMargins left="0.7" right="0.7" top="0.75" bottom="0.75" header="0.3" footer="0.3"/>
  <pageSetup scale="36" fitToHeight="0" orientation="landscape" r:id="rId1"/>
  <ignoredErrors>
    <ignoredError sqref="L4:L33" unlockedFormula="1"/>
  </ignoredErrors>
  <extLst>
    <ext xmlns:x14="http://schemas.microsoft.com/office/spreadsheetml/2009/9/main" uri="{78C0D931-6437-407d-A8EE-F0AAD7539E65}">
      <x14:conditionalFormattings>
        <x14:conditionalFormatting xmlns:xm="http://schemas.microsoft.com/office/excel/2006/main">
          <x14:cfRule type="expression" priority="4965" id="{64FB30DF-D54E-4674-8940-C14668C4771C}">
            <xm:f>OR(A1='Specified CCE Model Price List'!#REF!,A1='Specified CCE Model Price List'!#REF!,A1='Specified CCE Model Price List'!#REF!,A1='Specified CCE Model Price List'!#REF!,A1='Specified CCE Model Price List'!#REF!)</xm:f>
            <x14:dxf>
              <font>
                <color theme="1"/>
              </font>
              <fill>
                <patternFill>
                  <bgColor theme="1" tint="0.499984740745262"/>
                </patternFill>
              </fill>
            </x14:dxf>
          </x14:cfRule>
          <xm:sqref>G1:G3</xm:sqref>
        </x14:conditionalFormatting>
        <x14:conditionalFormatting xmlns:xm="http://schemas.microsoft.com/office/excel/2006/main">
          <x14:cfRule type="cellIs" priority="5006" operator="equal" id="{40194035-514E-4E3C-B941-8BFE8D23ABFB}">
            <xm:f>'Specified CCE Model Price List'!#REF!</xm:f>
            <x14:dxf>
              <fill>
                <patternFill>
                  <bgColor rgb="FFFFFF00"/>
                </patternFill>
              </fill>
            </x14:dxf>
          </x14:cfRule>
          <x14:cfRule type="cellIs" priority="5007" operator="equal" id="{C984F952-6052-460F-A962-25FA7431B731}">
            <xm:f>'Specified CCE Model Price List'!#REF!</xm:f>
            <x14:dxf>
              <font>
                <color theme="0"/>
              </font>
              <fill>
                <patternFill>
                  <bgColor rgb="FF7030A0"/>
                </patternFill>
              </fill>
            </x14:dxf>
          </x14:cfRule>
          <x14:cfRule type="cellIs" priority="5008" operator="equal" id="{1097636C-14FF-4A64-BC6D-E33F69937A5E}">
            <xm:f>'Specified CCE Model Price List'!#REF!</xm:f>
            <x14:dxf>
              <font>
                <color theme="0"/>
              </font>
              <fill>
                <patternFill>
                  <bgColor theme="9" tint="-0.24994659260841701"/>
                </patternFill>
              </fill>
            </x14:dxf>
          </x14:cfRule>
          <x14:cfRule type="cellIs" priority="5009" operator="equal" id="{3B251711-67FD-4396-BDE4-8855BA9501B4}">
            <xm:f>'Specified CCE Model Price List'!#REF!</xm:f>
            <x14:dxf>
              <font>
                <color theme="0"/>
              </font>
              <fill>
                <patternFill>
                  <bgColor theme="4" tint="-0.24994659260841701"/>
                </patternFill>
              </fill>
            </x14:dxf>
          </x14:cfRule>
          <x14:cfRule type="cellIs" priority="5010" operator="equal" id="{11D180B7-F0EE-4FB2-ABBB-174D38E8A405}">
            <xm:f>'Specified CCE Model Price List'!#REF!</xm:f>
            <x14:dxf>
              <fill>
                <patternFill>
                  <bgColor rgb="FFFF99FF"/>
                </patternFill>
              </fill>
            </x14:dxf>
          </x14:cfRule>
          <x14:cfRule type="cellIs" priority="5011" operator="equal" id="{35DB5A15-6D21-4505-982F-E659F9C30492}">
            <xm:f>'Specified CCE Model Price List'!#REF!</xm:f>
            <x14:dxf>
              <font>
                <color theme="0"/>
              </font>
              <fill>
                <patternFill>
                  <bgColor rgb="FF9900CC"/>
                </patternFill>
              </fill>
            </x14:dxf>
          </x14:cfRule>
          <x14:cfRule type="cellIs" priority="5012" operator="equal" id="{46360C6E-4039-4EC1-ABF9-BCB5740E08AF}">
            <xm:f>'Specified CCE Model Price List'!#REF!</xm:f>
            <x14:dxf>
              <fill>
                <patternFill>
                  <bgColor rgb="FFFFC000"/>
                </patternFill>
              </fill>
            </x14:dxf>
          </x14:cfRule>
          <x14:cfRule type="cellIs" priority="5013" operator="equal" id="{60318092-4BA8-4431-A1B7-C7ECAFF6DA93}">
            <xm:f>'Specified CCE Model Price List'!#REF!</xm:f>
            <x14:dxf>
              <font>
                <color theme="1"/>
              </font>
              <fill>
                <patternFill>
                  <bgColor rgb="FFCCCCFF"/>
                </patternFill>
              </fill>
            </x14:dxf>
          </x14:cfRule>
          <x14:cfRule type="cellIs" priority="5014" operator="equal" id="{FDF44A30-81EB-4AD5-AD4C-39806864FFFB}">
            <xm:f>'Specified CCE Model Price List'!#REF!</xm:f>
            <x14:dxf>
              <font>
                <color theme="1"/>
              </font>
              <fill>
                <patternFill>
                  <bgColor rgb="FFCCCCFF"/>
                </patternFill>
              </fill>
            </x14:dxf>
          </x14:cfRule>
          <x14:cfRule type="cellIs" priority="5015" operator="equal" id="{851A3D18-CF7E-457F-A38D-E70423411E30}">
            <xm:f>'Specified CCE Model Price List'!#REF!</xm:f>
            <x14:dxf>
              <font>
                <color theme="1"/>
              </font>
              <fill>
                <patternFill>
                  <bgColor theme="5" tint="0.59996337778862885"/>
                </patternFill>
              </fill>
            </x14:dxf>
          </x14:cfRule>
          <x14:cfRule type="cellIs" priority="5016" operator="equal" id="{5CB73EB2-288D-4109-A54C-C3045933A240}">
            <xm:f>'Specified CCE Model Price List'!#REF!</xm:f>
            <x14:dxf>
              <font>
                <color theme="1"/>
              </font>
              <fill>
                <patternFill>
                  <bgColor theme="5" tint="0.79998168889431442"/>
                </patternFill>
              </fill>
            </x14:dxf>
          </x14:cfRule>
          <x14:cfRule type="cellIs" priority="5017" operator="equal" id="{06C29BEF-F69C-47AB-80AB-95255E887FFE}">
            <xm:f>'Specified CCE Model Price List'!#REF!</xm:f>
            <x14:dxf>
              <font>
                <color theme="1"/>
              </font>
              <fill>
                <patternFill>
                  <bgColor theme="9" tint="0.59996337778862885"/>
                </patternFill>
              </fill>
            </x14:dxf>
          </x14:cfRule>
          <x14:cfRule type="cellIs" priority="5018" operator="equal" id="{5808F185-541C-4F2C-9E92-1E802444F315}">
            <xm:f>'Specified CCE Model Price List'!#REF!</xm:f>
            <x14:dxf>
              <font>
                <color theme="1"/>
              </font>
              <fill>
                <patternFill>
                  <bgColor theme="9" tint="0.79998168889431442"/>
                </patternFill>
              </fill>
            </x14:dxf>
          </x14:cfRule>
          <x14:cfRule type="cellIs" priority="5019" operator="equal" id="{CCF79960-71DD-4DD7-9A80-E0A5545C08BA}">
            <xm:f>'Specified CCE Model Price List'!#REF!</xm:f>
            <x14:dxf>
              <font>
                <color theme="0"/>
              </font>
              <fill>
                <patternFill>
                  <bgColor theme="1" tint="0.24994659260841701"/>
                </patternFill>
              </fill>
            </x14:dxf>
          </x14:cfRule>
          <x14:cfRule type="cellIs" priority="5020" operator="equal" id="{E4A658CF-4F53-4B8B-B416-CD6ADB26C830}">
            <xm:f>'Specified CCE Model Price List'!#REF!</xm:f>
            <x14:dxf>
              <font>
                <color theme="0"/>
              </font>
              <fill>
                <patternFill>
                  <bgColor theme="0" tint="-0.499984740745262"/>
                </patternFill>
              </fill>
            </x14:dxf>
          </x14:cfRule>
          <x14:cfRule type="cellIs" priority="5021" operator="equal" id="{DBA9E264-5FAA-442B-AFBA-10D0B7F5919E}">
            <xm:f>'Specified CCE Model Price List'!#REF!</xm:f>
            <x14:dxf>
              <font>
                <color theme="1"/>
              </font>
              <fill>
                <patternFill>
                  <bgColor theme="0" tint="-0.14996795556505021"/>
                </patternFill>
              </fill>
            </x14:dxf>
          </x14:cfRule>
          <x14:cfRule type="cellIs" priority="5022" operator="equal" id="{D8F097F0-EE41-4A87-8600-10F5FDCF1CBD}">
            <xm:f>'Specified CCE Model Price List'!#REF!</xm:f>
            <x14:dxf>
              <font>
                <color theme="1"/>
              </font>
              <fill>
                <patternFill>
                  <bgColor theme="7" tint="0.79998168889431442"/>
                </patternFill>
              </fill>
            </x14:dxf>
          </x14:cfRule>
          <x14:cfRule type="cellIs" priority="5023" operator="equal" id="{8B563C4E-C448-4289-81D5-69ECCC131A8C}">
            <xm:f>'Specified CCE Model Price List'!#REF!</xm:f>
            <x14:dxf>
              <font>
                <color theme="0"/>
              </font>
              <fill>
                <patternFill>
                  <bgColor theme="4" tint="-0.24994659260841701"/>
                </patternFill>
              </fill>
            </x14:dxf>
          </x14:cfRule>
          <x14:cfRule type="cellIs" priority="5024" operator="equal" id="{995B5785-ED94-47EB-96A1-56CE764E5BBB}">
            <xm:f>'Specified CCE Model Price List'!#REF!</xm:f>
            <x14:dxf>
              <font>
                <color theme="1"/>
              </font>
              <fill>
                <patternFill>
                  <bgColor theme="4" tint="0.39994506668294322"/>
                </patternFill>
              </fill>
            </x14:dxf>
          </x14:cfRule>
          <x14:cfRule type="cellIs" priority="5025" operator="equal" id="{68B258F2-830E-47A5-8FFC-0343B1DFF23A}">
            <xm:f>'Specified CCE Model Price List'!#REF!</xm:f>
            <x14:dxf>
              <font>
                <color theme="1"/>
              </font>
              <fill>
                <patternFill>
                  <bgColor theme="4" tint="0.79998168889431442"/>
                </patternFill>
              </fill>
            </x14:dxf>
          </x14:cfRule>
          <xm:sqref>A3</xm:sqref>
        </x14:conditionalFormatting>
        <x14:conditionalFormatting xmlns:xm="http://schemas.microsoft.com/office/excel/2006/main">
          <x14:cfRule type="cellIs" priority="3" operator="equal" id="{BEB2444D-F738-4493-AB7A-45CDE0DF929B}">
            <xm:f>'Specified CCE Model Price List'!#REF!</xm:f>
            <x14:dxf>
              <fill>
                <patternFill>
                  <bgColor theme="5" tint="0.79998168889431442"/>
                </patternFill>
              </fill>
            </x14:dxf>
          </x14:cfRule>
          <x14:cfRule type="cellIs" priority="4" operator="equal" id="{563C25FB-ED4E-49D1-9C9E-9C9DC6BA0D3E}">
            <xm:f>'Specified CCE Model Price List'!#REF!</xm:f>
            <x14:dxf>
              <fill>
                <patternFill>
                  <bgColor theme="4" tint="0.79998168889431442"/>
                </patternFill>
              </fill>
            </x14:dxf>
          </x14:cfRule>
          <x14:cfRule type="cellIs" priority="6" operator="equal" id="{6EEE1798-731F-42A8-A61C-29023EB01D1B}">
            <xm:f>'Specified CCE Model Price List'!#REF!</xm:f>
            <x14:dxf>
              <fill>
                <patternFill>
                  <bgColor theme="3" tint="0.59996337778862885"/>
                </patternFill>
              </fill>
            </x14:dxf>
          </x14:cfRule>
          <x14:cfRule type="cellIs" priority="7" operator="equal" id="{468EDA45-BEB2-418F-863F-393E6F6714B1}">
            <xm:f>'Specified CCE Model Price List'!#REF!</xm:f>
            <x14:dxf>
              <font>
                <color theme="0"/>
              </font>
              <fill>
                <patternFill>
                  <bgColor theme="5" tint="-0.24994659260841701"/>
                </patternFill>
              </fill>
            </x14:dxf>
          </x14:cfRule>
          <xm:sqref>A34</xm:sqref>
        </x14:conditionalFormatting>
        <x14:conditionalFormatting xmlns:xm="http://schemas.microsoft.com/office/excel/2006/main">
          <x14:cfRule type="cellIs" priority="8" operator="equal" id="{2603B3D8-3D35-475E-B499-4F30DA0A4E1C}">
            <xm:f>'Specified CCE Model Price List'!#REF!</xm:f>
            <x14:dxf>
              <font>
                <color theme="1"/>
              </font>
              <fill>
                <patternFill>
                  <bgColor theme="7" tint="0.79998168889431442"/>
                </patternFill>
              </fill>
            </x14:dxf>
          </x14:cfRule>
          <x14:cfRule type="cellIs" priority="9" operator="equal" id="{D22F2EA6-1D95-4D4A-8F42-CED7582823DE}">
            <xm:f>'Specified CCE Model Price List'!#REF!</xm:f>
            <x14:dxf>
              <font>
                <color theme="1"/>
              </font>
              <fill>
                <patternFill>
                  <bgColor rgb="FFCCCCFF"/>
                </patternFill>
              </fill>
            </x14:dxf>
          </x14:cfRule>
          <x14:cfRule type="cellIs" priority="10" operator="equal" id="{6F31C4CD-4ADC-4674-86B7-20F45EF8FDCC}">
            <xm:f>'Specified CCE Model Price List'!#REF!</xm:f>
            <x14:dxf>
              <fill>
                <patternFill>
                  <bgColor rgb="FFFFC000"/>
                </patternFill>
              </fill>
            </x14:dxf>
          </x14:cfRule>
          <x14:cfRule type="cellIs" priority="11" operator="equal" id="{4D438DC1-0055-4BA7-91C8-6C4F33EB1B76}">
            <xm:f>'Specified CCE Model Price List'!#REF!</xm:f>
            <x14:dxf>
              <fill>
                <patternFill>
                  <bgColor rgb="FFFFFF00"/>
                </patternFill>
              </fill>
            </x14:dxf>
          </x14:cfRule>
          <x14:cfRule type="cellIs" priority="12" operator="equal" id="{D8B7D465-6EDF-4CDD-89FF-AE179ACAF0CF}">
            <xm:f>'Specified CCE Model Price List'!#REF!</xm:f>
            <x14:dxf>
              <font>
                <color theme="0"/>
              </font>
              <fill>
                <patternFill>
                  <bgColor rgb="FF9900CC"/>
                </patternFill>
              </fill>
            </x14:dxf>
          </x14:cfRule>
          <x14:cfRule type="cellIs" priority="13" operator="equal" id="{BFB1CC5D-737E-4EB7-BFA4-C227997F076F}">
            <xm:f>'Specified CCE Model Price List'!#REF!</xm:f>
            <x14:dxf>
              <fill>
                <patternFill>
                  <bgColor rgb="FFFF99FF"/>
                </patternFill>
              </fill>
            </x14:dxf>
          </x14:cfRule>
          <x14:cfRule type="cellIs" priority="14" operator="equal" id="{F5278C8F-7C41-4EA2-A689-EC5B542E6818}">
            <xm:f>'Specified CCE Model Price List'!#REF!</xm:f>
            <x14:dxf>
              <font>
                <color theme="0"/>
              </font>
              <fill>
                <patternFill>
                  <bgColor theme="4" tint="-0.24994659260841701"/>
                </patternFill>
              </fill>
            </x14:dxf>
          </x14:cfRule>
          <x14:cfRule type="cellIs" priority="15" operator="equal" id="{C066A284-B52D-4ED0-95B1-2A30C5308BE4}">
            <xm:f>'Specified CCE Model Price List'!#REF!</xm:f>
            <x14:dxf>
              <font>
                <color theme="0"/>
              </font>
              <fill>
                <patternFill>
                  <bgColor theme="9" tint="-0.24994659260841701"/>
                </patternFill>
              </fill>
            </x14:dxf>
          </x14:cfRule>
          <x14:cfRule type="cellIs" priority="16" operator="equal" id="{D6D60F1E-05AE-43ED-9EC1-69ED20F38351}">
            <xm:f>'Specified CCE Model Price List'!#REF!</xm:f>
            <x14:dxf>
              <font>
                <color theme="0"/>
              </font>
              <fill>
                <patternFill>
                  <bgColor rgb="FF7030A0"/>
                </patternFill>
              </fill>
            </x14:dxf>
          </x14:cfRule>
          <x14:cfRule type="cellIs" priority="17" operator="equal" id="{B00EB6D0-525C-4F7F-96F0-EA36894EE637}">
            <xm:f>'Specified CCE Model Price List'!#REF!</xm:f>
            <x14:dxf>
              <font>
                <color theme="1"/>
              </font>
              <fill>
                <patternFill>
                  <bgColor theme="4" tint="0.79998168889431442"/>
                </patternFill>
              </fill>
            </x14:dxf>
          </x14:cfRule>
          <x14:cfRule type="cellIs" priority="18" operator="equal" id="{B0B1DD1F-B06B-41D4-AB08-E43C197C56CE}">
            <xm:f>'Specified CCE Model Price List'!#REF!</xm:f>
            <x14:dxf>
              <font>
                <color theme="1"/>
              </font>
              <fill>
                <patternFill>
                  <bgColor theme="4" tint="0.39994506668294322"/>
                </patternFill>
              </fill>
            </x14:dxf>
          </x14:cfRule>
          <x14:cfRule type="cellIs" priority="19" operator="equal" id="{E7B6429A-6108-411B-B81C-2D654DBEFC42}">
            <xm:f>'Specified CCE Model Price List'!#REF!</xm:f>
            <x14:dxf>
              <font>
                <color theme="0"/>
              </font>
              <fill>
                <patternFill>
                  <bgColor theme="4" tint="-0.24994659260841701"/>
                </patternFill>
              </fill>
            </x14:dxf>
          </x14:cfRule>
          <x14:cfRule type="cellIs" priority="20" operator="equal" id="{C94C08EC-C92C-47ED-BBEB-F40F48D253FB}">
            <xm:f>'Specified CCE Model Price List'!#REF!</xm:f>
            <x14:dxf>
              <font>
                <color theme="1"/>
              </font>
              <fill>
                <patternFill>
                  <bgColor theme="0" tint="-0.14996795556505021"/>
                </patternFill>
              </fill>
            </x14:dxf>
          </x14:cfRule>
          <x14:cfRule type="cellIs" priority="21" operator="equal" id="{B80EDDBF-DBFE-4247-9ED3-40C932A553D8}">
            <xm:f>'Specified CCE Model Price List'!#REF!</xm:f>
            <x14:dxf>
              <font>
                <color theme="0"/>
              </font>
              <fill>
                <patternFill>
                  <bgColor theme="0" tint="-0.499984740745262"/>
                </patternFill>
              </fill>
            </x14:dxf>
          </x14:cfRule>
          <x14:cfRule type="cellIs" priority="22" operator="equal" id="{0598F3FD-6A5C-48EF-8E40-7A088D0C1130}">
            <xm:f>'Specified CCE Model Price List'!#REF!</xm:f>
            <x14:dxf>
              <font>
                <color theme="0"/>
              </font>
              <fill>
                <patternFill>
                  <bgColor theme="1" tint="0.24994659260841701"/>
                </patternFill>
              </fill>
            </x14:dxf>
          </x14:cfRule>
          <x14:cfRule type="cellIs" priority="23" operator="equal" id="{6A8D9501-63DC-4F3A-9421-8E72DB48DB63}">
            <xm:f>'Specified CCE Model Price List'!#REF!</xm:f>
            <x14:dxf>
              <font>
                <color theme="1"/>
              </font>
              <fill>
                <patternFill>
                  <bgColor theme="9" tint="0.79998168889431442"/>
                </patternFill>
              </fill>
            </x14:dxf>
          </x14:cfRule>
          <x14:cfRule type="cellIs" priority="24" operator="equal" id="{9BA47C8F-5A8A-4671-9C96-A6BC2819461E}">
            <xm:f>'Specified CCE Model Price List'!#REF!</xm:f>
            <x14:dxf>
              <font>
                <color theme="1"/>
              </font>
              <fill>
                <patternFill>
                  <bgColor theme="9" tint="0.59996337778862885"/>
                </patternFill>
              </fill>
            </x14:dxf>
          </x14:cfRule>
          <x14:cfRule type="cellIs" priority="25" operator="equal" id="{46FF7317-A7D3-4B26-AA56-8AD0B19024D0}">
            <xm:f>'Specified CCE Model Price List'!#REF!</xm:f>
            <x14:dxf>
              <font>
                <color theme="1"/>
              </font>
              <fill>
                <patternFill>
                  <bgColor theme="5" tint="0.79998168889431442"/>
                </patternFill>
              </fill>
            </x14:dxf>
          </x14:cfRule>
          <x14:cfRule type="cellIs" priority="26" operator="equal" id="{8D27A6D5-6611-46DE-8C53-6F179CFD6F1E}">
            <xm:f>'Specified CCE Model Price List'!#REF!</xm:f>
            <x14:dxf>
              <font>
                <color theme="1"/>
              </font>
              <fill>
                <patternFill>
                  <bgColor theme="5" tint="0.59996337778862885"/>
                </patternFill>
              </fill>
            </x14:dxf>
          </x14:cfRule>
          <x14:cfRule type="cellIs" priority="27" operator="equal" id="{F69293A5-F5BB-4017-80E1-33113CE6AE99}">
            <xm:f>'Specified CCE Model Price List'!#REF!</xm:f>
            <x14:dxf>
              <font>
                <color theme="1"/>
              </font>
              <fill>
                <patternFill>
                  <bgColor rgb="FF9999FF"/>
                </patternFill>
              </fill>
            </x14:dxf>
          </x14:cfRule>
          <xm:sqref>A34</xm:sqref>
        </x14:conditionalFormatting>
        <x14:conditionalFormatting xmlns:xm="http://schemas.microsoft.com/office/excel/2006/main">
          <x14:cfRule type="cellIs" priority="58" operator="equal" id="{B9AE6216-DBFA-49CC-B86D-2E66AC6E3595}">
            <xm:f>'Modèle de liste de prix spécifi'!$AB$4</xm:f>
            <x14:dxf>
              <fill>
                <patternFill>
                  <bgColor theme="5" tint="0.79998168889431442"/>
                </patternFill>
              </fill>
            </x14:dxf>
          </x14:cfRule>
          <x14:cfRule type="cellIs" priority="59" operator="equal" id="{FCF7458D-B3F9-4558-8505-C21EECFCB4EB}">
            <xm:f>'Modèle de liste de prix spécifi'!$AB$5</xm:f>
            <x14:dxf>
              <fill>
                <patternFill>
                  <bgColor theme="4" tint="0.79998168889431442"/>
                </patternFill>
              </fill>
            </x14:dxf>
          </x14:cfRule>
          <x14:cfRule type="cellIs" priority="4831" operator="equal" id="{4EEF8523-D4E7-42B9-A725-534C1223D9C1}">
            <xm:f>'Modèle de liste de prix spécifi'!$AB$6</xm:f>
            <x14:dxf>
              <fill>
                <patternFill>
                  <bgColor theme="3" tint="0.59996337778862885"/>
                </patternFill>
              </fill>
            </x14:dxf>
          </x14:cfRule>
          <x14:cfRule type="cellIs" priority="4832" operator="equal" id="{127238B4-83AC-4FCF-B10E-163E4BAF4DCE}">
            <xm:f>'Modèle de liste de prix spécifi'!$AB$7</xm:f>
            <x14:dxf>
              <font>
                <color theme="0"/>
              </font>
              <fill>
                <patternFill>
                  <bgColor theme="5" tint="-0.24994659260841701"/>
                </patternFill>
              </fill>
            </x14:dxf>
          </x14:cfRule>
          <xm:sqref>A4:A34</xm:sqref>
        </x14:conditionalFormatting>
        <x14:conditionalFormatting xmlns:xm="http://schemas.microsoft.com/office/excel/2006/main">
          <x14:cfRule type="cellIs" priority="4966" operator="equal" id="{257B89D0-AEBC-4F71-9C9E-9E7862516B65}">
            <xm:f>'Modèle de liste de prix spécifi'!$AB$8</xm:f>
            <x14:dxf>
              <font>
                <color theme="1"/>
              </font>
              <fill>
                <patternFill>
                  <bgColor theme="7" tint="0.79998168889431442"/>
                </patternFill>
              </fill>
            </x14:dxf>
          </x14:cfRule>
          <x14:cfRule type="cellIs" priority="4967" operator="equal" id="{69C4003F-FBDF-4CF9-BE24-C79D6DAF29AB}">
            <xm:f>'Modèle de liste de prix spécifi'!$AB$9</xm:f>
            <x14:dxf>
              <font>
                <color theme="1"/>
              </font>
              <fill>
                <patternFill>
                  <bgColor rgb="FFCCCCFF"/>
                </patternFill>
              </fill>
            </x14:dxf>
          </x14:cfRule>
          <x14:cfRule type="cellIs" priority="4968" operator="equal" id="{1F229263-C4AE-4F18-9095-A2E5DEA3B013}">
            <xm:f>'Modèle de liste de prix spécifi'!$AB$10</xm:f>
            <x14:dxf>
              <fill>
                <patternFill>
                  <bgColor rgb="FFFFC000"/>
                </patternFill>
              </fill>
            </x14:dxf>
          </x14:cfRule>
          <x14:cfRule type="cellIs" priority="4969" operator="equal" id="{C5DB5D69-21F4-4327-A249-5DD77AD74F26}">
            <xm:f>'Modèle de liste de prix spécifi'!$AB$11</xm:f>
            <x14:dxf>
              <fill>
                <patternFill>
                  <bgColor rgb="FFFFFF00"/>
                </patternFill>
              </fill>
            </x14:dxf>
          </x14:cfRule>
          <x14:cfRule type="cellIs" priority="4970" operator="equal" id="{94134F63-407D-4D37-A912-13875DF74DC5}">
            <xm:f>'Modèle de liste de prix spécifi'!$AB$12</xm:f>
            <x14:dxf>
              <font>
                <color theme="0"/>
              </font>
              <fill>
                <patternFill>
                  <bgColor rgb="FF9900CC"/>
                </patternFill>
              </fill>
            </x14:dxf>
          </x14:cfRule>
          <x14:cfRule type="cellIs" priority="4971" operator="equal" id="{93CA1653-47E9-48E1-B2BE-E3B77589F914}">
            <xm:f>'Modèle de liste de prix spécifi'!$AB$13</xm:f>
            <x14:dxf>
              <fill>
                <patternFill>
                  <bgColor rgb="FFFF99FF"/>
                </patternFill>
              </fill>
            </x14:dxf>
          </x14:cfRule>
          <x14:cfRule type="cellIs" priority="4972" operator="equal" id="{7F4985DA-B421-4BB4-80F1-9BA84FB1888B}">
            <xm:f>'Modèle de liste de prix spécifi'!$AB$14</xm:f>
            <x14:dxf>
              <font>
                <color theme="0"/>
              </font>
              <fill>
                <patternFill>
                  <bgColor theme="4" tint="-0.24994659260841701"/>
                </patternFill>
              </fill>
            </x14:dxf>
          </x14:cfRule>
          <x14:cfRule type="cellIs" priority="4973" operator="equal" id="{01EBF3AB-E8B2-4F7A-A91B-BB4F61ACCF17}">
            <xm:f>'Modèle de liste de prix spécifi'!$AB$15</xm:f>
            <x14:dxf>
              <font>
                <color theme="0"/>
              </font>
              <fill>
                <patternFill>
                  <bgColor theme="9" tint="-0.24994659260841701"/>
                </patternFill>
              </fill>
            </x14:dxf>
          </x14:cfRule>
          <x14:cfRule type="cellIs" priority="4974" operator="equal" id="{39C35428-4896-4B05-8034-FC87B8ABC419}">
            <xm:f>'Modèle de liste de prix spécifi'!$AB$16</xm:f>
            <x14:dxf>
              <font>
                <color theme="0"/>
              </font>
              <fill>
                <patternFill>
                  <bgColor rgb="FF7030A0"/>
                </patternFill>
              </fill>
            </x14:dxf>
          </x14:cfRule>
          <x14:cfRule type="cellIs" priority="4975" operator="equal" id="{74739F35-E4FE-4564-ACE6-A68AA5E6994A}">
            <xm:f>'Modèle de liste de prix spécifi'!$AB$17</xm:f>
            <x14:dxf>
              <font>
                <color theme="1"/>
              </font>
              <fill>
                <patternFill>
                  <bgColor theme="4" tint="0.79998168889431442"/>
                </patternFill>
              </fill>
            </x14:dxf>
          </x14:cfRule>
          <x14:cfRule type="cellIs" priority="4976" operator="equal" id="{8339774B-EE04-4EB6-A13C-B0EF550ABB73}">
            <xm:f>'Modèle de liste de prix spécifi'!$AB$18</xm:f>
            <x14:dxf>
              <font>
                <color theme="1"/>
              </font>
              <fill>
                <patternFill>
                  <bgColor theme="4" tint="0.39994506668294322"/>
                </patternFill>
              </fill>
            </x14:dxf>
          </x14:cfRule>
          <x14:cfRule type="cellIs" priority="4977" operator="equal" id="{BA7A8E6E-B0D4-455D-BC16-B47D0319730D}">
            <xm:f>'Modèle de liste de prix spécifi'!$AB$19</xm:f>
            <x14:dxf>
              <font>
                <color theme="0"/>
              </font>
              <fill>
                <patternFill>
                  <bgColor theme="4" tint="-0.24994659260841701"/>
                </patternFill>
              </fill>
            </x14:dxf>
          </x14:cfRule>
          <x14:cfRule type="cellIs" priority="4978" operator="equal" id="{2CB45DF5-12D0-45C4-9407-62C33C3C379F}">
            <xm:f>'Modèle de liste de prix spécifi'!$AB$20</xm:f>
            <x14:dxf>
              <font>
                <color theme="1"/>
              </font>
              <fill>
                <patternFill>
                  <bgColor theme="0" tint="-0.14996795556505021"/>
                </patternFill>
              </fill>
            </x14:dxf>
          </x14:cfRule>
          <x14:cfRule type="cellIs" priority="4979" operator="equal" id="{ED9FBFE6-D76A-4C34-9C56-3643F5AAE1CC}">
            <xm:f>'Modèle de liste de prix spécifi'!$AB$21</xm:f>
            <x14:dxf>
              <font>
                <color theme="0"/>
              </font>
              <fill>
                <patternFill>
                  <bgColor theme="0" tint="-0.499984740745262"/>
                </patternFill>
              </fill>
            </x14:dxf>
          </x14:cfRule>
          <x14:cfRule type="cellIs" priority="4980" operator="equal" id="{3FC71FF3-42D0-4218-80EB-B0E2E255BB7B}">
            <xm:f>'Modèle de liste de prix spécifi'!$AB$22</xm:f>
            <x14:dxf>
              <font>
                <color theme="0"/>
              </font>
              <fill>
                <patternFill>
                  <bgColor theme="1" tint="0.24994659260841701"/>
                </patternFill>
              </fill>
            </x14:dxf>
          </x14:cfRule>
          <x14:cfRule type="cellIs" priority="4981" operator="equal" id="{05ED4C63-9691-47AA-BEB4-6679809CFFA0}">
            <xm:f>'Modèle de liste de prix spécifi'!$AB$23</xm:f>
            <x14:dxf>
              <font>
                <color theme="1"/>
              </font>
              <fill>
                <patternFill>
                  <bgColor theme="9" tint="0.79998168889431442"/>
                </patternFill>
              </fill>
            </x14:dxf>
          </x14:cfRule>
          <x14:cfRule type="cellIs" priority="4982" operator="equal" id="{346C5FBF-4BBF-4B3C-A78D-9FCA0F4FD663}">
            <xm:f>'Modèle de liste de prix spécifi'!$AB$24</xm:f>
            <x14:dxf>
              <font>
                <color theme="1"/>
              </font>
              <fill>
                <patternFill>
                  <bgColor theme="9" tint="0.59996337778862885"/>
                </patternFill>
              </fill>
            </x14:dxf>
          </x14:cfRule>
          <x14:cfRule type="cellIs" priority="4983" operator="equal" id="{6869EEC4-039F-4D6B-A5E3-D183E3BE03B0}">
            <xm:f>'Modèle de liste de prix spécifi'!$AB$25</xm:f>
            <x14:dxf>
              <font>
                <color theme="1"/>
              </font>
              <fill>
                <patternFill>
                  <bgColor theme="5" tint="0.79998168889431442"/>
                </patternFill>
              </fill>
            </x14:dxf>
          </x14:cfRule>
          <x14:cfRule type="cellIs" priority="4984" operator="equal" id="{5D2DA700-A436-44BA-88A9-A3DD2DB82B10}">
            <xm:f>'Modèle de liste de prix spécifi'!$AB$27</xm:f>
            <x14:dxf>
              <font>
                <color theme="1"/>
              </font>
              <fill>
                <patternFill>
                  <bgColor theme="5" tint="0.59996337778862885"/>
                </patternFill>
              </fill>
            </x14:dxf>
          </x14:cfRule>
          <x14:cfRule type="cellIs" priority="4985" operator="equal" id="{C88F3786-D632-42F9-A62A-6393F8A9DDDD}">
            <xm:f>'Specified CCE Model Price List'!#REF!</xm:f>
            <x14:dxf>
              <font>
                <color theme="1"/>
              </font>
              <fill>
                <patternFill>
                  <bgColor rgb="FF9999FF"/>
                </patternFill>
              </fill>
            </x14:dxf>
          </x14:cfRule>
          <xm:sqref>A1:A2 A4:A34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249977111117893"/>
    <pageSetUpPr fitToPage="1"/>
  </sheetPr>
  <dimension ref="A1:BW56"/>
  <sheetViews>
    <sheetView showGridLines="0" topLeftCell="A34" zoomScaleNormal="100" zoomScaleSheetLayoutView="100" workbookViewId="0">
      <selection activeCell="A37" sqref="A37:J45"/>
    </sheetView>
  </sheetViews>
  <sheetFormatPr defaultColWidth="0" defaultRowHeight="27" customHeight="1" x14ac:dyDescent="0.25"/>
  <cols>
    <col min="1" max="1" width="30.42578125" customWidth="1"/>
    <col min="2" max="3" width="15.42578125" customWidth="1"/>
    <col min="4" max="4" width="15.42578125" style="33" customWidth="1"/>
    <col min="5" max="5" width="11.42578125" style="33" bestFit="1" customWidth="1"/>
    <col min="6" max="6" width="13.42578125" style="33" bestFit="1" customWidth="1"/>
    <col min="7" max="7" width="21.42578125" style="33" bestFit="1" customWidth="1"/>
    <col min="8" max="8" width="14.28515625" style="33" bestFit="1" customWidth="1"/>
    <col min="9" max="10" width="12.42578125" style="33" customWidth="1"/>
    <col min="11" max="12" width="9.140625" style="60" customWidth="1"/>
    <col min="13" max="75" width="0" hidden="1" customWidth="1"/>
    <col min="76" max="16384" width="9.140625" hidden="1"/>
  </cols>
  <sheetData>
    <row r="1" spans="1:12" s="70" customFormat="1" ht="16.5" customHeight="1" thickTop="1" thickBot="1" x14ac:dyDescent="0.3">
      <c r="A1" s="67"/>
      <c r="B1" s="68"/>
      <c r="C1" s="68"/>
      <c r="D1" s="68"/>
      <c r="E1" s="71"/>
      <c r="F1" s="71"/>
      <c r="G1" s="71"/>
      <c r="H1" s="71"/>
      <c r="I1" s="300" t="s">
        <v>48</v>
      </c>
      <c r="J1" s="301"/>
      <c r="K1" s="69"/>
      <c r="L1" s="69"/>
    </row>
    <row r="2" spans="1:12" s="6" customFormat="1" ht="60.75" customHeight="1" thickTop="1" x14ac:dyDescent="0.25">
      <c r="A2" s="7" t="s">
        <v>49</v>
      </c>
      <c r="B2" s="7" t="s">
        <v>50</v>
      </c>
      <c r="C2" s="7" t="s">
        <v>51</v>
      </c>
      <c r="D2" s="30" t="s">
        <v>52</v>
      </c>
      <c r="E2" s="77" t="s">
        <v>53</v>
      </c>
      <c r="F2" s="77" t="s">
        <v>54</v>
      </c>
      <c r="G2" s="77" t="s">
        <v>55</v>
      </c>
      <c r="H2" s="78" t="s">
        <v>56</v>
      </c>
      <c r="I2" s="79" t="s">
        <v>57</v>
      </c>
      <c r="J2" s="80" t="s">
        <v>58</v>
      </c>
      <c r="K2" s="55"/>
      <c r="L2" s="55"/>
    </row>
    <row r="3" spans="1:12" s="11" customFormat="1" ht="45" customHeight="1" x14ac:dyDescent="0.25">
      <c r="A3" s="9"/>
      <c r="B3" s="10" t="s">
        <v>59</v>
      </c>
      <c r="C3" s="9"/>
      <c r="D3" s="31"/>
      <c r="E3" s="31"/>
      <c r="F3" s="31"/>
      <c r="G3" s="81" t="s">
        <v>60</v>
      </c>
      <c r="H3" s="82"/>
      <c r="I3" s="83" t="s">
        <v>61</v>
      </c>
      <c r="J3" s="84"/>
      <c r="K3" s="56"/>
      <c r="L3" s="56"/>
    </row>
    <row r="4" spans="1:12" s="26" customFormat="1" ht="27" customHeight="1" x14ac:dyDescent="0.25">
      <c r="A4" s="41" t="s">
        <v>434</v>
      </c>
      <c r="B4" s="42"/>
      <c r="C4" s="29" t="str">
        <f>IFERROR(INDEX('Modèle de liste de prix spécifi'!$A$3:$O$278,MATCH('Option B_Choix du modèle d''ECF'!$B4,'Modèle de liste de prix spécifi'!$E$3:$E$278,0),MATCH('Option B_Choix du modèle d''ECF'!C$2,'Modèle de liste de prix spécifi'!$A$3:$O$3,0)),"")</f>
        <v/>
      </c>
      <c r="D4" s="32" t="str">
        <f>IFERROR(INDEX('Modèle de liste de prix spécifi'!$A$3:$O$278,MATCH('Option B_Choix du modèle d''ECF'!$B4,'Modèle de liste de prix spécifi'!$E$3:$E$278,0),MATCH('Option B_Choix du modèle d''ECF'!D$2,'Modèle de liste de prix spécifi'!$A$3:$O$3,0)),"")</f>
        <v/>
      </c>
      <c r="E4" s="32" t="str">
        <f>IFERROR(INDEX('Modèle de liste de prix spécifi'!$A$3:$O$278,MATCH('Option B_Choix du modèle d''ECF'!$B4,'Modèle de liste de prix spécifi'!$E$3:$E$278,0),MATCH('Option B_Choix du modèle d''ECF'!E$2,'Modèle de liste de prix spécifi'!$A$3:$O$3,0)),"")</f>
        <v/>
      </c>
      <c r="F4" s="129" t="str">
        <f>IFERROR(INDEX('Modèle de liste de prix spécifi'!$A$3:$O$278,MATCH('Option B_Choix du modèle d''ECF'!$B4,'Modèle de liste de prix spécifi'!$E$3:$E$278,0),MATCH('Option B_Choix du modèle d''ECF'!F$2,'Modèle de liste de prix spécifi'!$A$3:$O$3,0)),"")</f>
        <v/>
      </c>
      <c r="G4" s="54"/>
      <c r="H4" s="118" t="str">
        <f>IFERROR(IF(OR(EXACT(A4,'Modèle de liste de prix spécifi'!$AB$14),EXACT(A4,'Modèle de liste de prix spécifi'!$AB$16),EXACT(A4,'Modèle de liste de prix spécifi'!$AB$17),EXACT(A4,'Modèle de liste de prix spécifi'!$AB$18),EXACT(A4,'Modèle de liste de prix spécifi'!$AB$19),EXACT(A4,'Modèle de liste de prix spécifi'!$AB$20),EXACT(A4,'Modèle de liste de prix spécifi'!$AB$21),EXACT(A4,'Modèle de liste de prix spécifi'!$AB$22),EXACT(A4,'Modèle de liste de prix spécifi'!$AB$23),EXACT(A4,'Modèle de liste de prix spécifi'!$AB$24),EXACT(A4,'Modèle de liste de prix spécifi'!$AB$25),EXACT(A4,'Modèle de liste de prix spécifi'!$AB$26),EXACT(A4,'Modèle de liste de prix spécifi'!$AB$27)),"N/A",G4+F4),"")</f>
        <v/>
      </c>
      <c r="I4" s="75"/>
      <c r="J4" s="76" t="str">
        <f t="shared" ref="J4:J34" si="0">IFERROR(IF(H4="N/A",F4*I4,H4*I4),"")</f>
        <v/>
      </c>
      <c r="K4" s="57"/>
      <c r="L4" s="159" t="str">
        <f>LEFT(A4,3)</f>
        <v>_1.</v>
      </c>
    </row>
    <row r="5" spans="1:12" s="26" customFormat="1" ht="27" customHeight="1" x14ac:dyDescent="0.25">
      <c r="A5" s="41" t="s">
        <v>434</v>
      </c>
      <c r="B5" s="42"/>
      <c r="C5" s="29" t="str">
        <f>IFERROR(INDEX('Modèle de liste de prix spécifi'!$A$3:$O$278,MATCH('Option B_Choix du modèle d''ECF'!$B5,'Modèle de liste de prix spécifi'!$E$3:$E$278,0),MATCH('Option B_Choix du modèle d''ECF'!C$2,'Modèle de liste de prix spécifi'!$A$3:$O$3,0)),"")</f>
        <v/>
      </c>
      <c r="D5" s="32" t="str">
        <f>IFERROR(INDEX('Modèle de liste de prix spécifi'!$A$3:$O$278,MATCH('Option B_Choix du modèle d''ECF'!$B5,'Modèle de liste de prix spécifi'!$E$3:$E$278,0),MATCH('Option B_Choix du modèle d''ECF'!D$2,'Modèle de liste de prix spécifi'!$A$3:$O$3,0)),"")</f>
        <v/>
      </c>
      <c r="E5" s="32" t="str">
        <f>IFERROR(INDEX('Modèle de liste de prix spécifi'!$A$3:$O$278,MATCH('Option B_Choix du modèle d''ECF'!$B5,'Modèle de liste de prix spécifi'!$E$3:$E$278,0),MATCH('Option B_Choix du modèle d''ECF'!E$2,'Modèle de liste de prix spécifi'!$A$3:$O$3,0)),"")</f>
        <v/>
      </c>
      <c r="F5" s="129" t="str">
        <f>IFERROR(INDEX('Modèle de liste de prix spécifi'!$A$3:$O$278,MATCH('Option B_Choix du modèle d''ECF'!$B5,'Modèle de liste de prix spécifi'!$E$3:$E$278,0),MATCH('Option B_Choix du modèle d''ECF'!F$2,'Modèle de liste de prix spécifi'!$A$3:$O$3,0)),"")</f>
        <v/>
      </c>
      <c r="G5" s="54"/>
      <c r="H5" s="118" t="str">
        <f>IFERROR(IF(OR(EXACT(A5,'Modèle de liste de prix spécifi'!$AB$14),EXACT(A5,'Modèle de liste de prix spécifi'!$AB$16),EXACT(A5,'Modèle de liste de prix spécifi'!$AB$17),EXACT(A5,'Modèle de liste de prix spécifi'!$AB$18),EXACT(A5,'Modèle de liste de prix spécifi'!$AB$19),EXACT(A5,'Modèle de liste de prix spécifi'!$AB$20),EXACT(A5,'Modèle de liste de prix spécifi'!$AB$21),EXACT(A5,'Modèle de liste de prix spécifi'!$AB$22),EXACT(A5,'Modèle de liste de prix spécifi'!$AB$23),EXACT(A5,'Modèle de liste de prix spécifi'!$AB$24),EXACT(A5,'Modèle de liste de prix spécifi'!$AB$25),EXACT(A5,'Modèle de liste de prix spécifi'!$AB$26),EXACT(A5,'Modèle de liste de prix spécifi'!$AB$27)),"N/A",G5+F5),"")</f>
        <v/>
      </c>
      <c r="I5" s="75"/>
      <c r="J5" s="76" t="str">
        <f t="shared" si="0"/>
        <v/>
      </c>
      <c r="K5" s="57"/>
      <c r="L5" s="159" t="str">
        <f t="shared" ref="L5:L34" si="1">LEFT(A5,3)</f>
        <v>_1.</v>
      </c>
    </row>
    <row r="6" spans="1:12" s="26" customFormat="1" ht="27" customHeight="1" x14ac:dyDescent="0.25">
      <c r="A6" s="41" t="s">
        <v>435</v>
      </c>
      <c r="B6" s="42"/>
      <c r="C6" s="29" t="str">
        <f>IFERROR(INDEX('Modèle de liste de prix spécifi'!$A$3:$O$278,MATCH('Option B_Choix du modèle d''ECF'!$B6,'Modèle de liste de prix spécifi'!$E$3:$E$278,0),MATCH('Option B_Choix du modèle d''ECF'!C$2,'Modèle de liste de prix spécifi'!$A$3:$O$3,0)),"")</f>
        <v/>
      </c>
      <c r="D6" s="32" t="str">
        <f>IFERROR(INDEX('Modèle de liste de prix spécifi'!$A$3:$O$278,MATCH('Option B_Choix du modèle d''ECF'!$B6,'Modèle de liste de prix spécifi'!$E$3:$E$278,0),MATCH('Option B_Choix du modèle d''ECF'!D$2,'Modèle de liste de prix spécifi'!$A$3:$O$3,0)),"")</f>
        <v/>
      </c>
      <c r="E6" s="32" t="str">
        <f>IFERROR(INDEX('Modèle de liste de prix spécifi'!$A$3:$O$278,MATCH('Option B_Choix du modèle d''ECF'!$B6,'Modèle de liste de prix spécifi'!$E$3:$E$278,0),MATCH('Option B_Choix du modèle d''ECF'!E$2,'Modèle de liste de prix spécifi'!$A$3:$O$3,0)),"")</f>
        <v/>
      </c>
      <c r="F6" s="129" t="str">
        <f>IFERROR(INDEX('Modèle de liste de prix spécifi'!$A$3:$O$278,MATCH('Option B_Choix du modèle d''ECF'!$B6,'Modèle de liste de prix spécifi'!$E$3:$E$278,0),MATCH('Option B_Choix du modèle d''ECF'!F$2,'Modèle de liste de prix spécifi'!$A$3:$O$3,0)),"")</f>
        <v/>
      </c>
      <c r="G6" s="54"/>
      <c r="H6" s="118" t="str">
        <f>IFERROR(IF(OR(EXACT(A6,'Modèle de liste de prix spécifi'!$AB$14),EXACT(A6,'Modèle de liste de prix spécifi'!$AB$16),EXACT(A6,'Modèle de liste de prix spécifi'!$AB$17),EXACT(A6,'Modèle de liste de prix spécifi'!$AB$18),EXACT(A6,'Modèle de liste de prix spécifi'!$AB$19),EXACT(A6,'Modèle de liste de prix spécifi'!$AB$20),EXACT(A6,'Modèle de liste de prix spécifi'!$AB$21),EXACT(A6,'Modèle de liste de prix spécifi'!$AB$22),EXACT(A6,'Modèle de liste de prix spécifi'!$AB$23),EXACT(A6,'Modèle de liste de prix spécifi'!$AB$24),EXACT(A6,'Modèle de liste de prix spécifi'!$AB$25),EXACT(A6,'Modèle de liste de prix spécifi'!$AB$26),EXACT(A6,'Modèle de liste de prix spécifi'!$AB$27)),"N/A",G6+F6),"")</f>
        <v/>
      </c>
      <c r="I6" s="75"/>
      <c r="J6" s="76" t="str">
        <f t="shared" si="0"/>
        <v/>
      </c>
      <c r="K6" s="57"/>
      <c r="L6" s="159" t="str">
        <f t="shared" si="1"/>
        <v>_2.</v>
      </c>
    </row>
    <row r="7" spans="1:12" s="26" customFormat="1" ht="27" customHeight="1" x14ac:dyDescent="0.25">
      <c r="A7" s="41" t="s">
        <v>62</v>
      </c>
      <c r="B7" s="42"/>
      <c r="C7" s="29" t="str">
        <f>IFERROR(INDEX('Modèle de liste de prix spécifi'!$A$3:$O$278,MATCH('Option B_Choix du modèle d''ECF'!$B7,'Modèle de liste de prix spécifi'!$E$3:$E$278,0),MATCH('Option B_Choix du modèle d''ECF'!C$2,'Modèle de liste de prix spécifi'!$A$3:$O$3,0)),"")</f>
        <v/>
      </c>
      <c r="D7" s="32" t="str">
        <f>IFERROR(INDEX('Modèle de liste de prix spécifi'!$A$3:$O$278,MATCH('Option B_Choix du modèle d''ECF'!$B7,'Modèle de liste de prix spécifi'!$E$3:$E$278,0),MATCH('Option B_Choix du modèle d''ECF'!D$2,'Modèle de liste de prix spécifi'!$A$3:$O$3,0)),"")</f>
        <v/>
      </c>
      <c r="E7" s="32" t="str">
        <f>IFERROR(INDEX('Modèle de liste de prix spécifi'!$A$3:$O$278,MATCH('Option B_Choix du modèle d''ECF'!$B7,'Modèle de liste de prix spécifi'!$E$3:$E$278,0),MATCH('Option B_Choix du modèle d''ECF'!E$2,'Modèle de liste de prix spécifi'!$A$3:$O$3,0)),"")</f>
        <v/>
      </c>
      <c r="F7" s="129" t="str">
        <f>IFERROR(INDEX('Modèle de liste de prix spécifi'!$A$3:$O$278,MATCH('Option B_Choix du modèle d''ECF'!$B7,'Modèle de liste de prix spécifi'!$E$3:$E$278,0),MATCH('Option B_Choix du modèle d''ECF'!F$2,'Modèle de liste de prix spécifi'!$A$3:$O$3,0)),"")</f>
        <v/>
      </c>
      <c r="G7" s="54"/>
      <c r="H7" s="118" t="str">
        <f>IFERROR(IF(OR(EXACT(A7,'Modèle de liste de prix spécifi'!$AB$14),EXACT(A7,'Modèle de liste de prix spécifi'!$AB$16),EXACT(A7,'Modèle de liste de prix spécifi'!$AB$17),EXACT(A7,'Modèle de liste de prix spécifi'!$AB$18),EXACT(A7,'Modèle de liste de prix spécifi'!$AB$19),EXACT(A7,'Modèle de liste de prix spécifi'!$AB$20),EXACT(A7,'Modèle de liste de prix spécifi'!$AB$21),EXACT(A7,'Modèle de liste de prix spécifi'!$AB$22),EXACT(A7,'Modèle de liste de prix spécifi'!$AB$23),EXACT(A7,'Modèle de liste de prix spécifi'!$AB$24),EXACT(A7,'Modèle de liste de prix spécifi'!$AB$25),EXACT(A7,'Modèle de liste de prix spécifi'!$AB$26),EXACT(A7,'Modèle de liste de prix spécifi'!$AB$27)),"N/A",G7+F7),"")</f>
        <v/>
      </c>
      <c r="I7" s="75"/>
      <c r="J7" s="76" t="str">
        <f t="shared" si="0"/>
        <v/>
      </c>
      <c r="K7" s="57"/>
      <c r="L7" s="159" t="str">
        <f t="shared" si="1"/>
        <v>_3.</v>
      </c>
    </row>
    <row r="8" spans="1:12" s="26" customFormat="1" ht="27" customHeight="1" x14ac:dyDescent="0.25">
      <c r="A8" s="41" t="s">
        <v>63</v>
      </c>
      <c r="B8" s="42"/>
      <c r="C8" s="29" t="str">
        <f>IFERROR(INDEX('Modèle de liste de prix spécifi'!$A$3:$O$278,MATCH('Option B_Choix du modèle d''ECF'!$B8,'Modèle de liste de prix spécifi'!$E$3:$E$278,0),MATCH('Option B_Choix du modèle d''ECF'!C$2,'Modèle de liste de prix spécifi'!$A$3:$O$3,0)),"")</f>
        <v/>
      </c>
      <c r="D8" s="32" t="str">
        <f>IFERROR(INDEX('Modèle de liste de prix spécifi'!$A$3:$O$278,MATCH('Option B_Choix du modèle d''ECF'!$B8,'Modèle de liste de prix spécifi'!$E$3:$E$278,0),MATCH('Option B_Choix du modèle d''ECF'!D$2,'Modèle de liste de prix spécifi'!$A$3:$O$3,0)),"")</f>
        <v/>
      </c>
      <c r="E8" s="32" t="str">
        <f>IFERROR(INDEX('Modèle de liste de prix spécifi'!$A$3:$O$278,MATCH('Option B_Choix du modèle d''ECF'!$B8,'Modèle de liste de prix spécifi'!$E$3:$E$278,0),MATCH('Option B_Choix du modèle d''ECF'!E$2,'Modèle de liste de prix spécifi'!$A$3:$O$3,0)),"")</f>
        <v/>
      </c>
      <c r="F8" s="129" t="str">
        <f>IFERROR(INDEX('Modèle de liste de prix spécifi'!$A$3:$O$278,MATCH('Option B_Choix du modèle d''ECF'!$B8,'Modèle de liste de prix spécifi'!$E$3:$E$278,0),MATCH('Option B_Choix du modèle d''ECF'!F$2,'Modèle de liste de prix spécifi'!$A$3:$O$3,0)),"")</f>
        <v/>
      </c>
      <c r="G8" s="54"/>
      <c r="H8" s="118" t="str">
        <f>IFERROR(IF(OR(EXACT(A8,'Modèle de liste de prix spécifi'!$AB$14),EXACT(A8,'Modèle de liste de prix spécifi'!$AB$16),EXACT(A8,'Modèle de liste de prix spécifi'!$AB$17),EXACT(A8,'Modèle de liste de prix spécifi'!$AB$18),EXACT(A8,'Modèle de liste de prix spécifi'!$AB$19),EXACT(A8,'Modèle de liste de prix spécifi'!$AB$20),EXACT(A8,'Modèle de liste de prix spécifi'!$AB$21),EXACT(A8,'Modèle de liste de prix spécifi'!$AB$22),EXACT(A8,'Modèle de liste de prix spécifi'!$AB$23),EXACT(A8,'Modèle de liste de prix spécifi'!$AB$24),EXACT(A8,'Modèle de liste de prix spécifi'!$AB$25),EXACT(A8,'Modèle de liste de prix spécifi'!$AB$26),EXACT(A8,'Modèle de liste de prix spécifi'!$AB$27)),"N/A",G8+F8),"")</f>
        <v/>
      </c>
      <c r="I8" s="75"/>
      <c r="J8" s="76" t="str">
        <f t="shared" si="0"/>
        <v/>
      </c>
      <c r="K8" s="57"/>
      <c r="L8" s="159" t="str">
        <f t="shared" si="1"/>
        <v>_4.</v>
      </c>
    </row>
    <row r="9" spans="1:12" s="26" customFormat="1" ht="27" customHeight="1" x14ac:dyDescent="0.25">
      <c r="A9" s="43" t="s">
        <v>64</v>
      </c>
      <c r="B9" s="42"/>
      <c r="C9" s="29" t="str">
        <f>IFERROR(INDEX('Modèle de liste de prix spécifi'!$A$3:$O$278,MATCH('Option B_Choix du modèle d''ECF'!$B9,'Modèle de liste de prix spécifi'!$E$3:$E$278,0),MATCH('Option B_Choix du modèle d''ECF'!C$2,'Modèle de liste de prix spécifi'!$A$3:$O$3,0)),"")</f>
        <v/>
      </c>
      <c r="D9" s="32" t="str">
        <f>IFERROR(INDEX('Modèle de liste de prix spécifi'!$A$3:$O$278,MATCH('Option B_Choix du modèle d''ECF'!$B9,'Modèle de liste de prix spécifi'!$E$3:$E$278,0),MATCH('Option B_Choix du modèle d''ECF'!D$2,'Modèle de liste de prix spécifi'!$A$3:$O$3,0)),"")</f>
        <v/>
      </c>
      <c r="E9" s="32" t="str">
        <f>IFERROR(INDEX('Modèle de liste de prix spécifi'!$A$3:$O$278,MATCH('Option B_Choix du modèle d''ECF'!$B9,'Modèle de liste de prix spécifi'!$E$3:$E$278,0),MATCH('Option B_Choix du modèle d''ECF'!E$2,'Modèle de liste de prix spécifi'!$A$3:$O$3,0)),"")</f>
        <v/>
      </c>
      <c r="F9" s="129" t="str">
        <f>IFERROR(INDEX('Modèle de liste de prix spécifi'!$A$3:$O$278,MATCH('Option B_Choix du modèle d''ECF'!$B9,'Modèle de liste de prix spécifi'!$E$3:$E$278,0),MATCH('Option B_Choix du modèle d''ECF'!F$2,'Modèle de liste de prix spécifi'!$A$3:$O$3,0)),"")</f>
        <v/>
      </c>
      <c r="G9" s="54"/>
      <c r="H9" s="118" t="str">
        <f>IFERROR(IF(OR(EXACT(A9,'Modèle de liste de prix spécifi'!$AB$14),EXACT(A9,'Modèle de liste de prix spécifi'!$AB$16),EXACT(A9,'Modèle de liste de prix spécifi'!$AB$17),EXACT(A9,'Modèle de liste de prix spécifi'!$AB$18),EXACT(A9,'Modèle de liste de prix spécifi'!$AB$19),EXACT(A9,'Modèle de liste de prix spécifi'!$AB$20),EXACT(A9,'Modèle de liste de prix spécifi'!$AB$21),EXACT(A9,'Modèle de liste de prix spécifi'!$AB$22),EXACT(A9,'Modèle de liste de prix spécifi'!$AB$23),EXACT(A9,'Modèle de liste de prix spécifi'!$AB$24),EXACT(A9,'Modèle de liste de prix spécifi'!$AB$25),EXACT(A9,'Modèle de liste de prix spécifi'!$AB$26),EXACT(A9,'Modèle de liste de prix spécifi'!$AB$27)),"N/A",G9+F9),"")</f>
        <v/>
      </c>
      <c r="I9" s="75"/>
      <c r="J9" s="76" t="str">
        <f t="shared" si="0"/>
        <v/>
      </c>
      <c r="K9" s="57"/>
      <c r="L9" s="159" t="str">
        <f t="shared" si="1"/>
        <v>_5.</v>
      </c>
    </row>
    <row r="10" spans="1:12" s="26" customFormat="1" ht="27" customHeight="1" x14ac:dyDescent="0.25">
      <c r="A10" s="44" t="s">
        <v>65</v>
      </c>
      <c r="B10" s="42"/>
      <c r="C10" s="29" t="str">
        <f>IFERROR(INDEX('Modèle de liste de prix spécifi'!$A$3:$O$278,MATCH('Option B_Choix du modèle d''ECF'!$B10,'Modèle de liste de prix spécifi'!$E$3:$E$278,0),MATCH('Option B_Choix du modèle d''ECF'!C$2,'Modèle de liste de prix spécifi'!$A$3:$O$3,0)),"")</f>
        <v/>
      </c>
      <c r="D10" s="32" t="str">
        <f>IFERROR(INDEX('Modèle de liste de prix spécifi'!$A$3:$O$278,MATCH('Option B_Choix du modèle d''ECF'!$B10,'Modèle de liste de prix spécifi'!$E$3:$E$278,0),MATCH('Option B_Choix du modèle d''ECF'!D$2,'Modèle de liste de prix spécifi'!$A$3:$O$3,0)),"")</f>
        <v/>
      </c>
      <c r="E10" s="32" t="str">
        <f>IFERROR(INDEX('Modèle de liste de prix spécifi'!$A$3:$O$278,MATCH('Option B_Choix du modèle d''ECF'!$B10,'Modèle de liste de prix spécifi'!$E$3:$E$278,0),MATCH('Option B_Choix du modèle d''ECF'!E$2,'Modèle de liste de prix spécifi'!$A$3:$O$3,0)),"")</f>
        <v/>
      </c>
      <c r="F10" s="129" t="str">
        <f>IFERROR(INDEX('Modèle de liste de prix spécifi'!$A$3:$O$278,MATCH('Option B_Choix du modèle d''ECF'!$B10,'Modèle de liste de prix spécifi'!$E$3:$E$278,0),MATCH('Option B_Choix du modèle d''ECF'!F$2,'Modèle de liste de prix spécifi'!$A$3:$O$3,0)),"")</f>
        <v/>
      </c>
      <c r="G10" s="54"/>
      <c r="H10" s="118" t="str">
        <f>IFERROR(IF(OR(EXACT(A10,'Modèle de liste de prix spécifi'!$AB$14),EXACT(A10,'Modèle de liste de prix spécifi'!$AB$16),EXACT(A10,'Modèle de liste de prix spécifi'!$AB$17),EXACT(A10,'Modèle de liste de prix spécifi'!$AB$18),EXACT(A10,'Modèle de liste de prix spécifi'!$AB$19),EXACT(A10,'Modèle de liste de prix spécifi'!$AB$20),EXACT(A10,'Modèle de liste de prix spécifi'!$AB$21),EXACT(A10,'Modèle de liste de prix spécifi'!$AB$22),EXACT(A10,'Modèle de liste de prix spécifi'!$AB$23),EXACT(A10,'Modèle de liste de prix spécifi'!$AB$24),EXACT(A10,'Modèle de liste de prix spécifi'!$AB$25),EXACT(A10,'Modèle de liste de prix spécifi'!$AB$26),EXACT(A10,'Modèle de liste de prix spécifi'!$AB$27)),"N/A",G10+F10),"")</f>
        <v/>
      </c>
      <c r="I10" s="75"/>
      <c r="J10" s="76" t="str">
        <f t="shared" si="0"/>
        <v/>
      </c>
      <c r="K10" s="57"/>
      <c r="L10" s="159" t="str">
        <f t="shared" si="1"/>
        <v>_6.</v>
      </c>
    </row>
    <row r="11" spans="1:12" s="26" customFormat="1" ht="27" customHeight="1" x14ac:dyDescent="0.25">
      <c r="A11" s="44" t="s">
        <v>65</v>
      </c>
      <c r="B11" s="42"/>
      <c r="C11" s="29" t="str">
        <f>IFERROR(INDEX('Modèle de liste de prix spécifi'!$A$3:$O$278,MATCH('Option B_Choix du modèle d''ECF'!$B11,'Modèle de liste de prix spécifi'!$E$3:$E$278,0),MATCH('Option B_Choix du modèle d''ECF'!C$2,'Modèle de liste de prix spécifi'!$A$3:$O$3,0)),"")</f>
        <v/>
      </c>
      <c r="D11" s="32" t="str">
        <f>IFERROR(INDEX('Modèle de liste de prix spécifi'!$A$3:$O$278,MATCH('Option B_Choix du modèle d''ECF'!$B11,'Modèle de liste de prix spécifi'!$E$3:$E$278,0),MATCH('Option B_Choix du modèle d''ECF'!D$2,'Modèle de liste de prix spécifi'!$A$3:$O$3,0)),"")</f>
        <v/>
      </c>
      <c r="E11" s="32" t="str">
        <f>IFERROR(INDEX('Modèle de liste de prix spécifi'!$A$3:$O$278,MATCH('Option B_Choix du modèle d''ECF'!$B11,'Modèle de liste de prix spécifi'!$E$3:$E$278,0),MATCH('Option B_Choix du modèle d''ECF'!E$2,'Modèle de liste de prix spécifi'!$A$3:$O$3,0)),"")</f>
        <v/>
      </c>
      <c r="F11" s="129" t="str">
        <f>IFERROR(INDEX('Modèle de liste de prix spécifi'!$A$3:$O$278,MATCH('Option B_Choix du modèle d''ECF'!$B11,'Modèle de liste de prix spécifi'!$E$3:$E$278,0),MATCH('Option B_Choix du modèle d''ECF'!F$2,'Modèle de liste de prix spécifi'!$A$3:$O$3,0)),"")</f>
        <v/>
      </c>
      <c r="G11" s="54"/>
      <c r="H11" s="118" t="str">
        <f>IFERROR(IF(OR(EXACT(A11,'Modèle de liste de prix spécifi'!$AB$14),EXACT(A11,'Modèle de liste de prix spécifi'!$AB$16),EXACT(A11,'Modèle de liste de prix spécifi'!$AB$17),EXACT(A11,'Modèle de liste de prix spécifi'!$AB$18),EXACT(A11,'Modèle de liste de prix spécifi'!$AB$19),EXACT(A11,'Modèle de liste de prix spécifi'!$AB$20),EXACT(A11,'Modèle de liste de prix spécifi'!$AB$21),EXACT(A11,'Modèle de liste de prix spécifi'!$AB$22),EXACT(A11,'Modèle de liste de prix spécifi'!$AB$23),EXACT(A11,'Modèle de liste de prix spécifi'!$AB$24),EXACT(A11,'Modèle de liste de prix spécifi'!$AB$25),EXACT(A11,'Modèle de liste de prix spécifi'!$AB$26),EXACT(A11,'Modèle de liste de prix spécifi'!$AB$27)),"N/A",G11+F11),"")</f>
        <v/>
      </c>
      <c r="I11" s="75"/>
      <c r="J11" s="76" t="str">
        <f t="shared" si="0"/>
        <v/>
      </c>
      <c r="K11" s="57"/>
      <c r="L11" s="159" t="str">
        <f t="shared" si="1"/>
        <v>_6.</v>
      </c>
    </row>
    <row r="12" spans="1:12" s="26" customFormat="1" ht="27" customHeight="1" x14ac:dyDescent="0.25">
      <c r="A12" s="200" t="s">
        <v>66</v>
      </c>
      <c r="B12" s="42"/>
      <c r="C12" s="29" t="str">
        <f>IFERROR(INDEX('Modèle de liste de prix spécifi'!$A$3:$O$278,MATCH('Option B_Choix du modèle d''ECF'!$B12,'Modèle de liste de prix spécifi'!$E$3:$E$278,0),MATCH('Option B_Choix du modèle d''ECF'!C$2,'Modèle de liste de prix spécifi'!$A$3:$O$3,0)),"")</f>
        <v/>
      </c>
      <c r="D12" s="32" t="str">
        <f>IFERROR(INDEX('Modèle de liste de prix spécifi'!$A$3:$O$278,MATCH('Option B_Choix du modèle d''ECF'!$B12,'Modèle de liste de prix spécifi'!$E$3:$E$278,0),MATCH('Option B_Choix du modèle d''ECF'!D$2,'Modèle de liste de prix spécifi'!$A$3:$O$3,0)),"")</f>
        <v/>
      </c>
      <c r="E12" s="32" t="str">
        <f>IFERROR(INDEX('Modèle de liste de prix spécifi'!$A$3:$O$278,MATCH('Option B_Choix du modèle d''ECF'!$B12,'Modèle de liste de prix spécifi'!$E$3:$E$278,0),MATCH('Option B_Choix du modèle d''ECF'!E$2,'Modèle de liste de prix spécifi'!$A$3:$O$3,0)),"")</f>
        <v/>
      </c>
      <c r="F12" s="129" t="str">
        <f>IFERROR(INDEX('Modèle de liste de prix spécifi'!$A$3:$O$278,MATCH('Option B_Choix du modèle d''ECF'!$B12,'Modèle de liste de prix spécifi'!$E$3:$E$278,0),MATCH('Option B_Choix du modèle d''ECF'!F$2,'Modèle de liste de prix spécifi'!$A$3:$O$3,0)),"")</f>
        <v/>
      </c>
      <c r="G12" s="54"/>
      <c r="H12" s="118" t="str">
        <f>IFERROR(IF(OR(EXACT(A12,'Modèle de liste de prix spécifi'!$AB$14),EXACT(A12,'Modèle de liste de prix spécifi'!$AB$16),EXACT(A12,'Modèle de liste de prix spécifi'!$AB$17),EXACT(A12,'Modèle de liste de prix spécifi'!$AB$18),EXACT(A12,'Modèle de liste de prix spécifi'!$AB$19),EXACT(A12,'Modèle de liste de prix spécifi'!$AB$20),EXACT(A12,'Modèle de liste de prix spécifi'!$AB$21),EXACT(A12,'Modèle de liste de prix spécifi'!$AB$22),EXACT(A12,'Modèle de liste de prix spécifi'!$AB$23),EXACT(A12,'Modèle de liste de prix spécifi'!$AB$24),EXACT(A12,'Modèle de liste de prix spécifi'!$AB$25),EXACT(A12,'Modèle de liste de prix spécifi'!$AB$26),EXACT(A12,'Modèle de liste de prix spécifi'!$AB$27)),"N/A",G12+F12),"")</f>
        <v/>
      </c>
      <c r="I12" s="75"/>
      <c r="J12" s="76" t="str">
        <f t="shared" si="0"/>
        <v/>
      </c>
      <c r="K12" s="57"/>
      <c r="L12" s="159" t="str">
        <f t="shared" si="1"/>
        <v>_7.</v>
      </c>
    </row>
    <row r="13" spans="1:12" s="26" customFormat="1" ht="27" customHeight="1" x14ac:dyDescent="0.25">
      <c r="A13" s="45" t="s">
        <v>67</v>
      </c>
      <c r="B13" s="42"/>
      <c r="C13" s="29" t="str">
        <f>IFERROR(INDEX('Modèle de liste de prix spécifi'!$A$3:$O$278,MATCH('Option B_Choix du modèle d''ECF'!$B13,'Modèle de liste de prix spécifi'!$E$3:$E$278,0),MATCH('Option B_Choix du modèle d''ECF'!C$2,'Modèle de liste de prix spécifi'!$A$3:$O$3,0)),"")</f>
        <v/>
      </c>
      <c r="D13" s="32" t="str">
        <f>IFERROR(INDEX('Modèle de liste de prix spécifi'!$A$3:$O$278,MATCH('Option B_Choix du modèle d''ECF'!$B13,'Modèle de liste de prix spécifi'!$E$3:$E$278,0),MATCH('Option B_Choix du modèle d''ECF'!D$2,'Modèle de liste de prix spécifi'!$A$3:$O$3,0)),"")</f>
        <v/>
      </c>
      <c r="E13" s="32" t="str">
        <f>IFERROR(INDEX('Modèle de liste de prix spécifi'!$A$3:$O$278,MATCH('Option B_Choix du modèle d''ECF'!$B13,'Modèle de liste de prix spécifi'!$E$3:$E$278,0),MATCH('Option B_Choix du modèle d''ECF'!E$2,'Modèle de liste de prix spécifi'!$A$3:$O$3,0)),"")</f>
        <v/>
      </c>
      <c r="F13" s="129" t="str">
        <f>IFERROR(INDEX('Modèle de liste de prix spécifi'!$A$3:$O$278,MATCH('Option B_Choix du modèle d''ECF'!$B13,'Modèle de liste de prix spécifi'!$E$3:$E$278,0),MATCH('Option B_Choix du modèle d''ECF'!F$2,'Modèle de liste de prix spécifi'!$A$3:$O$3,0)),"")</f>
        <v/>
      </c>
      <c r="G13" s="54"/>
      <c r="H13" s="118" t="str">
        <f>IFERROR(IF(OR(EXACT(A13,'Modèle de liste de prix spécifi'!$AB$14),EXACT(A13,'Modèle de liste de prix spécifi'!$AB$16),EXACT(A13,'Modèle de liste de prix spécifi'!$AB$17),EXACT(A13,'Modèle de liste de prix spécifi'!$AB$18),EXACT(A13,'Modèle de liste de prix spécifi'!$AB$19),EXACT(A13,'Modèle de liste de prix spécifi'!$AB$20),EXACT(A13,'Modèle de liste de prix spécifi'!$AB$21),EXACT(A13,'Modèle de liste de prix spécifi'!$AB$22),EXACT(A13,'Modèle de liste de prix spécifi'!$AB$23),EXACT(A13,'Modèle de liste de prix spécifi'!$AB$24),EXACT(A13,'Modèle de liste de prix spécifi'!$AB$25),EXACT(A13,'Modèle de liste de prix spécifi'!$AB$26),EXACT(A13,'Modèle de liste de prix spécifi'!$AB$27)),"N/A",G13+F13),"")</f>
        <v/>
      </c>
      <c r="I13" s="75"/>
      <c r="J13" s="76" t="str">
        <f t="shared" si="0"/>
        <v/>
      </c>
      <c r="K13" s="57"/>
      <c r="L13" s="159" t="str">
        <f t="shared" si="1"/>
        <v>_8.</v>
      </c>
    </row>
    <row r="14" spans="1:12" s="26" customFormat="1" ht="27" customHeight="1" x14ac:dyDescent="0.25">
      <c r="A14" s="46" t="s">
        <v>67</v>
      </c>
      <c r="B14" s="42"/>
      <c r="C14" s="29" t="str">
        <f>IFERROR(INDEX('Modèle de liste de prix spécifi'!$A$3:$O$278,MATCH('Option B_Choix du modèle d''ECF'!$B14,'Modèle de liste de prix spécifi'!$E$3:$E$278,0),MATCH('Option B_Choix du modèle d''ECF'!C$2,'Modèle de liste de prix spécifi'!$A$3:$O$3,0)),"")</f>
        <v/>
      </c>
      <c r="D14" s="32" t="str">
        <f>IFERROR(INDEX('Modèle de liste de prix spécifi'!$A$3:$O$278,MATCH('Option B_Choix du modèle d''ECF'!$B14,'Modèle de liste de prix spécifi'!$E$3:$E$278,0),MATCH('Option B_Choix du modèle d''ECF'!D$2,'Modèle de liste de prix spécifi'!$A$3:$O$3,0)),"")</f>
        <v/>
      </c>
      <c r="E14" s="32" t="str">
        <f>IFERROR(INDEX('Modèle de liste de prix spécifi'!$A$3:$O$278,MATCH('Option B_Choix du modèle d''ECF'!$B14,'Modèle de liste de prix spécifi'!$E$3:$E$278,0),MATCH('Option B_Choix du modèle d''ECF'!E$2,'Modèle de liste de prix spécifi'!$A$3:$O$3,0)),"")</f>
        <v/>
      </c>
      <c r="F14" s="129" t="str">
        <f>IFERROR(INDEX('Modèle de liste de prix spécifi'!$A$3:$O$278,MATCH('Option B_Choix du modèle d''ECF'!$B14,'Modèle de liste de prix spécifi'!$E$3:$E$278,0),MATCH('Option B_Choix du modèle d''ECF'!F$2,'Modèle de liste de prix spécifi'!$A$3:$O$3,0)),"")</f>
        <v/>
      </c>
      <c r="G14" s="54"/>
      <c r="H14" s="118" t="str">
        <f>IFERROR(IF(OR(EXACT(A14,'Modèle de liste de prix spécifi'!$AB$14),EXACT(A14,'Modèle de liste de prix spécifi'!$AB$16),EXACT(A14,'Modèle de liste de prix spécifi'!$AB$17),EXACT(A14,'Modèle de liste de prix spécifi'!$AB$18),EXACT(A14,'Modèle de liste de prix spécifi'!$AB$19),EXACT(A14,'Modèle de liste de prix spécifi'!$AB$20),EXACT(A14,'Modèle de liste de prix spécifi'!$AB$21),EXACT(A14,'Modèle de liste de prix spécifi'!$AB$22),EXACT(A14,'Modèle de liste de prix spécifi'!$AB$23),EXACT(A14,'Modèle de liste de prix spécifi'!$AB$24),EXACT(A14,'Modèle de liste de prix spécifi'!$AB$25),EXACT(A14,'Modèle de liste de prix spécifi'!$AB$26),EXACT(A14,'Modèle de liste de prix spécifi'!$AB$27)),"N/A",G14+F14),"")</f>
        <v/>
      </c>
      <c r="I14" s="75"/>
      <c r="J14" s="76" t="str">
        <f t="shared" si="0"/>
        <v/>
      </c>
      <c r="K14" s="57"/>
      <c r="L14" s="159" t="str">
        <f t="shared" si="1"/>
        <v>_8.</v>
      </c>
    </row>
    <row r="15" spans="1:12" s="26" customFormat="1" ht="27" customHeight="1" x14ac:dyDescent="0.25">
      <c r="A15" s="46" t="s">
        <v>68</v>
      </c>
      <c r="B15" s="42"/>
      <c r="C15" s="29" t="str">
        <f>IFERROR(INDEX('Modèle de liste de prix spécifi'!$A$3:$O$278,MATCH('Option B_Choix du modèle d''ECF'!$B15,'Modèle de liste de prix spécifi'!$E$3:$E$278,0),MATCH('Option B_Choix du modèle d''ECF'!C$2,'Modèle de liste de prix spécifi'!$A$3:$O$3,0)),"")</f>
        <v/>
      </c>
      <c r="D15" s="32" t="str">
        <f>IFERROR(INDEX('Modèle de liste de prix spécifi'!$A$3:$O$278,MATCH('Option B_Choix du modèle d''ECF'!$B15,'Modèle de liste de prix spécifi'!$E$3:$E$278,0),MATCH('Option B_Choix du modèle d''ECF'!D$2,'Modèle de liste de prix spécifi'!$A$3:$O$3,0)),"")</f>
        <v/>
      </c>
      <c r="E15" s="32" t="str">
        <f>IFERROR(INDEX('Modèle de liste de prix spécifi'!$A$3:$O$278,MATCH('Option B_Choix du modèle d''ECF'!$B15,'Modèle de liste de prix spécifi'!$E$3:$E$278,0),MATCH('Option B_Choix du modèle d''ECF'!E$2,'Modèle de liste de prix spécifi'!$A$3:$O$3,0)),"")</f>
        <v/>
      </c>
      <c r="F15" s="129" t="str">
        <f>IFERROR(INDEX('Modèle de liste de prix spécifi'!$A$3:$O$278,MATCH('Option B_Choix du modèle d''ECF'!$B15,'Modèle de liste de prix spécifi'!$E$3:$E$278,0),MATCH('Option B_Choix du modèle d''ECF'!F$2,'Modèle de liste de prix spécifi'!$A$3:$O$3,0)),"")</f>
        <v/>
      </c>
      <c r="G15" s="54"/>
      <c r="H15" s="118" t="str">
        <f>IFERROR(IF(OR(EXACT(A15,'Modèle de liste de prix spécifi'!$AB$14),EXACT(A15,'Modèle de liste de prix spécifi'!$AB$16),EXACT(A15,'Modèle de liste de prix spécifi'!$AB$17),EXACT(A15,'Modèle de liste de prix spécifi'!$AB$18),EXACT(A15,'Modèle de liste de prix spécifi'!$AB$19),EXACT(A15,'Modèle de liste de prix spécifi'!$AB$20),EXACT(A15,'Modèle de liste de prix spécifi'!$AB$21),EXACT(A15,'Modèle de liste de prix spécifi'!$AB$22),EXACT(A15,'Modèle de liste de prix spécifi'!$AB$23),EXACT(A15,'Modèle de liste de prix spécifi'!$AB$24),EXACT(A15,'Modèle de liste de prix spécifi'!$AB$25),EXACT(A15,'Modèle de liste de prix spécifi'!$AB$26),EXACT(A15,'Modèle de liste de prix spécifi'!$AB$27)),"N/A",G15+F15),"")</f>
        <v/>
      </c>
      <c r="I15" s="75"/>
      <c r="J15" s="76" t="str">
        <f t="shared" si="0"/>
        <v/>
      </c>
      <c r="K15" s="57"/>
      <c r="L15" s="159" t="str">
        <f t="shared" si="1"/>
        <v>_9.</v>
      </c>
    </row>
    <row r="16" spans="1:12" s="26" customFormat="1" ht="27" customHeight="1" x14ac:dyDescent="0.25">
      <c r="A16" s="46" t="s">
        <v>68</v>
      </c>
      <c r="B16" s="42"/>
      <c r="C16" s="29" t="str">
        <f>IFERROR(INDEX('Modèle de liste de prix spécifi'!$A$3:$O$278,MATCH('Option B_Choix du modèle d''ECF'!$B16,'Modèle de liste de prix spécifi'!$E$3:$E$278,0),MATCH('Option B_Choix du modèle d''ECF'!C$2,'Modèle de liste de prix spécifi'!$A$3:$O$3,0)),"")</f>
        <v/>
      </c>
      <c r="D16" s="32" t="str">
        <f>IFERROR(INDEX('Modèle de liste de prix spécifi'!$A$3:$O$278,MATCH('Option B_Choix du modèle d''ECF'!$B16,'Modèle de liste de prix spécifi'!$E$3:$E$278,0),MATCH('Option B_Choix du modèle d''ECF'!D$2,'Modèle de liste de prix spécifi'!$A$3:$O$3,0)),"")</f>
        <v/>
      </c>
      <c r="E16" s="32" t="str">
        <f>IFERROR(INDEX('Modèle de liste de prix spécifi'!$A$3:$O$278,MATCH('Option B_Choix du modèle d''ECF'!$B16,'Modèle de liste de prix spécifi'!$E$3:$E$278,0),MATCH('Option B_Choix du modèle d''ECF'!E$2,'Modèle de liste de prix spécifi'!$A$3:$O$3,0)),"")</f>
        <v/>
      </c>
      <c r="F16" s="129" t="str">
        <f>IFERROR(INDEX('Modèle de liste de prix spécifi'!$A$3:$O$278,MATCH('Option B_Choix du modèle d''ECF'!$B16,'Modèle de liste de prix spécifi'!$E$3:$E$278,0),MATCH('Option B_Choix du modèle d''ECF'!F$2,'Modèle de liste de prix spécifi'!$A$3:$O$3,0)),"")</f>
        <v/>
      </c>
      <c r="G16" s="54"/>
      <c r="H16" s="118" t="str">
        <f>IFERROR(IF(OR(EXACT(A16,'Modèle de liste de prix spécifi'!$AB$14),EXACT(A16,'Modèle de liste de prix spécifi'!$AB$16),EXACT(A16,'Modèle de liste de prix spécifi'!$AB$17),EXACT(A16,'Modèle de liste de prix spécifi'!$AB$18),EXACT(A16,'Modèle de liste de prix spécifi'!$AB$19),EXACT(A16,'Modèle de liste de prix spécifi'!$AB$20),EXACT(A16,'Modèle de liste de prix spécifi'!$AB$21),EXACT(A16,'Modèle de liste de prix spécifi'!$AB$22),EXACT(A16,'Modèle de liste de prix spécifi'!$AB$23),EXACT(A16,'Modèle de liste de prix spécifi'!$AB$24),EXACT(A16,'Modèle de liste de prix spécifi'!$AB$25),EXACT(A16,'Modèle de liste de prix spécifi'!$AB$26),EXACT(A16,'Modèle de liste de prix spécifi'!$AB$27)),"N/A",G16+F16),"")</f>
        <v/>
      </c>
      <c r="I16" s="75"/>
      <c r="J16" s="76" t="str">
        <f t="shared" si="0"/>
        <v/>
      </c>
      <c r="K16" s="57"/>
      <c r="L16" s="159" t="str">
        <f t="shared" si="1"/>
        <v>_9.</v>
      </c>
    </row>
    <row r="17" spans="1:12" s="26" customFormat="1" ht="27" customHeight="1" x14ac:dyDescent="0.25">
      <c r="A17" s="46" t="s">
        <v>68</v>
      </c>
      <c r="B17" s="42"/>
      <c r="C17" s="29" t="str">
        <f>IFERROR(INDEX('Modèle de liste de prix spécifi'!$A$3:$O$278,MATCH('Option B_Choix du modèle d''ECF'!$B17,'Modèle de liste de prix spécifi'!$E$3:$E$278,0),MATCH('Option B_Choix du modèle d''ECF'!C$2,'Modèle de liste de prix spécifi'!$A$3:$O$3,0)),"")</f>
        <v/>
      </c>
      <c r="D17" s="32" t="str">
        <f>IFERROR(INDEX('Modèle de liste de prix spécifi'!$A$3:$O$278,MATCH('Option B_Choix du modèle d''ECF'!$B17,'Modèle de liste de prix spécifi'!$E$3:$E$278,0),MATCH('Option B_Choix du modèle d''ECF'!D$2,'Modèle de liste de prix spécifi'!$A$3:$O$3,0)),"")</f>
        <v/>
      </c>
      <c r="E17" s="32" t="str">
        <f>IFERROR(INDEX('Modèle de liste de prix spécifi'!$A$3:$O$278,MATCH('Option B_Choix du modèle d''ECF'!$B17,'Modèle de liste de prix spécifi'!$E$3:$E$278,0),MATCH('Option B_Choix du modèle d''ECF'!E$2,'Modèle de liste de prix spécifi'!$A$3:$O$3,0)),"")</f>
        <v/>
      </c>
      <c r="F17" s="129" t="str">
        <f>IFERROR(INDEX('Modèle de liste de prix spécifi'!$A$3:$O$278,MATCH('Option B_Choix du modèle d''ECF'!$B17,'Modèle de liste de prix spécifi'!$E$3:$E$278,0),MATCH('Option B_Choix du modèle d''ECF'!F$2,'Modèle de liste de prix spécifi'!$A$3:$O$3,0)),"")</f>
        <v/>
      </c>
      <c r="G17" s="54"/>
      <c r="H17" s="118" t="str">
        <f>IFERROR(IF(OR(EXACT(A17,'Modèle de liste de prix spécifi'!$AB$14),EXACT(A17,'Modèle de liste de prix spécifi'!$AB$16),EXACT(A17,'Modèle de liste de prix spécifi'!$AB$17),EXACT(A17,'Modèle de liste de prix spécifi'!$AB$18),EXACT(A17,'Modèle de liste de prix spécifi'!$AB$19),EXACT(A17,'Modèle de liste de prix spécifi'!$AB$20),EXACT(A17,'Modèle de liste de prix spécifi'!$AB$21),EXACT(A17,'Modèle de liste de prix spécifi'!$AB$22),EXACT(A17,'Modèle de liste de prix spécifi'!$AB$23),EXACT(A17,'Modèle de liste de prix spécifi'!$AB$24),EXACT(A17,'Modèle de liste de prix spécifi'!$AB$25),EXACT(A17,'Modèle de liste de prix spécifi'!$AB$26),EXACT(A17,'Modèle de liste de prix spécifi'!$AB$27)),"N/A",G17+F17),"")</f>
        <v/>
      </c>
      <c r="I17" s="75"/>
      <c r="J17" s="76" t="str">
        <f t="shared" si="0"/>
        <v/>
      </c>
      <c r="K17" s="57"/>
      <c r="L17" s="159" t="str">
        <f t="shared" si="1"/>
        <v>_9.</v>
      </c>
    </row>
    <row r="18" spans="1:12" s="26" customFormat="1" ht="27" customHeight="1" x14ac:dyDescent="0.25">
      <c r="A18" s="47" t="s">
        <v>69</v>
      </c>
      <c r="B18" s="42"/>
      <c r="C18" s="29" t="str">
        <f>IFERROR(INDEX('Modèle de liste de prix spécifi'!$A$3:$O$278,MATCH('Option B_Choix du modèle d''ECF'!$B18,'Modèle de liste de prix spécifi'!$E$3:$E$278,0),MATCH('Option B_Choix du modèle d''ECF'!C$2,'Modèle de liste de prix spécifi'!$A$3:$O$3,0)),"")</f>
        <v/>
      </c>
      <c r="D18" s="32" t="str">
        <f>IFERROR(INDEX('Modèle de liste de prix spécifi'!$A$3:$O$278,MATCH('Option B_Choix du modèle d''ECF'!$B18,'Modèle de liste de prix spécifi'!$E$3:$E$278,0),MATCH('Option B_Choix du modèle d''ECF'!D$2,'Modèle de liste de prix spécifi'!$A$3:$O$3,0)),"")</f>
        <v/>
      </c>
      <c r="E18" s="32" t="str">
        <f>IFERROR(INDEX('Modèle de liste de prix spécifi'!$A$3:$O$278,MATCH('Option B_Choix du modèle d''ECF'!$B18,'Modèle de liste de prix spécifi'!$E$3:$E$278,0),MATCH('Option B_Choix du modèle d''ECF'!E$2,'Modèle de liste de prix spécifi'!$A$3:$O$3,0)),"")</f>
        <v/>
      </c>
      <c r="F18" s="129" t="str">
        <f>IFERROR(INDEX('Modèle de liste de prix spécifi'!$A$3:$O$278,MATCH('Option B_Choix du modèle d''ECF'!$B18,'Modèle de liste de prix spécifi'!$E$3:$E$278,0),MATCH('Option B_Choix du modèle d''ECF'!F$2,'Modèle de liste de prix spécifi'!$A$3:$O$3,0)),"")</f>
        <v/>
      </c>
      <c r="G18" s="54"/>
      <c r="H18" s="118" t="str">
        <f>IFERROR(IF(OR(EXACT(A18,'Modèle de liste de prix spécifi'!$AB$14),EXACT(A18,'Modèle de liste de prix spécifi'!$AB$16),EXACT(A18,'Modèle de liste de prix spécifi'!$AB$17),EXACT(A18,'Modèle de liste de prix spécifi'!$AB$18),EXACT(A18,'Modèle de liste de prix spécifi'!$AB$19),EXACT(A18,'Modèle de liste de prix spécifi'!$AB$20),EXACT(A18,'Modèle de liste de prix spécifi'!$AB$21),EXACT(A18,'Modèle de liste de prix spécifi'!$AB$22),EXACT(A18,'Modèle de liste de prix spécifi'!$AB$23),EXACT(A18,'Modèle de liste de prix spécifi'!$AB$24),EXACT(A18,'Modèle de liste de prix spécifi'!$AB$25),EXACT(A18,'Modèle de liste de prix spécifi'!$AB$26),EXACT(A18,'Modèle de liste de prix spécifi'!$AB$27)),"N/A",G18+F18),"")</f>
        <v/>
      </c>
      <c r="I18" s="75"/>
      <c r="J18" s="76" t="str">
        <f t="shared" si="0"/>
        <v/>
      </c>
      <c r="K18" s="57"/>
      <c r="L18" s="159" t="str">
        <f t="shared" si="1"/>
        <v>_10</v>
      </c>
    </row>
    <row r="19" spans="1:12" s="26" customFormat="1" ht="27" customHeight="1" x14ac:dyDescent="0.25">
      <c r="A19" s="47" t="s">
        <v>69</v>
      </c>
      <c r="B19" s="42"/>
      <c r="C19" s="29" t="str">
        <f>IFERROR(INDEX('Modèle de liste de prix spécifi'!$A$3:$O$278,MATCH('Option B_Choix du modèle d''ECF'!$B19,'Modèle de liste de prix spécifi'!$E$3:$E$278,0),MATCH('Option B_Choix du modèle d''ECF'!C$2,'Modèle de liste de prix spécifi'!$A$3:$O$3,0)),"")</f>
        <v/>
      </c>
      <c r="D19" s="32" t="str">
        <f>IFERROR(INDEX('Modèle de liste de prix spécifi'!$A$3:$O$278,MATCH('Option B_Choix du modèle d''ECF'!$B19,'Modèle de liste de prix spécifi'!$E$3:$E$278,0),MATCH('Option B_Choix du modèle d''ECF'!D$2,'Modèle de liste de prix spécifi'!$A$3:$O$3,0)),"")</f>
        <v/>
      </c>
      <c r="E19" s="32" t="str">
        <f>IFERROR(INDEX('Modèle de liste de prix spécifi'!$A$3:$O$278,MATCH('Option B_Choix du modèle d''ECF'!$B19,'Modèle de liste de prix spécifi'!$E$3:$E$278,0),MATCH('Option B_Choix du modèle d''ECF'!E$2,'Modèle de liste de prix spécifi'!$A$3:$O$3,0)),"")</f>
        <v/>
      </c>
      <c r="F19" s="129" t="str">
        <f>IFERROR(INDEX('Modèle de liste de prix spécifi'!$A$3:$O$278,MATCH('Option B_Choix du modèle d''ECF'!$B19,'Modèle de liste de prix spécifi'!$E$3:$E$278,0),MATCH('Option B_Choix du modèle d''ECF'!F$2,'Modèle de liste de prix spécifi'!$A$3:$O$3,0)),"")</f>
        <v/>
      </c>
      <c r="G19" s="54"/>
      <c r="H19" s="118" t="str">
        <f>IFERROR(IF(OR(EXACT(A19,'Modèle de liste de prix spécifi'!$AB$14),EXACT(A19,'Modèle de liste de prix spécifi'!$AB$16),EXACT(A19,'Modèle de liste de prix spécifi'!$AB$17),EXACT(A19,'Modèle de liste de prix spécifi'!$AB$18),EXACT(A19,'Modèle de liste de prix spécifi'!$AB$19),EXACT(A19,'Modèle de liste de prix spécifi'!$AB$20),EXACT(A19,'Modèle de liste de prix spécifi'!$AB$21),EXACT(A19,'Modèle de liste de prix spécifi'!$AB$22),EXACT(A19,'Modèle de liste de prix spécifi'!$AB$23),EXACT(A19,'Modèle de liste de prix spécifi'!$AB$24),EXACT(A19,'Modèle de liste de prix spécifi'!$AB$25),EXACT(A19,'Modèle de liste de prix spécifi'!$AB$26),EXACT(A19,'Modèle de liste de prix spécifi'!$AB$27)),"N/A",G19+F19),"")</f>
        <v/>
      </c>
      <c r="I19" s="75"/>
      <c r="J19" s="76" t="str">
        <f t="shared" si="0"/>
        <v/>
      </c>
      <c r="K19" s="57"/>
      <c r="L19" s="159" t="str">
        <f t="shared" si="1"/>
        <v>_10</v>
      </c>
    </row>
    <row r="20" spans="1:12" s="26" customFormat="1" ht="27" customHeight="1" x14ac:dyDescent="0.25">
      <c r="A20" s="48" t="s">
        <v>70</v>
      </c>
      <c r="B20" s="42"/>
      <c r="C20" s="29" t="str">
        <f>IFERROR(INDEX('Modèle de liste de prix spécifi'!$A$3:$O$278,MATCH('Option B_Choix du modèle d''ECF'!$B20,'Modèle de liste de prix spécifi'!$E$3:$E$278,0),MATCH('Option B_Choix du modèle d''ECF'!C$2,'Modèle de liste de prix spécifi'!$A$3:$O$3,0)),"")</f>
        <v/>
      </c>
      <c r="D20" s="32" t="str">
        <f>IFERROR(INDEX('Modèle de liste de prix spécifi'!$A$3:$O$278,MATCH('Option B_Choix du modèle d''ECF'!$B20,'Modèle de liste de prix spécifi'!$E$3:$E$278,0),MATCH('Option B_Choix du modèle d''ECF'!D$2,'Modèle de liste de prix spécifi'!$A$3:$O$3,0)),"")</f>
        <v/>
      </c>
      <c r="E20" s="32" t="str">
        <f>IFERROR(INDEX('Modèle de liste de prix spécifi'!$A$3:$O$278,MATCH('Option B_Choix du modèle d''ECF'!$B20,'Modèle de liste de prix spécifi'!$E$3:$E$278,0),MATCH('Option B_Choix du modèle d''ECF'!E$2,'Modèle de liste de prix spécifi'!$A$3:$O$3,0)),"")</f>
        <v/>
      </c>
      <c r="F20" s="129" t="str">
        <f>IFERROR(INDEX('Modèle de liste de prix spécifi'!$A$3:$O$278,MATCH('Option B_Choix du modèle d''ECF'!$B20,'Modèle de liste de prix spécifi'!$E$3:$E$278,0),MATCH('Option B_Choix du modèle d''ECF'!F$2,'Modèle de liste de prix spécifi'!$A$3:$O$3,0)),"")</f>
        <v/>
      </c>
      <c r="G20" s="177"/>
      <c r="H20" s="118" t="str">
        <f>IFERROR(IF(OR(EXACT(A20,'Modèle de liste de prix spécifi'!$AB$14),EXACT(A20,'Modèle de liste de prix spécifi'!$AB$16),EXACT(A20,'Modèle de liste de prix spécifi'!$AB$17),EXACT(A20,'Modèle de liste de prix spécifi'!$AB$18),EXACT(A20,'Modèle de liste de prix spécifi'!$AB$19),EXACT(A20,'Modèle de liste de prix spécifi'!$AB$20),EXACT(A20,'Modèle de liste de prix spécifi'!$AB$21),EXACT(A20,'Modèle de liste de prix spécifi'!$AB$22),EXACT(A20,'Modèle de liste de prix spécifi'!$AB$23),EXACT(A20,'Modèle de liste de prix spécifi'!$AB$24),EXACT(A20,'Modèle de liste de prix spécifi'!$AB$25),EXACT(A20,'Modèle de liste de prix spécifi'!$AB$26),EXACT(A20,'Modèle de liste de prix spécifi'!$AB$27)),"N/A",G20+F20),"")</f>
        <v>N/A</v>
      </c>
      <c r="I20" s="75"/>
      <c r="J20" s="76" t="str">
        <f t="shared" si="0"/>
        <v/>
      </c>
      <c r="K20" s="57"/>
      <c r="L20" s="159" t="str">
        <f t="shared" si="1"/>
        <v>_11</v>
      </c>
    </row>
    <row r="21" spans="1:12" s="26" customFormat="1" ht="27" customHeight="1" x14ac:dyDescent="0.25">
      <c r="A21" s="49" t="s">
        <v>71</v>
      </c>
      <c r="B21" s="42"/>
      <c r="C21" s="29" t="str">
        <f>IFERROR(INDEX('Modèle de liste de prix spécifi'!$A$3:$O$278,MATCH('Option B_Choix du modèle d''ECF'!$B21,'Modèle de liste de prix spécifi'!$E$3:$E$278,0),MATCH('Option B_Choix du modèle d''ECF'!C$2,'Modèle de liste de prix spécifi'!$A$3:$O$3,0)),"")</f>
        <v/>
      </c>
      <c r="D21" s="32" t="str">
        <f>IFERROR(INDEX('Modèle de liste de prix spécifi'!$A$3:$O$278,MATCH('Option B_Choix du modèle d''ECF'!$B21,'Modèle de liste de prix spécifi'!$E$3:$E$278,0),MATCH('Option B_Choix du modèle d''ECF'!D$2,'Modèle de liste de prix spécifi'!$A$3:$O$3,0)),"")</f>
        <v/>
      </c>
      <c r="E21" s="32" t="str">
        <f>IFERROR(INDEX('Modèle de liste de prix spécifi'!$A$3:$O$278,MATCH('Option B_Choix du modèle d''ECF'!$B21,'Modèle de liste de prix spécifi'!$E$3:$E$278,0),MATCH('Option B_Choix du modèle d''ECF'!E$2,'Modèle de liste de prix spécifi'!$A$3:$O$3,0)),"")</f>
        <v/>
      </c>
      <c r="F21" s="129" t="str">
        <f>IFERROR(INDEX('Modèle de liste de prix spécifi'!$A$3:$O$278,MATCH('Option B_Choix du modèle d''ECF'!$B21,'Modèle de liste de prix spécifi'!$E$3:$E$278,0),MATCH('Option B_Choix du modèle d''ECF'!F$2,'Modèle de liste de prix spécifi'!$A$3:$O$3,0)),"")</f>
        <v/>
      </c>
      <c r="G21" s="54"/>
      <c r="H21" s="118" t="str">
        <f>IFERROR(IF(OR(EXACT(A21,'Modèle de liste de prix spécifi'!$AB$14),EXACT(A21,'Modèle de liste de prix spécifi'!$AB$16),EXACT(A21,'Modèle de liste de prix spécifi'!$AB$17),EXACT(A21,'Modèle de liste de prix spécifi'!$AB$18),EXACT(A21,'Modèle de liste de prix spécifi'!$AB$19),EXACT(A21,'Modèle de liste de prix spécifi'!$AB$20),EXACT(A21,'Modèle de liste de prix spécifi'!$AB$21),EXACT(A21,'Modèle de liste de prix spécifi'!$AB$22),EXACT(A21,'Modèle de liste de prix spécifi'!$AB$23),EXACT(A21,'Modèle de liste de prix spécifi'!$AB$24),EXACT(A21,'Modèle de liste de prix spécifi'!$AB$25),EXACT(A21,'Modèle de liste de prix spécifi'!$AB$26),EXACT(A21,'Modèle de liste de prix spécifi'!$AB$27)),"N/A",G21+F21),"")</f>
        <v/>
      </c>
      <c r="I21" s="75"/>
      <c r="J21" s="76" t="str">
        <f t="shared" si="0"/>
        <v/>
      </c>
      <c r="K21" s="57"/>
      <c r="L21" s="159" t="str">
        <f t="shared" si="1"/>
        <v>_12</v>
      </c>
    </row>
    <row r="22" spans="1:12" s="26" customFormat="1" ht="27" customHeight="1" x14ac:dyDescent="0.25">
      <c r="A22" s="49" t="s">
        <v>71</v>
      </c>
      <c r="B22" s="42"/>
      <c r="C22" s="29" t="str">
        <f>IFERROR(INDEX('Modèle de liste de prix spécifi'!$A$3:$O$278,MATCH('Option B_Choix du modèle d''ECF'!$B22,'Modèle de liste de prix spécifi'!$E$3:$E$278,0),MATCH('Option B_Choix du modèle d''ECF'!C$2,'Modèle de liste de prix spécifi'!$A$3:$O$3,0)),"")</f>
        <v/>
      </c>
      <c r="D22" s="32" t="str">
        <f>IFERROR(INDEX('Modèle de liste de prix spécifi'!$A$3:$O$278,MATCH('Option B_Choix du modèle d''ECF'!$B22,'Modèle de liste de prix spécifi'!$E$3:$E$278,0),MATCH('Option B_Choix du modèle d''ECF'!D$2,'Modèle de liste de prix spécifi'!$A$3:$O$3,0)),"")</f>
        <v/>
      </c>
      <c r="E22" s="32" t="str">
        <f>IFERROR(INDEX('Modèle de liste de prix spécifi'!$A$3:$O$278,MATCH('Option B_Choix du modèle d''ECF'!$B22,'Modèle de liste de prix spécifi'!$E$3:$E$278,0),MATCH('Option B_Choix du modèle d''ECF'!E$2,'Modèle de liste de prix spécifi'!$A$3:$O$3,0)),"")</f>
        <v/>
      </c>
      <c r="F22" s="129" t="str">
        <f>IFERROR(INDEX('Modèle de liste de prix spécifi'!$A$3:$O$278,MATCH('Option B_Choix du modèle d''ECF'!$B22,'Modèle de liste de prix spécifi'!$E$3:$E$278,0),MATCH('Option B_Choix du modèle d''ECF'!F$2,'Modèle de liste de prix spécifi'!$A$3:$O$3,0)),"")</f>
        <v/>
      </c>
      <c r="G22" s="54"/>
      <c r="H22" s="118" t="str">
        <f>IFERROR(IF(OR(EXACT(A22,'Modèle de liste de prix spécifi'!$AB$14),EXACT(A22,'Modèle de liste de prix spécifi'!$AB$16),EXACT(A22,'Modèle de liste de prix spécifi'!$AB$17),EXACT(A22,'Modèle de liste de prix spécifi'!$AB$18),EXACT(A22,'Modèle de liste de prix spécifi'!$AB$19),EXACT(A22,'Modèle de liste de prix spécifi'!$AB$20),EXACT(A22,'Modèle de liste de prix spécifi'!$AB$21),EXACT(A22,'Modèle de liste de prix spécifi'!$AB$22),EXACT(A22,'Modèle de liste de prix spécifi'!$AB$23),EXACT(A22,'Modèle de liste de prix spécifi'!$AB$24),EXACT(A22,'Modèle de liste de prix spécifi'!$AB$25),EXACT(A22,'Modèle de liste de prix spécifi'!$AB$26),EXACT(A22,'Modèle de liste de prix spécifi'!$AB$27)),"N/A",G22+F22),"")</f>
        <v/>
      </c>
      <c r="I22" s="75"/>
      <c r="J22" s="76" t="str">
        <f t="shared" si="0"/>
        <v/>
      </c>
      <c r="K22" s="57"/>
      <c r="L22" s="159" t="str">
        <f t="shared" si="1"/>
        <v>_12</v>
      </c>
    </row>
    <row r="23" spans="1:12" s="26" customFormat="1" ht="27" customHeight="1" x14ac:dyDescent="0.25">
      <c r="A23" s="49" t="s">
        <v>437</v>
      </c>
      <c r="B23" s="42"/>
      <c r="C23" s="29" t="str">
        <f>IFERROR(INDEX('Modèle de liste de prix spécifi'!$A$3:$O$278,MATCH('Option B_Choix du modèle d''ECF'!$B23,'Modèle de liste de prix spécifi'!$E$3:$E$278,0),MATCH('Option B_Choix du modèle d''ECF'!C$2,'Modèle de liste de prix spécifi'!$A$3:$O$3,0)),"")</f>
        <v/>
      </c>
      <c r="D23" s="158" t="str">
        <f>IFERROR(INDEX('Modèle de liste de prix spécifi'!$A$3:$O$278,MATCH('Option B_Choix du modèle d''ECF'!$B23,'Modèle de liste de prix spécifi'!$E$3:$E$278,0),MATCH('Option B_Choix du modèle d''ECF'!D$2,'Modèle de liste de prix spécifi'!$A$3:$O$3,0)),"")</f>
        <v/>
      </c>
      <c r="E23" s="32" t="str">
        <f>IFERROR(INDEX('Modèle de liste de prix spécifi'!$A$3:$O$278,MATCH('Option B_Choix du modèle d''ECF'!$B23,'Modèle de liste de prix spécifi'!$E$3:$E$278,0),MATCH('Option B_Choix du modèle d''ECF'!E$2,'Modèle de liste de prix spécifi'!$A$3:$O$3,0)),"")</f>
        <v/>
      </c>
      <c r="F23" s="129" t="str">
        <f>IFERROR(INDEX('Modèle de liste de prix spécifi'!$A$3:$O$278,MATCH('Option B_Choix du modèle d''ECF'!$B23,'Modèle de liste de prix spécifi'!$E$3:$E$278,0),MATCH('Option B_Choix du modèle d''ECF'!F$2,'Modèle de liste de prix spécifi'!$A$3:$O$3,0)),"")</f>
        <v/>
      </c>
      <c r="G23" s="177"/>
      <c r="H23" s="118" t="str">
        <f>IFERROR(IF(OR(EXACT(A23,'Modèle de liste de prix spécifi'!$AB$14),EXACT(A23,'Modèle de liste de prix spécifi'!$AB$16),EXACT(A23,'Modèle de liste de prix spécifi'!$AB$17),EXACT(A23,'Modèle de liste de prix spécifi'!$AB$18),EXACT(A23,'Modèle de liste de prix spécifi'!$AB$19),EXACT(A23,'Modèle de liste de prix spécifi'!$AB$20),EXACT(A23,'Modèle de liste de prix spécifi'!$AB$21),EXACT(A23,'Modèle de liste de prix spécifi'!$AB$22),EXACT(A23,'Modèle de liste de prix spécifi'!$AB$23),EXACT(A23,'Modèle de liste de prix spécifi'!$AB$24),EXACT(A23,'Modèle de liste de prix spécifi'!$AB$25),EXACT(A23,'Modèle de liste de prix spécifi'!$AB$26),EXACT(A23,'Modèle de liste de prix spécifi'!$AB$27)),"N/A",G23+F23),"")</f>
        <v>N/A</v>
      </c>
      <c r="I23" s="75"/>
      <c r="J23" s="76" t="str">
        <f t="shared" si="0"/>
        <v/>
      </c>
      <c r="K23" s="57"/>
      <c r="L23" s="159" t="str">
        <f t="shared" si="1"/>
        <v>_13</v>
      </c>
    </row>
    <row r="24" spans="1:12" s="26" customFormat="1" ht="27" customHeight="1" x14ac:dyDescent="0.25">
      <c r="A24" s="49" t="s">
        <v>436</v>
      </c>
      <c r="B24" s="42"/>
      <c r="C24" s="29" t="str">
        <f>IFERROR(INDEX('Modèle de liste de prix spécifi'!$A$3:$O$278,MATCH('Option B_Choix du modèle d''ECF'!$B24,'Modèle de liste de prix spécifi'!$E$3:$E$278,0),MATCH('Option B_Choix du modèle d''ECF'!C$2,'Modèle de liste de prix spécifi'!$A$3:$O$3,0)),"")</f>
        <v/>
      </c>
      <c r="D24" s="158" t="str">
        <f>IFERROR(INDEX('Modèle de liste de prix spécifi'!$A$3:$O$278,MATCH('Option B_Choix du modèle d''ECF'!$B24,'Modèle de liste de prix spécifi'!$E$3:$E$278,0),MATCH('Option B_Choix du modèle d''ECF'!D$2,'Modèle de liste de prix spécifi'!$A$3:$O$3,0)),"")</f>
        <v/>
      </c>
      <c r="E24" s="32" t="str">
        <f>IFERROR(INDEX('Modèle de liste de prix spécifi'!$A$3:$O$278,MATCH('Option B_Choix du modèle d''ECF'!$B24,'Modèle de liste de prix spécifi'!$E$3:$E$278,0),MATCH('Option B_Choix du modèle d''ECF'!E$2,'Modèle de liste de prix spécifi'!$A$3:$O$3,0)),"")</f>
        <v/>
      </c>
      <c r="F24" s="129" t="str">
        <f>IFERROR(INDEX('Modèle de liste de prix spécifi'!$A$3:$O$278,MATCH('Option B_Choix du modèle d''ECF'!$B24,'Modèle de liste de prix spécifi'!$E$3:$E$278,0),MATCH('Option B_Choix du modèle d''ECF'!F$2,'Modèle de liste de prix spécifi'!$A$3:$O$3,0)),"")</f>
        <v/>
      </c>
      <c r="G24" s="177"/>
      <c r="H24" s="118" t="str">
        <f>IFERROR(IF(OR(EXACT(A24,'Modèle de liste de prix spécifi'!$AB$14),EXACT(A24,'Modèle de liste de prix spécifi'!$AB$16),EXACT(A24,'Modèle de liste de prix spécifi'!$AB$17),EXACT(A24,'Modèle de liste de prix spécifi'!$AB$18),EXACT(A24,'Modèle de liste de prix spécifi'!$AB$19),EXACT(A24,'Modèle de liste de prix spécifi'!$AB$20),EXACT(A24,'Modèle de liste de prix spécifi'!$AB$21),EXACT(A24,'Modèle de liste de prix spécifi'!$AB$22),EXACT(A24,'Modèle de liste de prix spécifi'!$AB$23),EXACT(A24,'Modèle de liste de prix spécifi'!$AB$24),EXACT(A24,'Modèle de liste de prix spécifi'!$AB$25),EXACT(A24,'Modèle de liste de prix spécifi'!$AB$26),EXACT(A24,'Modèle de liste de prix spécifi'!$AB$27)),"N/A",G24+F24),"")</f>
        <v>N/A</v>
      </c>
      <c r="I24" s="75"/>
      <c r="J24" s="76" t="str">
        <f t="shared" si="0"/>
        <v/>
      </c>
      <c r="K24" s="57"/>
      <c r="L24" s="159" t="str">
        <f t="shared" si="1"/>
        <v>_14</v>
      </c>
    </row>
    <row r="25" spans="1:12" s="26" customFormat="1" ht="27" customHeight="1" x14ac:dyDescent="0.25">
      <c r="A25" s="50" t="s">
        <v>72</v>
      </c>
      <c r="B25" s="42"/>
      <c r="C25" s="29" t="str">
        <f>IFERROR(INDEX('Modèle de liste de prix spécifi'!$A$3:$O$278,MATCH('Option B_Choix du modèle d''ECF'!$B25,'Modèle de liste de prix spécifi'!$E$3:$E$278,0),MATCH('Option B_Choix du modèle d''ECF'!C$2,'Modèle de liste de prix spécifi'!$A$3:$O$3,0)),"")</f>
        <v/>
      </c>
      <c r="D25" s="158" t="str">
        <f>IFERROR(INDEX('Modèle de liste de prix spécifi'!$A$3:$O$278,MATCH('Option B_Choix du modèle d''ECF'!$B25,'Modèle de liste de prix spécifi'!$E$3:$E$278,0),MATCH('Option B_Choix du modèle d''ECF'!D$2,'Modèle de liste de prix spécifi'!$A$3:$O$3,0)),"")</f>
        <v/>
      </c>
      <c r="E25" s="32" t="str">
        <f>IFERROR(INDEX('Modèle de liste de prix spécifi'!$A$3:$O$278,MATCH('Option B_Choix du modèle d''ECF'!$B25,'Modèle de liste de prix spécifi'!$E$3:$E$278,0),MATCH('Option B_Choix du modèle d''ECF'!E$2,'Modèle de liste de prix spécifi'!$A$3:$O$3,0)),"")</f>
        <v/>
      </c>
      <c r="F25" s="129" t="str">
        <f>IFERROR(INDEX('Modèle de liste de prix spécifi'!$A$3:$O$278,MATCH('Option B_Choix du modèle d''ECF'!$B25,'Modèle de liste de prix spécifi'!$E$3:$E$278,0),MATCH('Option B_Choix du modèle d''ECF'!F$2,'Modèle de liste de prix spécifi'!$A$3:$O$3,0)),"")</f>
        <v/>
      </c>
      <c r="G25" s="177"/>
      <c r="H25" s="118" t="str">
        <f>IFERROR(IF(OR(EXACT(A25,'Modèle de liste de prix spécifi'!$AB$14),EXACT(A25,'Modèle de liste de prix spécifi'!$AB$16),EXACT(A25,'Modèle de liste de prix spécifi'!$AB$17),EXACT(A25,'Modèle de liste de prix spécifi'!$AB$18),EXACT(A25,'Modèle de liste de prix spécifi'!$AB$19),EXACT(A25,'Modèle de liste de prix spécifi'!$AB$20),EXACT(A25,'Modèle de liste de prix spécifi'!$AB$21),EXACT(A25,'Modèle de liste de prix spécifi'!$AB$22),EXACT(A25,'Modèle de liste de prix spécifi'!$AB$23),EXACT(A25,'Modèle de liste de prix spécifi'!$AB$24),EXACT(A25,'Modèle de liste de prix spécifi'!$AB$25),EXACT(A25,'Modèle de liste de prix spécifi'!$AB$26),EXACT(A25,'Modèle de liste de prix spécifi'!$AB$27)),"N/A",G25+F25),"")</f>
        <v>N/A</v>
      </c>
      <c r="I25" s="75"/>
      <c r="J25" s="76" t="str">
        <f t="shared" si="0"/>
        <v/>
      </c>
      <c r="K25" s="57"/>
      <c r="L25" s="159" t="str">
        <f t="shared" si="1"/>
        <v>_15</v>
      </c>
    </row>
    <row r="26" spans="1:12" s="26" customFormat="1" ht="27" customHeight="1" x14ac:dyDescent="0.25">
      <c r="A26" s="50" t="s">
        <v>438</v>
      </c>
      <c r="B26" s="42"/>
      <c r="C26" s="29" t="str">
        <f>IFERROR(INDEX('Modèle de liste de prix spécifi'!$A$3:$O$278,MATCH('Option B_Choix du modèle d''ECF'!$B26,'Modèle de liste de prix spécifi'!$E$3:$E$278,0),MATCH('Option B_Choix du modèle d''ECF'!C$2,'Modèle de liste de prix spécifi'!$A$3:$O$3,0)),"")</f>
        <v/>
      </c>
      <c r="D26" s="158" t="str">
        <f>IFERROR(INDEX('Modèle de liste de prix spécifi'!$A$3:$O$278,MATCH('Option B_Choix du modèle d''ECF'!$B26,'Modèle de liste de prix spécifi'!$E$3:$E$278,0),MATCH('Option B_Choix du modèle d''ECF'!D$2,'Modèle de liste de prix spécifi'!$A$3:$O$3,0)),"")</f>
        <v/>
      </c>
      <c r="E26" s="32" t="str">
        <f>IFERROR(INDEX('Modèle de liste de prix spécifi'!$A$3:$O$278,MATCH('Option B_Choix du modèle d''ECF'!$B26,'Modèle de liste de prix spécifi'!$E$3:$E$278,0),MATCH('Option B_Choix du modèle d''ECF'!E$2,'Modèle de liste de prix spécifi'!$A$3:$O$3,0)),"")</f>
        <v/>
      </c>
      <c r="F26" s="129" t="str">
        <f>IFERROR(INDEX('Modèle de liste de prix spécifi'!$A$3:$O$278,MATCH('Option B_Choix du modèle d''ECF'!$B26,'Modèle de liste de prix spécifi'!$E$3:$E$278,0),MATCH('Option B_Choix du modèle d''ECF'!F$2,'Modèle de liste de prix spécifi'!$A$3:$O$3,0)),"")</f>
        <v/>
      </c>
      <c r="G26" s="177"/>
      <c r="H26" s="118" t="str">
        <f>IFERROR(IF(OR(EXACT(A26,'Modèle de liste de prix spécifi'!$AB$14),EXACT(A26,'Modèle de liste de prix spécifi'!$AB$16),EXACT(A26,'Modèle de liste de prix spécifi'!$AB$17),EXACT(A26,'Modèle de liste de prix spécifi'!$AB$18),EXACT(A26,'Modèle de liste de prix spécifi'!$AB$19),EXACT(A26,'Modèle de liste de prix spécifi'!$AB$20),EXACT(A26,'Modèle de liste de prix spécifi'!$AB$21),EXACT(A26,'Modèle de liste de prix spécifi'!$AB$22),EXACT(A26,'Modèle de liste de prix spécifi'!$AB$23),EXACT(A26,'Modèle de liste de prix spécifi'!$AB$24),EXACT(A26,'Modèle de liste de prix spécifi'!$AB$25),EXACT(A26,'Modèle de liste de prix spécifi'!$AB$26),EXACT(A26,'Modèle de liste de prix spécifi'!$AB$27)),"N/A",G26+F26),"")</f>
        <v>N/A</v>
      </c>
      <c r="I26" s="75"/>
      <c r="J26" s="76" t="str">
        <f t="shared" si="0"/>
        <v/>
      </c>
      <c r="K26" s="57"/>
      <c r="L26" s="159" t="str">
        <f t="shared" si="1"/>
        <v>_16</v>
      </c>
    </row>
    <row r="27" spans="1:12" s="26" customFormat="1" ht="27" customHeight="1" x14ac:dyDescent="0.25">
      <c r="A27" s="51" t="s">
        <v>73</v>
      </c>
      <c r="B27" s="42"/>
      <c r="C27" s="29" t="str">
        <f>IFERROR(INDEX('Modèle de liste de prix spécifi'!$A$3:$O$278,MATCH('Option B_Choix du modèle d''ECF'!$B27,'Modèle de liste de prix spécifi'!$E$3:$E$278,0),MATCH('Option B_Choix du modèle d''ECF'!C$2,'Modèle de liste de prix spécifi'!$A$3:$O$3,0)),"")</f>
        <v/>
      </c>
      <c r="D27" s="32" t="str">
        <f>IFERROR(INDEX('Modèle de liste de prix spécifi'!$A$3:$O$278,MATCH('Option B_Choix du modèle d''ECF'!$B27,'Modèle de liste de prix spécifi'!$E$3:$E$278,0),MATCH('Option B_Choix du modèle d''ECF'!D$2,'Modèle de liste de prix spécifi'!$A$3:$O$3,0)),"")</f>
        <v/>
      </c>
      <c r="E27" s="32" t="str">
        <f>IFERROR(INDEX('Modèle de liste de prix spécifi'!$A$3:$O$278,MATCH('Option B_Choix du modèle d''ECF'!$B27,'Modèle de liste de prix spécifi'!$E$3:$E$278,0),MATCH('Option B_Choix du modèle d''ECF'!E$2,'Modèle de liste de prix spécifi'!$A$3:$O$3,0)),"")</f>
        <v/>
      </c>
      <c r="F27" s="129" t="str">
        <f>IFERROR(INDEX('Modèle de liste de prix spécifi'!$A$3:$O$278,MATCH('Option B_Choix du modèle d''ECF'!$B27,'Modèle de liste de prix spécifi'!$E$3:$E$278,0),MATCH('Option B_Choix du modèle d''ECF'!F$2,'Modèle de liste de prix spécifi'!$A$3:$O$3,0)),"")</f>
        <v/>
      </c>
      <c r="G27" s="177"/>
      <c r="H27" s="118" t="str">
        <f>IFERROR(IF(OR(EXACT(A27,'Modèle de liste de prix spécifi'!$AB$14),EXACT(A27,'Modèle de liste de prix spécifi'!$AB$16),EXACT(A27,'Modèle de liste de prix spécifi'!$AB$17),EXACT(A27,'Modèle de liste de prix spécifi'!$AB$18),EXACT(A27,'Modèle de liste de prix spécifi'!$AB$19),EXACT(A27,'Modèle de liste de prix spécifi'!$AB$20),EXACT(A27,'Modèle de liste de prix spécifi'!$AB$21),EXACT(A27,'Modèle de liste de prix spécifi'!$AB$22),EXACT(A27,'Modèle de liste de prix spécifi'!$AB$23),EXACT(A27,'Modèle de liste de prix spécifi'!$AB$24),EXACT(A27,'Modèle de liste de prix spécifi'!$AB$25),EXACT(A27,'Modèle de liste de prix spécifi'!$AB$26),EXACT(A27,'Modèle de liste de prix spécifi'!$AB$27)),"N/A",G27+F27),"")</f>
        <v>N/A</v>
      </c>
      <c r="I27" s="75"/>
      <c r="J27" s="76" t="str">
        <f t="shared" si="0"/>
        <v/>
      </c>
      <c r="K27" s="57"/>
      <c r="L27" s="159" t="str">
        <f t="shared" si="1"/>
        <v>_17</v>
      </c>
    </row>
    <row r="28" spans="1:12" s="26" customFormat="1" ht="27" customHeight="1" x14ac:dyDescent="0.25">
      <c r="A28" s="52" t="s">
        <v>74</v>
      </c>
      <c r="B28" s="42"/>
      <c r="C28" s="29" t="str">
        <f>IFERROR(INDEX('Modèle de liste de prix spécifi'!$A$3:$O$278,MATCH('Option B_Choix du modèle d''ECF'!$B28,'Modèle de liste de prix spécifi'!$E$3:$E$278,0),MATCH('Option B_Choix du modèle d''ECF'!C$2,'Modèle de liste de prix spécifi'!$A$3:$O$3,0)),"")</f>
        <v/>
      </c>
      <c r="D28" s="32" t="str">
        <f>IFERROR(INDEX('Modèle de liste de prix spécifi'!$A$3:$O$278,MATCH('Option B_Choix du modèle d''ECF'!$B28,'Modèle de liste de prix spécifi'!$E$3:$E$278,0),MATCH('Option B_Choix du modèle d''ECF'!D$2,'Modèle de liste de prix spécifi'!$A$3:$O$3,0)),"")</f>
        <v/>
      </c>
      <c r="E28" s="32" t="str">
        <f>IFERROR(INDEX('Modèle de liste de prix spécifi'!$A$3:$O$278,MATCH('Option B_Choix du modèle d''ECF'!$B28,'Modèle de liste de prix spécifi'!$E$3:$E$278,0),MATCH('Option B_Choix du modèle d''ECF'!E$2,'Modèle de liste de prix spécifi'!$A$3:$O$3,0)),"")</f>
        <v/>
      </c>
      <c r="F28" s="204" t="str">
        <f>IFERROR(INDEX('Modèle de liste de prix spécifi'!$A$3:$O$278,MATCH('Option B_Choix du modèle d''ECF'!$B28,'Modèle de liste de prix spécifi'!$E$3:$E$278,0),MATCH('Option B_Choix du modèle d''ECF'!F$2,'Modèle de liste de prix spécifi'!$A$3:$O$3,0)),"")</f>
        <v/>
      </c>
      <c r="G28" s="177"/>
      <c r="H28" s="118" t="str">
        <f>IFERROR(IF(OR(EXACT(A28,'Modèle de liste de prix spécifi'!$AB$14),EXACT(A28,'Modèle de liste de prix spécifi'!$AB$16),EXACT(A28,'Modèle de liste de prix spécifi'!$AB$17),EXACT(A28,'Modèle de liste de prix spécifi'!$AB$18),EXACT(A28,'Modèle de liste de prix spécifi'!$AB$19),EXACT(A28,'Modèle de liste de prix spécifi'!$AB$20),EXACT(A28,'Modèle de liste de prix spécifi'!$AB$21),EXACT(A28,'Modèle de liste de prix spécifi'!$AB$22),EXACT(A28,'Modèle de liste de prix spécifi'!$AB$23),EXACT(A28,'Modèle de liste de prix spécifi'!$AB$24),EXACT(A28,'Modèle de liste de prix spécifi'!$AB$25),EXACT(A28,'Modèle de liste de prix spécifi'!$AB$26),EXACT(A28,'Modèle de liste de prix spécifi'!$AB$27)),"N/A",G28+F28),"")</f>
        <v>N/A</v>
      </c>
      <c r="I28" s="75"/>
      <c r="J28" s="76" t="str">
        <f t="shared" si="0"/>
        <v/>
      </c>
      <c r="K28" s="57"/>
      <c r="L28" s="159" t="str">
        <f t="shared" si="1"/>
        <v>_18</v>
      </c>
    </row>
    <row r="29" spans="1:12" s="26" customFormat="1" ht="27" customHeight="1" x14ac:dyDescent="0.25">
      <c r="A29" s="53" t="s">
        <v>75</v>
      </c>
      <c r="B29" s="42"/>
      <c r="C29" s="29" t="str">
        <f>IFERROR(INDEX('Modèle de liste de prix spécifi'!$A$3:$O$278,MATCH('Option B_Choix du modèle d''ECF'!$B29,'Modèle de liste de prix spécifi'!$E$3:$E$278,0),MATCH('Option B_Choix du modèle d''ECF'!C$2,'Modèle de liste de prix spécifi'!$A$3:$O$3,0)),"")</f>
        <v/>
      </c>
      <c r="D29" s="32" t="str">
        <f>IFERROR(INDEX('Modèle de liste de prix spécifi'!$A$3:$O$278,MATCH('Option B_Choix du modèle d''ECF'!$B29,'Modèle de liste de prix spécifi'!$E$3:$E$278,0),MATCH('Option B_Choix du modèle d''ECF'!D$2,'Modèle de liste de prix spécifi'!$A$3:$O$3,0)),"")</f>
        <v/>
      </c>
      <c r="E29" s="32" t="str">
        <f>IFERROR(INDEX('Modèle de liste de prix spécifi'!$A$3:$O$278,MATCH('Option B_Choix du modèle d''ECF'!$B29,'Modèle de liste de prix spécifi'!$E$3:$E$278,0),MATCH('Option B_Choix du modèle d''ECF'!E$2,'Modèle de liste de prix spécifi'!$A$3:$O$3,0)),"")</f>
        <v/>
      </c>
      <c r="F29" s="204" t="str">
        <f>IFERROR(INDEX('Modèle de liste de prix spécifi'!$A$3:$O$278,MATCH('Option B_Choix du modèle d''ECF'!$B29,'Modèle de liste de prix spécifi'!$E$3:$E$278,0),MATCH('Option B_Choix du modèle d''ECF'!F$2,'Modèle de liste de prix spécifi'!$A$3:$O$3,0)),"")</f>
        <v/>
      </c>
      <c r="G29" s="177"/>
      <c r="H29" s="118" t="str">
        <f>IFERROR(IF(OR(EXACT(A29,'Modèle de liste de prix spécifi'!$AB$14),EXACT(A29,'Modèle de liste de prix spécifi'!$AB$16),EXACT(A29,'Modèle de liste de prix spécifi'!$AB$17),EXACT(A29,'Modèle de liste de prix spécifi'!$AB$18),EXACT(A29,'Modèle de liste de prix spécifi'!$AB$19),EXACT(A29,'Modèle de liste de prix spécifi'!$AB$20),EXACT(A29,'Modèle de liste de prix spécifi'!$AB$21),EXACT(A29,'Modèle de liste de prix spécifi'!$AB$22),EXACT(A29,'Modèle de liste de prix spécifi'!$AB$23),EXACT(A29,'Modèle de liste de prix spécifi'!$AB$24),EXACT(A29,'Modèle de liste de prix spécifi'!$AB$25),EXACT(A29,'Modèle de liste de prix spécifi'!$AB$26),EXACT(A29,'Modèle de liste de prix spécifi'!$AB$27)),"N/A",G29+F29),"")</f>
        <v>N/A</v>
      </c>
      <c r="I29" s="75"/>
      <c r="J29" s="76" t="str">
        <f t="shared" si="0"/>
        <v/>
      </c>
      <c r="K29" s="57"/>
      <c r="L29" s="159" t="str">
        <f t="shared" si="1"/>
        <v>_19</v>
      </c>
    </row>
    <row r="30" spans="1:12" s="26" customFormat="1" ht="27" customHeight="1" x14ac:dyDescent="0.25">
      <c r="A30" s="53" t="s">
        <v>76</v>
      </c>
      <c r="B30" s="42"/>
      <c r="C30" s="29" t="str">
        <f>IFERROR(INDEX('Modèle de liste de prix spécifi'!$A$3:$O$278,MATCH('Option B_Choix du modèle d''ECF'!$B30,'Modèle de liste de prix spécifi'!$E$3:$E$278,0),MATCH('Option B_Choix du modèle d''ECF'!C$2,'Modèle de liste de prix spécifi'!$A$3:$O$3,0)),"")</f>
        <v/>
      </c>
      <c r="D30" s="32" t="str">
        <f>IFERROR(INDEX('Modèle de liste de prix spécifi'!$A$3:$O$278,MATCH('Option B_Choix du modèle d''ECF'!$B30,'Modèle de liste de prix spécifi'!$E$3:$E$278,0),MATCH('Option B_Choix du modèle d''ECF'!D$2,'Modèle de liste de prix spécifi'!$A$3:$O$3,0)),"")</f>
        <v/>
      </c>
      <c r="E30" s="32" t="str">
        <f>IFERROR(INDEX('Modèle de liste de prix spécifi'!$A$3:$O$278,MATCH('Option B_Choix du modèle d''ECF'!$B30,'Modèle de liste de prix spécifi'!$E$3:$E$278,0),MATCH('Option B_Choix du modèle d''ECF'!E$2,'Modèle de liste de prix spécifi'!$A$3:$O$3,0)),"")</f>
        <v/>
      </c>
      <c r="F30" s="204" t="str">
        <f>IFERROR(INDEX('Modèle de liste de prix spécifi'!$A$3:$O$278,MATCH('Option B_Choix du modèle d''ECF'!$B30,'Modèle de liste de prix spécifi'!$E$3:$E$278,0),MATCH('Option B_Choix du modèle d''ECF'!F$2,'Modèle de liste de prix spécifi'!$A$3:$O$3,0)),"")</f>
        <v/>
      </c>
      <c r="G30" s="177"/>
      <c r="H30" s="118" t="str">
        <f>IFERROR(IF(OR(EXACT(A30,'Modèle de liste de prix spécifi'!$AB$14),EXACT(A30,'Modèle de liste de prix spécifi'!$AB$16),EXACT(A30,'Modèle de liste de prix spécifi'!$AB$17),EXACT(A30,'Modèle de liste de prix spécifi'!$AB$18),EXACT(A30,'Modèle de liste de prix spécifi'!$AB$19),EXACT(A30,'Modèle de liste de prix spécifi'!$AB$20),EXACT(A30,'Modèle de liste de prix spécifi'!$AB$21),EXACT(A30,'Modèle de liste de prix spécifi'!$AB$22),EXACT(A30,'Modèle de liste de prix spécifi'!$AB$23),EXACT(A30,'Modèle de liste de prix spécifi'!$AB$24),EXACT(A30,'Modèle de liste de prix spécifi'!$AB$25),EXACT(A30,'Modèle de liste de prix spécifi'!$AB$26),EXACT(A30,'Modèle de liste de prix spécifi'!$AB$27)),"N/A",G30+F30),"")</f>
        <v>N/A</v>
      </c>
      <c r="I30" s="75"/>
      <c r="J30" s="76" t="str">
        <f t="shared" si="0"/>
        <v/>
      </c>
      <c r="K30" s="57"/>
      <c r="L30" s="159" t="str">
        <f t="shared" si="1"/>
        <v>_20</v>
      </c>
    </row>
    <row r="31" spans="1:12" s="26" customFormat="1" ht="27" customHeight="1" x14ac:dyDescent="0.25">
      <c r="A31" s="121" t="s">
        <v>77</v>
      </c>
      <c r="B31" s="42"/>
      <c r="C31" s="29" t="str">
        <f>IFERROR(INDEX('Modèle de liste de prix spécifi'!$A$3:$O$278,MATCH('Option B_Choix du modèle d''ECF'!$B31,'Modèle de liste de prix spécifi'!$E$3:$E$278,0),MATCH('Option B_Choix du modèle d''ECF'!C$2,'Modèle de liste de prix spécifi'!$A$3:$O$3,0)),"")</f>
        <v/>
      </c>
      <c r="D31" s="32" t="str">
        <f>IFERROR(INDEX('Modèle de liste de prix spécifi'!$A$3:$O$278,MATCH('Option B_Choix du modèle d''ECF'!$B31,'Modèle de liste de prix spécifi'!$E$3:$E$278,0),MATCH('Option B_Choix du modèle d''ECF'!D$2,'Modèle de liste de prix spécifi'!$A$3:$O$3,0)),"")</f>
        <v/>
      </c>
      <c r="E31" s="32" t="str">
        <f>IFERROR(INDEX('Modèle de liste de prix spécifi'!$A$3:$O$278,MATCH('Option B_Choix du modèle d''ECF'!$B31,'Modèle de liste de prix spécifi'!$E$3:$E$278,0),MATCH('Option B_Choix du modèle d''ECF'!E$2,'Modèle de liste de prix spécifi'!$A$3:$O$3,0)),"")</f>
        <v/>
      </c>
      <c r="F31" s="204" t="str">
        <f>IFERROR(INDEX('Modèle de liste de prix spécifi'!$A$3:$O$278,MATCH('Option B_Choix du modèle d''ECF'!$B31,'Modèle de liste de prix spécifi'!$E$3:$E$278,0),MATCH('Option B_Choix du modèle d''ECF'!F$2,'Modèle de liste de prix spécifi'!$A$3:$O$3,0)),"")</f>
        <v/>
      </c>
      <c r="G31" s="177"/>
      <c r="H31" s="118" t="str">
        <f>IFERROR(IF(OR(EXACT(A31,'Modèle de liste de prix spécifi'!$AB$14),EXACT(A31,'Modèle de liste de prix spécifi'!$AB$16),EXACT(A31,'Modèle de liste de prix spécifi'!$AB$17),EXACT(A31,'Modèle de liste de prix spécifi'!$AB$18),EXACT(A31,'Modèle de liste de prix spécifi'!$AB$19),EXACT(A31,'Modèle de liste de prix spécifi'!$AB$20),EXACT(A31,'Modèle de liste de prix spécifi'!$AB$21),EXACT(A31,'Modèle de liste de prix spécifi'!$AB$22),EXACT(A31,'Modèle de liste de prix spécifi'!$AB$23),EXACT(A31,'Modèle de liste de prix spécifi'!$AB$24),EXACT(A31,'Modèle de liste de prix spécifi'!$AB$25),EXACT(A31,'Modèle de liste de prix spécifi'!$AB$26),EXACT(A31,'Modèle de liste de prix spécifi'!$AB$27)),"N/A",G31+F31),"")</f>
        <v>N/A</v>
      </c>
      <c r="I31" s="75"/>
      <c r="J31" s="76" t="str">
        <f t="shared" si="0"/>
        <v/>
      </c>
      <c r="K31" s="57"/>
      <c r="L31" s="159" t="str">
        <f t="shared" si="1"/>
        <v>_21</v>
      </c>
    </row>
    <row r="32" spans="1:12" s="26" customFormat="1" ht="27" customHeight="1" x14ac:dyDescent="0.25">
      <c r="A32" s="121" t="s">
        <v>78</v>
      </c>
      <c r="B32" s="42"/>
      <c r="C32" s="29" t="str">
        <f>IFERROR(INDEX('Modèle de liste de prix spécifi'!$A$3:$O$278,MATCH('Option B_Choix du modèle d''ECF'!$B32,'Modèle de liste de prix spécifi'!$E$3:$E$278,0),MATCH('Option B_Choix du modèle d''ECF'!C$2,'Modèle de liste de prix spécifi'!$A$3:$O$3,0)),"")</f>
        <v/>
      </c>
      <c r="D32" s="32" t="str">
        <f>IFERROR(INDEX('Modèle de liste de prix spécifi'!$A$3:$O$278,MATCH('Option B_Choix du modèle d''ECF'!$B32,'Modèle de liste de prix spécifi'!$E$3:$E$278,0),MATCH('Option B_Choix du modèle d''ECF'!D$2,'Modèle de liste de prix spécifi'!$A$3:$O$3,0)),"")</f>
        <v/>
      </c>
      <c r="E32" s="32" t="str">
        <f>IFERROR(INDEX('Modèle de liste de prix spécifi'!$A$3:$O$278,MATCH('Option B_Choix du modèle d''ECF'!$B32,'Modèle de liste de prix spécifi'!$E$3:$E$278,0),MATCH('Option B_Choix du modèle d''ECF'!E$2,'Modèle de liste de prix spécifi'!$A$3:$O$3,0)),"")</f>
        <v/>
      </c>
      <c r="F32" s="204" t="str">
        <f>IFERROR(INDEX('Modèle de liste de prix spécifi'!$A$3:$O$278,MATCH('Option B_Choix du modèle d''ECF'!$B32,'Modèle de liste de prix spécifi'!$E$3:$E$278,0),MATCH('Option B_Choix du modèle d''ECF'!F$2,'Modèle de liste de prix spécifi'!$A$3:$O$3,0)),"")</f>
        <v/>
      </c>
      <c r="G32" s="177"/>
      <c r="H32" s="118" t="str">
        <f>IFERROR(IF(OR(EXACT(A32,'Modèle de liste de prix spécifi'!$AB$14),EXACT(A32,'Modèle de liste de prix spécifi'!$AB$16),EXACT(A32,'Modèle de liste de prix spécifi'!$AB$17),EXACT(A32,'Modèle de liste de prix spécifi'!$AB$18),EXACT(A32,'Modèle de liste de prix spécifi'!$AB$19),EXACT(A32,'Modèle de liste de prix spécifi'!$AB$20),EXACT(A32,'Modèle de liste de prix spécifi'!$AB$21),EXACT(A32,'Modèle de liste de prix spécifi'!$AB$22),EXACT(A32,'Modèle de liste de prix spécifi'!$AB$23),EXACT(A32,'Modèle de liste de prix spécifi'!$AB$24),EXACT(A32,'Modèle de liste de prix spécifi'!$AB$25),EXACT(A32,'Modèle de liste de prix spécifi'!$AB$26),EXACT(A32,'Modèle de liste de prix spécifi'!$AB$27)),"N/A",G32+F32),"")</f>
        <v>N/A</v>
      </c>
      <c r="I32" s="75"/>
      <c r="J32" s="76" t="str">
        <f t="shared" si="0"/>
        <v/>
      </c>
      <c r="K32" s="57"/>
      <c r="L32" s="159" t="str">
        <f t="shared" si="1"/>
        <v>_22</v>
      </c>
    </row>
    <row r="33" spans="1:12" s="26" customFormat="1" ht="27" customHeight="1" x14ac:dyDescent="0.25">
      <c r="A33" s="121" t="s">
        <v>79</v>
      </c>
      <c r="B33" s="42"/>
      <c r="C33" s="29" t="str">
        <f>IFERROR(INDEX('Modèle de liste de prix spécifi'!$A$3:$O$278,MATCH('Option B_Choix du modèle d''ECF'!$B33,'Modèle de liste de prix spécifi'!$E$3:$E$278,0),MATCH('Option B_Choix du modèle d''ECF'!C$2,'Modèle de liste de prix spécifi'!$A$3:$O$3,0)),"")</f>
        <v/>
      </c>
      <c r="D33" s="32" t="str">
        <f>IFERROR(INDEX('Modèle de liste de prix spécifi'!$A$3:$O$278,MATCH('Option B_Choix du modèle d''ECF'!$B33,'Modèle de liste de prix spécifi'!$E$3:$E$278,0),MATCH('Option B_Choix du modèle d''ECF'!D$2,'Modèle de liste de prix spécifi'!$A$3:$O$3,0)),"")</f>
        <v/>
      </c>
      <c r="E33" s="32" t="str">
        <f>IFERROR(INDEX('Modèle de liste de prix spécifi'!$A$3:$O$278,MATCH('Option B_Choix du modèle d''ECF'!$B33,'Modèle de liste de prix spécifi'!$E$3:$E$278,0),MATCH('Option B_Choix du modèle d''ECF'!E$2,'Modèle de liste de prix spécifi'!$A$3:$O$3,0)),"")</f>
        <v/>
      </c>
      <c r="F33" s="204" t="str">
        <f>IFERROR(INDEX('Modèle de liste de prix spécifi'!$A$3:$O$278,MATCH('Option B_Choix du modèle d''ECF'!$B33,'Modèle de liste de prix spécifi'!$E$3:$E$278,0),MATCH('Option B_Choix du modèle d''ECF'!F$2,'Modèle de liste de prix spécifi'!$A$3:$O$3,0)),"")</f>
        <v/>
      </c>
      <c r="G33" s="177"/>
      <c r="H33" s="118" t="str">
        <f>IFERROR(IF(OR(EXACT(A33,'Modèle de liste de prix spécifi'!$AB$14),EXACT(A33,'Modèle de liste de prix spécifi'!$AB$16),EXACT(A33,'Modèle de liste de prix spécifi'!$AB$17),EXACT(A33,'Modèle de liste de prix spécifi'!$AB$18),EXACT(A33,'Modèle de liste de prix spécifi'!$AB$19),EXACT(A33,'Modèle de liste de prix spécifi'!$AB$20),EXACT(A33,'Modèle de liste de prix spécifi'!$AB$21),EXACT(A33,'Modèle de liste de prix spécifi'!$AB$22),EXACT(A33,'Modèle de liste de prix spécifi'!$AB$23),EXACT(A33,'Modèle de liste de prix spécifi'!$AB$24),EXACT(A33,'Modèle de liste de prix spécifi'!$AB$25),EXACT(A33,'Modèle de liste de prix spécifi'!$AB$26),EXACT(A33,'Modèle de liste de prix spécifi'!$AB$27)),"N/A",G33+F33),"")</f>
        <v>N/A</v>
      </c>
      <c r="I33" s="75"/>
      <c r="J33" s="76"/>
      <c r="K33" s="57"/>
      <c r="L33" s="159"/>
    </row>
    <row r="34" spans="1:12" s="26" customFormat="1" ht="27" customHeight="1" x14ac:dyDescent="0.25">
      <c r="A34" s="121" t="s">
        <v>439</v>
      </c>
      <c r="B34" s="42"/>
      <c r="C34" s="29" t="str">
        <f>IFERROR(INDEX('Modèle de liste de prix spécifi'!$A$3:$O$278,MATCH('Option B_Choix du modèle d''ECF'!$B34,'Modèle de liste de prix spécifi'!$E$3:$E$278,0),MATCH('Option B_Choix du modèle d''ECF'!C$2,'Modèle de liste de prix spécifi'!$A$3:$O$3,0)),"")</f>
        <v/>
      </c>
      <c r="D34" s="32" t="str">
        <f>IFERROR(INDEX('Modèle de liste de prix spécifi'!$A$3:$O$278,MATCH('Option B_Choix du modèle d''ECF'!$B34,'Modèle de liste de prix spécifi'!$E$3:$E$278,0),MATCH('Option B_Choix du modèle d''ECF'!D$2,'Modèle de liste de prix spécifi'!$A$3:$O$3,0)),"")</f>
        <v/>
      </c>
      <c r="E34" s="32" t="str">
        <f>IFERROR(INDEX('Modèle de liste de prix spécifi'!$A$3:$O$278,MATCH('Option B_Choix du modèle d''ECF'!$B34,'Modèle de liste de prix spécifi'!$E$3:$E$278,0),MATCH('Option B_Choix du modèle d''ECF'!E$2,'Modèle de liste de prix spécifi'!$A$3:$O$3,0)),"")</f>
        <v/>
      </c>
      <c r="F34" s="204" t="str">
        <f>IFERROR(INDEX('Modèle de liste de prix spécifi'!$A$3:$O$278,MATCH('Option B_Choix du modèle d''ECF'!$B34,'Modèle de liste de prix spécifi'!$E$3:$E$278,0),MATCH('Option B_Choix du modèle d''ECF'!F$2,'Modèle de liste de prix spécifi'!$A$3:$O$3,0)),"")</f>
        <v/>
      </c>
      <c r="G34" s="177"/>
      <c r="H34" s="118" t="str">
        <f>IFERROR(IF(OR(EXACT(A34,'Modèle de liste de prix spécifi'!$AB$14),EXACT(A34,'Modèle de liste de prix spécifi'!$AB$16),EXACT(A34,'Modèle de liste de prix spécifi'!$AB$17),EXACT(A34,'Modèle de liste de prix spécifi'!$AB$18),EXACT(A34,'Modèle de liste de prix spécifi'!$AB$19),EXACT(A34,'Modèle de liste de prix spécifi'!$AB$20),EXACT(A34,'Modèle de liste de prix spécifi'!$AB$21),EXACT(A34,'Modèle de liste de prix spécifi'!$AB$22),EXACT(A34,'Modèle de liste de prix spécifi'!$AB$23),EXACT(A34,'Modèle de liste de prix spécifi'!$AB$24),EXACT(A34,'Modèle de liste de prix spécifi'!$AB$25),EXACT(A34,'Modèle de liste de prix spécifi'!$AB$26),EXACT(A34,'Modèle de liste de prix spécifi'!$AB$27)),"N/A",G34+F34),"")</f>
        <v>N/A</v>
      </c>
      <c r="I34" s="75"/>
      <c r="J34" s="76" t="str">
        <f t="shared" si="0"/>
        <v/>
      </c>
      <c r="K34" s="57"/>
      <c r="L34" s="159" t="str">
        <f t="shared" si="1"/>
        <v>_24</v>
      </c>
    </row>
    <row r="35" spans="1:12" s="26" customFormat="1" ht="15" x14ac:dyDescent="0.25">
      <c r="A35" s="298" t="s">
        <v>80</v>
      </c>
      <c r="B35" s="299"/>
      <c r="C35" s="299"/>
      <c r="D35" s="299"/>
      <c r="E35" s="299"/>
      <c r="F35" s="299"/>
      <c r="G35" s="299"/>
      <c r="H35" s="299"/>
      <c r="I35" s="289">
        <f>SUM(J4:J34)-SUMIF(L4:L34,"_3.",J4:J34)-SUMIF(L4:L34,"_4.",J4:J34)</f>
        <v>0</v>
      </c>
      <c r="J35" s="290"/>
      <c r="K35" s="60"/>
      <c r="L35" s="57"/>
    </row>
    <row r="36" spans="1:12" ht="15" x14ac:dyDescent="0.25">
      <c r="D36"/>
      <c r="E36"/>
      <c r="F36"/>
      <c r="G36"/>
      <c r="H36"/>
      <c r="I36"/>
      <c r="J36"/>
      <c r="K36"/>
      <c r="L36"/>
    </row>
    <row r="37" spans="1:12" s="26" customFormat="1" ht="15" customHeight="1" x14ac:dyDescent="0.25">
      <c r="A37" s="271" t="s">
        <v>441</v>
      </c>
      <c r="B37" s="272"/>
      <c r="C37" s="272"/>
      <c r="D37" s="272"/>
      <c r="E37" s="272"/>
      <c r="F37" s="272"/>
      <c r="G37" s="272"/>
      <c r="H37" s="273"/>
      <c r="I37" s="274">
        <v>1000</v>
      </c>
      <c r="J37" s="275"/>
      <c r="K37" s="60"/>
      <c r="L37" s="57"/>
    </row>
    <row r="38" spans="1:12" s="26" customFormat="1" ht="15" customHeight="1" x14ac:dyDescent="0.25">
      <c r="A38" s="271" t="s">
        <v>442</v>
      </c>
      <c r="B38" s="272"/>
      <c r="C38" s="272"/>
      <c r="D38" s="272"/>
      <c r="E38" s="272"/>
      <c r="F38" s="272"/>
      <c r="G38" s="272"/>
      <c r="H38" s="273"/>
      <c r="I38" s="274">
        <v>150</v>
      </c>
      <c r="J38" s="275"/>
      <c r="K38" s="60"/>
      <c r="L38" s="57"/>
    </row>
    <row r="39" spans="1:12" s="26" customFormat="1" ht="15" customHeight="1" x14ac:dyDescent="0.25">
      <c r="A39" s="271" t="s">
        <v>443</v>
      </c>
      <c r="B39" s="272"/>
      <c r="C39" s="272"/>
      <c r="D39" s="272"/>
      <c r="E39" s="272"/>
      <c r="F39" s="272"/>
      <c r="G39" s="272"/>
      <c r="H39" s="273"/>
      <c r="I39" s="274">
        <v>150</v>
      </c>
      <c r="J39" s="275"/>
      <c r="K39" s="60"/>
      <c r="L39" s="57"/>
    </row>
    <row r="40" spans="1:12" s="26" customFormat="1" ht="15" customHeight="1" x14ac:dyDescent="0.25">
      <c r="A40" s="271" t="s">
        <v>444</v>
      </c>
      <c r="B40" s="272"/>
      <c r="C40" s="272"/>
      <c r="D40" s="272"/>
      <c r="E40" s="272"/>
      <c r="F40" s="272"/>
      <c r="G40" s="272"/>
      <c r="H40" s="273"/>
      <c r="I40" s="274">
        <v>150</v>
      </c>
      <c r="J40" s="275"/>
      <c r="K40" s="60"/>
      <c r="L40" s="57"/>
    </row>
    <row r="41" spans="1:12" s="26" customFormat="1" ht="15" customHeight="1" x14ac:dyDescent="0.25">
      <c r="A41" s="271" t="s">
        <v>445</v>
      </c>
      <c r="B41" s="272"/>
      <c r="C41" s="272"/>
      <c r="D41" s="272"/>
      <c r="E41" s="272"/>
      <c r="F41" s="272"/>
      <c r="G41" s="272"/>
      <c r="H41" s="273"/>
      <c r="I41" s="274">
        <v>2</v>
      </c>
      <c r="J41" s="275"/>
      <c r="K41" s="60"/>
      <c r="L41" s="57"/>
    </row>
    <row r="42" spans="1:12" s="26" customFormat="1" ht="15" customHeight="1" x14ac:dyDescent="0.25">
      <c r="A42" s="271" t="s">
        <v>446</v>
      </c>
      <c r="B42" s="272"/>
      <c r="C42" s="272"/>
      <c r="D42" s="272"/>
      <c r="E42" s="272"/>
      <c r="F42" s="272"/>
      <c r="G42" s="272"/>
      <c r="H42" s="273"/>
      <c r="I42" s="274">
        <v>10</v>
      </c>
      <c r="J42" s="275"/>
      <c r="K42" s="60"/>
      <c r="L42" s="57"/>
    </row>
    <row r="43" spans="1:12" s="26" customFormat="1" ht="15" customHeight="1" x14ac:dyDescent="0.25">
      <c r="A43" s="271" t="s">
        <v>447</v>
      </c>
      <c r="B43" s="272"/>
      <c r="C43" s="272"/>
      <c r="D43" s="272"/>
      <c r="E43" s="272"/>
      <c r="F43" s="272"/>
      <c r="G43" s="272"/>
      <c r="H43" s="273"/>
      <c r="I43" s="274">
        <v>60</v>
      </c>
      <c r="J43" s="275"/>
      <c r="K43" s="60"/>
      <c r="L43" s="57"/>
    </row>
    <row r="44" spans="1:12" s="26" customFormat="1" ht="15" customHeight="1" x14ac:dyDescent="0.25">
      <c r="A44" s="271" t="s">
        <v>448</v>
      </c>
      <c r="B44" s="272"/>
      <c r="C44" s="272"/>
      <c r="D44" s="272"/>
      <c r="E44" s="272"/>
      <c r="F44" s="272"/>
      <c r="G44" s="272"/>
      <c r="H44" s="273"/>
      <c r="I44" s="276">
        <v>0.1</v>
      </c>
      <c r="J44" s="277"/>
      <c r="K44" s="60"/>
      <c r="L44" s="57"/>
    </row>
    <row r="45" spans="1:12" ht="15" customHeight="1" x14ac:dyDescent="0.25">
      <c r="A45" s="309" t="s">
        <v>81</v>
      </c>
      <c r="B45" s="310"/>
      <c r="C45" s="310"/>
      <c r="D45" s="310"/>
      <c r="E45" s="310"/>
      <c r="F45" s="310"/>
      <c r="G45" s="310"/>
      <c r="H45" s="311"/>
      <c r="I45" s="296">
        <f>(I37*SUM(I$4:I$6))+(I38*SUM($I$9:$I$19))+(I39*I20)+(I40*SUM($I$21:$I$22))+(I41*SUM($I$23:$I$24))+(I42*SUM($I$25:$I$26))+(I43*$I$27)+(I44*$I$28)</f>
        <v>0</v>
      </c>
      <c r="J45" s="297"/>
    </row>
    <row r="46" spans="1:12" s="60" customFormat="1" ht="15" x14ac:dyDescent="0.25">
      <c r="D46" s="58"/>
      <c r="E46" s="58"/>
      <c r="F46" s="58"/>
      <c r="G46" s="58"/>
      <c r="H46" s="58"/>
      <c r="I46" s="58"/>
      <c r="J46" s="58"/>
    </row>
    <row r="47" spans="1:12" s="26" customFormat="1" ht="15" customHeight="1" x14ac:dyDescent="0.25">
      <c r="A47" s="291" t="s">
        <v>82</v>
      </c>
      <c r="B47" s="292"/>
      <c r="C47" s="292"/>
      <c r="D47" s="292"/>
      <c r="E47" s="292"/>
      <c r="F47" s="292"/>
      <c r="G47" s="292"/>
      <c r="H47" s="292"/>
      <c r="I47" s="289">
        <f>I35*1.06+I45</f>
        <v>0</v>
      </c>
      <c r="J47" s="290"/>
      <c r="K47" s="60"/>
      <c r="L47" s="57"/>
    </row>
    <row r="48" spans="1:12" ht="15" x14ac:dyDescent="0.25"/>
    <row r="49" spans="1:12" ht="15" customHeight="1" x14ac:dyDescent="0.25">
      <c r="A49" s="283" t="s">
        <v>83</v>
      </c>
      <c r="B49" s="284"/>
      <c r="C49" s="284"/>
      <c r="D49" s="284"/>
      <c r="E49" s="284"/>
      <c r="F49" s="284"/>
      <c r="G49" s="284"/>
      <c r="H49" s="285"/>
      <c r="I49" s="307"/>
      <c r="J49" s="308"/>
    </row>
    <row r="50" spans="1:12" ht="15" customHeight="1" x14ac:dyDescent="0.25">
      <c r="A50" s="286" t="s">
        <v>84</v>
      </c>
      <c r="B50" s="287"/>
      <c r="C50" s="287"/>
      <c r="D50" s="287"/>
      <c r="E50" s="287"/>
      <c r="F50" s="287"/>
      <c r="G50" s="287"/>
      <c r="H50" s="288"/>
      <c r="I50" s="296">
        <f>I35*I$49</f>
        <v>0</v>
      </c>
      <c r="J50" s="297"/>
    </row>
    <row r="51" spans="1:12" ht="15" x14ac:dyDescent="0.25">
      <c r="D51"/>
      <c r="E51"/>
      <c r="F51"/>
      <c r="G51"/>
      <c r="H51"/>
      <c r="I51"/>
      <c r="J51"/>
      <c r="K51"/>
      <c r="L51"/>
    </row>
    <row r="52" spans="1:12" ht="15.75" customHeight="1" x14ac:dyDescent="0.25">
      <c r="A52" s="302" t="s">
        <v>85</v>
      </c>
      <c r="B52" s="303"/>
      <c r="C52" s="303"/>
      <c r="D52" s="303"/>
      <c r="E52" s="303"/>
      <c r="F52" s="303"/>
      <c r="G52" s="303"/>
      <c r="H52" s="303"/>
      <c r="I52" s="312">
        <f>SUMIF(L4:L34,"_3.",J4:J34)+SUMIF(L4:L34,"_4.",J4:J34)</f>
        <v>0</v>
      </c>
      <c r="J52" s="313"/>
    </row>
    <row r="53" spans="1:12" ht="15" x14ac:dyDescent="0.25">
      <c r="A53" s="304" t="s">
        <v>86</v>
      </c>
      <c r="B53" s="304"/>
      <c r="C53" s="304"/>
      <c r="D53" s="304"/>
      <c r="E53" s="304"/>
      <c r="F53" s="304"/>
      <c r="G53" s="304"/>
      <c r="H53" s="304"/>
      <c r="I53" s="307"/>
      <c r="J53" s="308"/>
    </row>
    <row r="54" spans="1:12" ht="15" x14ac:dyDescent="0.25">
      <c r="A54" s="293" t="s">
        <v>87</v>
      </c>
      <c r="B54" s="294"/>
      <c r="C54" s="294"/>
      <c r="D54" s="294"/>
      <c r="E54" s="294"/>
      <c r="F54" s="294"/>
      <c r="G54" s="294"/>
      <c r="H54" s="295"/>
      <c r="I54" s="296">
        <f>I52*I53</f>
        <v>0</v>
      </c>
      <c r="J54" s="297"/>
    </row>
    <row r="55" spans="1:12" ht="27" customHeight="1" thickBot="1" x14ac:dyDescent="0.3">
      <c r="D55"/>
      <c r="E55"/>
      <c r="F55"/>
      <c r="G55"/>
      <c r="H55"/>
      <c r="I55"/>
      <c r="J55"/>
    </row>
    <row r="56" spans="1:12" ht="27" customHeight="1" thickBot="1" x14ac:dyDescent="0.3">
      <c r="A56" s="278" t="s">
        <v>88</v>
      </c>
      <c r="B56" s="279"/>
      <c r="C56" s="279"/>
      <c r="D56" s="279"/>
      <c r="E56" s="279"/>
      <c r="F56" s="279"/>
      <c r="G56" s="279"/>
      <c r="H56" s="280"/>
      <c r="I56" s="281">
        <f>I47+I50++I52+I54</f>
        <v>0</v>
      </c>
      <c r="J56" s="282"/>
    </row>
  </sheetData>
  <sheetProtection algorithmName="SHA-512" hashValue="jhaDNbdNnBWLC9MlIWt00uWEnpj/hxm++u4Gy0cebk3gX31hSaciuuK27GPGLNzskS75LnlREWP+Ro3IxDpNPw==" saltValue="ownmDqjfknkNWwF/NH0Whg==" spinCount="100000" sheet="1" sort="0" autoFilter="0" pivotTables="0"/>
  <dataConsolidate link="1"/>
  <mergeCells count="35">
    <mergeCell ref="A53:H53"/>
    <mergeCell ref="I53:J53"/>
    <mergeCell ref="I54:J54"/>
    <mergeCell ref="A56:H56"/>
    <mergeCell ref="I56:J56"/>
    <mergeCell ref="A54:H54"/>
    <mergeCell ref="A52:H52"/>
    <mergeCell ref="I52:J52"/>
    <mergeCell ref="A47:H47"/>
    <mergeCell ref="I47:J47"/>
    <mergeCell ref="A49:H49"/>
    <mergeCell ref="I49:J49"/>
    <mergeCell ref="A50:H50"/>
    <mergeCell ref="I50:J50"/>
    <mergeCell ref="A45:H45"/>
    <mergeCell ref="I45:J45"/>
    <mergeCell ref="I1:J1"/>
    <mergeCell ref="A35:H35"/>
    <mergeCell ref="I35:J35"/>
    <mergeCell ref="A37:H37"/>
    <mergeCell ref="I37:J37"/>
    <mergeCell ref="A38:H38"/>
    <mergeCell ref="I38:J38"/>
    <mergeCell ref="A39:H39"/>
    <mergeCell ref="I39:J39"/>
    <mergeCell ref="A40:H40"/>
    <mergeCell ref="I40:J40"/>
    <mergeCell ref="A41:H41"/>
    <mergeCell ref="I41:J41"/>
    <mergeCell ref="A42:H42"/>
    <mergeCell ref="I42:J42"/>
    <mergeCell ref="A43:H43"/>
    <mergeCell ref="I43:J43"/>
    <mergeCell ref="A44:H44"/>
    <mergeCell ref="I44:J44"/>
  </mergeCells>
  <conditionalFormatting sqref="C5:F34 H5:H34">
    <cfRule type="cellIs" dxfId="168" priority="192" operator="equal">
      <formula>"N/A"</formula>
    </cfRule>
  </conditionalFormatting>
  <conditionalFormatting sqref="C4:F4 H4">
    <cfRule type="cellIs" dxfId="167" priority="1" operator="equal">
      <formula>"N/A"</formula>
    </cfRule>
  </conditionalFormatting>
  <dataValidations count="3">
    <dataValidation type="list" allowBlank="1" showInputMessage="1" showErrorMessage="1" sqref="B4:B34" xr:uid="{00000000-0002-0000-0300-000000000000}">
      <formula1>INDIRECT(SUBSTITUTE(A4," ",""))</formula1>
    </dataValidation>
    <dataValidation type="list" allowBlank="1" showInputMessage="1" showErrorMessage="1" sqref="A4:A34" xr:uid="{2726D869-E3E1-479D-AD78-01B9CFE7E154}">
      <formula1>typeofequipment</formula1>
    </dataValidation>
    <dataValidation type="whole" allowBlank="1" showInputMessage="1" showErrorMessage="1" error="Amount to be inserted for service bundle should be between:_x000a_$11,000-$38,000 for WICR/WIFR_x000a_$650-$2150 for Off-Grid CCE with ground mounted panels_x000a_$1300- $4000 for Off-Grid CCE with pole mounted panels_x000a_$200-$400 for RTMDs" prompt="Amount to be inserted for service bundle should be between:_x000a_$11,000-$38,000 for WICR/WIFR_x000a_$650-$2150 (ground mount) and $1300- $4000 (pole mount) for Off-Grid CCE _x000a_$200-$400 for RTMDs_x000a_$400-$1,350 for on-grid devices" sqref="G4:G34" xr:uid="{338F545D-02D4-4F5C-BAB5-B004F6D1C208}">
      <formula1>200</formula1>
      <formula2>38000</formula2>
    </dataValidation>
  </dataValidations>
  <pageMargins left="0.7" right="0.7" top="0.75" bottom="0.75" header="0.3" footer="0.3"/>
  <pageSetup scale="36" fitToHeight="0" orientation="landscape" r:id="rId1"/>
  <ignoredErrors>
    <ignoredError sqref="L34 L4:L32" unlockedFormula="1"/>
  </ignoredErrors>
  <extLst>
    <ext xmlns:x14="http://schemas.microsoft.com/office/spreadsheetml/2009/9/main" uri="{78C0D931-6437-407d-A8EE-F0AAD7539E65}">
      <x14:conditionalFormattings>
        <x14:conditionalFormatting xmlns:xm="http://schemas.microsoft.com/office/excel/2006/main">
          <x14:cfRule type="expression" priority="5097" id="{FA6D11E4-B847-4489-B950-DB941CCC2729}">
            <xm:f>OR(A1='Specified CCE Model Price List'!#REF!,A1='Specified CCE Model Price List'!#REF!,A1='Specified CCE Model Price List'!#REF!,A1='Specified CCE Model Price List'!#REF!,A1='Specified CCE Model Price List'!#REF!)</xm:f>
            <x14:dxf>
              <font>
                <color theme="1"/>
              </font>
              <fill>
                <patternFill>
                  <bgColor theme="1" tint="0.499984740745262"/>
                </patternFill>
              </fill>
            </x14:dxf>
          </x14:cfRule>
          <xm:sqref>G1:G3</xm:sqref>
        </x14:conditionalFormatting>
        <x14:conditionalFormatting xmlns:xm="http://schemas.microsoft.com/office/excel/2006/main">
          <x14:cfRule type="cellIs" priority="5098" operator="equal" id="{6E22A14A-367C-4D9B-92BA-1A0FA5F350E4}">
            <xm:f>'Specified CCE Model Price List'!#REF!</xm:f>
            <x14:dxf>
              <fill>
                <patternFill>
                  <bgColor rgb="FFFFFF00"/>
                </patternFill>
              </fill>
            </x14:dxf>
          </x14:cfRule>
          <x14:cfRule type="cellIs" priority="5099" operator="equal" id="{5684F7B7-36A1-48FB-8C62-A0EB34B9C116}">
            <xm:f>'Specified CCE Model Price List'!#REF!</xm:f>
            <x14:dxf>
              <font>
                <color theme="0"/>
              </font>
              <fill>
                <patternFill>
                  <bgColor rgb="FF7030A0"/>
                </patternFill>
              </fill>
            </x14:dxf>
          </x14:cfRule>
          <x14:cfRule type="cellIs" priority="5100" operator="equal" id="{572D1C65-53C7-4704-9762-9421A61B4193}">
            <xm:f>'Specified CCE Model Price List'!#REF!</xm:f>
            <x14:dxf>
              <font>
                <color theme="0"/>
              </font>
              <fill>
                <patternFill>
                  <bgColor theme="9" tint="-0.24994659260841701"/>
                </patternFill>
              </fill>
            </x14:dxf>
          </x14:cfRule>
          <x14:cfRule type="cellIs" priority="5101" operator="equal" id="{F70C5108-E1D6-427D-AE91-5F57ADB2472E}">
            <xm:f>'Specified CCE Model Price List'!#REF!</xm:f>
            <x14:dxf>
              <font>
                <color theme="0"/>
              </font>
              <fill>
                <patternFill>
                  <bgColor theme="4" tint="-0.24994659260841701"/>
                </patternFill>
              </fill>
            </x14:dxf>
          </x14:cfRule>
          <x14:cfRule type="cellIs" priority="5102" operator="equal" id="{96AEE87A-8989-4A2A-B36C-63C4278936F3}">
            <xm:f>'Specified CCE Model Price List'!#REF!</xm:f>
            <x14:dxf>
              <fill>
                <patternFill>
                  <bgColor rgb="FFFF99FF"/>
                </patternFill>
              </fill>
            </x14:dxf>
          </x14:cfRule>
          <x14:cfRule type="cellIs" priority="5103" operator="equal" id="{5A3A7EF2-A497-4E46-8E3F-1202B293F6EF}">
            <xm:f>'Specified CCE Model Price List'!#REF!</xm:f>
            <x14:dxf>
              <font>
                <color theme="0"/>
              </font>
              <fill>
                <patternFill>
                  <bgColor rgb="FF9900CC"/>
                </patternFill>
              </fill>
            </x14:dxf>
          </x14:cfRule>
          <x14:cfRule type="cellIs" priority="5104" operator="equal" id="{FFFDDF1F-97F8-433E-B6B6-E82944B81296}">
            <xm:f>'Specified CCE Model Price List'!#REF!</xm:f>
            <x14:dxf>
              <fill>
                <patternFill>
                  <bgColor rgb="FFFFC000"/>
                </patternFill>
              </fill>
            </x14:dxf>
          </x14:cfRule>
          <x14:cfRule type="cellIs" priority="5105" operator="equal" id="{F8D5B7F4-AD25-45F3-9D98-9E439EC98E46}">
            <xm:f>'Specified CCE Model Price List'!#REF!</xm:f>
            <x14:dxf>
              <font>
                <color theme="1"/>
              </font>
              <fill>
                <patternFill>
                  <bgColor rgb="FFCCCCFF"/>
                </patternFill>
              </fill>
            </x14:dxf>
          </x14:cfRule>
          <x14:cfRule type="cellIs" priority="5106" operator="equal" id="{12AC7C8D-7727-4265-AE96-3A0A1123F37B}">
            <xm:f>'Specified CCE Model Price List'!#REF!</xm:f>
            <x14:dxf>
              <font>
                <color theme="1"/>
              </font>
              <fill>
                <patternFill>
                  <bgColor rgb="FFCCCCFF"/>
                </patternFill>
              </fill>
            </x14:dxf>
          </x14:cfRule>
          <x14:cfRule type="cellIs" priority="5107" operator="equal" id="{B578BF7F-B7CF-4120-83E4-FCF2E46882F7}">
            <xm:f>'Specified CCE Model Price List'!#REF!</xm:f>
            <x14:dxf>
              <font>
                <color theme="1"/>
              </font>
              <fill>
                <patternFill>
                  <bgColor theme="5" tint="0.59996337778862885"/>
                </patternFill>
              </fill>
            </x14:dxf>
          </x14:cfRule>
          <x14:cfRule type="cellIs" priority="5108" operator="equal" id="{26E013DB-B670-4EED-A55A-0E82B179D98B}">
            <xm:f>'Specified CCE Model Price List'!#REF!</xm:f>
            <x14:dxf>
              <font>
                <color theme="1"/>
              </font>
              <fill>
                <patternFill>
                  <bgColor theme="5" tint="0.79998168889431442"/>
                </patternFill>
              </fill>
            </x14:dxf>
          </x14:cfRule>
          <x14:cfRule type="cellIs" priority="5109" operator="equal" id="{91D76269-430D-43D8-84C8-12B9A87F003F}">
            <xm:f>'Specified CCE Model Price List'!#REF!</xm:f>
            <x14:dxf>
              <font>
                <color theme="1"/>
              </font>
              <fill>
                <patternFill>
                  <bgColor theme="9" tint="0.59996337778862885"/>
                </patternFill>
              </fill>
            </x14:dxf>
          </x14:cfRule>
          <x14:cfRule type="cellIs" priority="5110" operator="equal" id="{C8F82125-3164-443F-90CF-7EA754C01AB2}">
            <xm:f>'Specified CCE Model Price List'!#REF!</xm:f>
            <x14:dxf>
              <font>
                <color theme="1"/>
              </font>
              <fill>
                <patternFill>
                  <bgColor theme="9" tint="0.79998168889431442"/>
                </patternFill>
              </fill>
            </x14:dxf>
          </x14:cfRule>
          <x14:cfRule type="cellIs" priority="5111" operator="equal" id="{57EEC484-E9B9-4FEB-8120-1C75DC4AFCB7}">
            <xm:f>'Specified CCE Model Price List'!#REF!</xm:f>
            <x14:dxf>
              <font>
                <color theme="0"/>
              </font>
              <fill>
                <patternFill>
                  <bgColor theme="1" tint="0.24994659260841701"/>
                </patternFill>
              </fill>
            </x14:dxf>
          </x14:cfRule>
          <x14:cfRule type="cellIs" priority="5112" operator="equal" id="{C2EDA7F8-5539-42DD-8C18-2DDF0AC80F3E}">
            <xm:f>'Specified CCE Model Price List'!#REF!</xm:f>
            <x14:dxf>
              <font>
                <color theme="0"/>
              </font>
              <fill>
                <patternFill>
                  <bgColor theme="0" tint="-0.499984740745262"/>
                </patternFill>
              </fill>
            </x14:dxf>
          </x14:cfRule>
          <x14:cfRule type="cellIs" priority="5113" operator="equal" id="{FBF2D7F8-D613-4CF0-9AF6-DA8C02224C93}">
            <xm:f>'Specified CCE Model Price List'!#REF!</xm:f>
            <x14:dxf>
              <font>
                <color theme="1"/>
              </font>
              <fill>
                <patternFill>
                  <bgColor theme="0" tint="-0.14996795556505021"/>
                </patternFill>
              </fill>
            </x14:dxf>
          </x14:cfRule>
          <x14:cfRule type="cellIs" priority="5114" operator="equal" id="{0D0E0FE9-B4D0-4075-9F89-C2E1A22D9240}">
            <xm:f>'Specified CCE Model Price List'!#REF!</xm:f>
            <x14:dxf>
              <font>
                <color theme="1"/>
              </font>
              <fill>
                <patternFill>
                  <bgColor theme="7" tint="0.79998168889431442"/>
                </patternFill>
              </fill>
            </x14:dxf>
          </x14:cfRule>
          <x14:cfRule type="cellIs" priority="5115" operator="equal" id="{98A79FEB-FB31-4055-9D56-D15383EF0728}">
            <xm:f>'Specified CCE Model Price List'!#REF!</xm:f>
            <x14:dxf>
              <font>
                <color theme="0"/>
              </font>
              <fill>
                <patternFill>
                  <bgColor theme="4" tint="-0.24994659260841701"/>
                </patternFill>
              </fill>
            </x14:dxf>
          </x14:cfRule>
          <x14:cfRule type="cellIs" priority="5116" operator="equal" id="{7CB003B6-ABE2-4E39-B38C-57DF4238E5F9}">
            <xm:f>'Specified CCE Model Price List'!#REF!</xm:f>
            <x14:dxf>
              <font>
                <color theme="1"/>
              </font>
              <fill>
                <patternFill>
                  <bgColor theme="4" tint="0.39994506668294322"/>
                </patternFill>
              </fill>
            </x14:dxf>
          </x14:cfRule>
          <x14:cfRule type="cellIs" priority="5117" operator="equal" id="{28927EF7-2B55-4DBF-B738-A6A8B92751BE}">
            <xm:f>'Specified CCE Model Price List'!#REF!</xm:f>
            <x14:dxf>
              <font>
                <color theme="1"/>
              </font>
              <fill>
                <patternFill>
                  <bgColor theme="4" tint="0.79998168889431442"/>
                </patternFill>
              </fill>
            </x14:dxf>
          </x14:cfRule>
          <xm:sqref>A1:A3</xm:sqref>
        </x14:conditionalFormatting>
        <x14:conditionalFormatting xmlns:xm="http://schemas.microsoft.com/office/excel/2006/main">
          <x14:cfRule type="cellIs" priority="2" operator="equal" id="{BBB70D9A-78B1-4E46-A735-D2FD0EAA4ABA}">
            <xm:f>'Specified CCE Model Price List'!#REF!</xm:f>
            <x14:dxf>
              <fill>
                <patternFill>
                  <bgColor theme="5" tint="0.79998168889431442"/>
                </patternFill>
              </fill>
            </x14:dxf>
          </x14:cfRule>
          <x14:cfRule type="cellIs" priority="3" operator="equal" id="{3B0D26A7-A7AF-42E2-BE71-755DA6C491FB}">
            <xm:f>'Specified CCE Model Price List'!#REF!</xm:f>
            <x14:dxf>
              <fill>
                <patternFill>
                  <bgColor theme="4" tint="0.79998168889431442"/>
                </patternFill>
              </fill>
            </x14:dxf>
          </x14:cfRule>
          <x14:cfRule type="cellIs" priority="4" operator="equal" id="{5739F03E-8998-48E9-8961-3226FB997EBB}">
            <xm:f>'Specified CCE Model Price List'!#REF!</xm:f>
            <x14:dxf>
              <fill>
                <patternFill>
                  <bgColor theme="3" tint="0.59996337778862885"/>
                </patternFill>
              </fill>
            </x14:dxf>
          </x14:cfRule>
          <x14:cfRule type="cellIs" priority="5" operator="equal" id="{CF06B5A8-80F0-4142-8E93-8DCEF31DD405}">
            <xm:f>'Specified CCE Model Price List'!#REF!</xm:f>
            <x14:dxf>
              <font>
                <color theme="0"/>
              </font>
              <fill>
                <patternFill>
                  <bgColor theme="5" tint="-0.24994659260841701"/>
                </patternFill>
              </fill>
            </x14:dxf>
          </x14:cfRule>
          <xm:sqref>A34</xm:sqref>
        </x14:conditionalFormatting>
        <x14:conditionalFormatting xmlns:xm="http://schemas.microsoft.com/office/excel/2006/main">
          <x14:cfRule type="cellIs" priority="6" operator="equal" id="{67D202BD-9384-434D-BD47-80DC2F1A5034}">
            <xm:f>'Specified CCE Model Price List'!#REF!</xm:f>
            <x14:dxf>
              <font>
                <color theme="1"/>
              </font>
              <fill>
                <patternFill>
                  <bgColor theme="7" tint="0.79998168889431442"/>
                </patternFill>
              </fill>
            </x14:dxf>
          </x14:cfRule>
          <x14:cfRule type="cellIs" priority="7" operator="equal" id="{C75B198A-7A65-427E-BDE2-30081569BA86}">
            <xm:f>'Specified CCE Model Price List'!#REF!</xm:f>
            <x14:dxf>
              <font>
                <color theme="1"/>
              </font>
              <fill>
                <patternFill>
                  <bgColor rgb="FFCCCCFF"/>
                </patternFill>
              </fill>
            </x14:dxf>
          </x14:cfRule>
          <x14:cfRule type="cellIs" priority="8" operator="equal" id="{81D7A992-C91D-48C4-B8E5-99421BE00158}">
            <xm:f>'Specified CCE Model Price List'!#REF!</xm:f>
            <x14:dxf>
              <fill>
                <patternFill>
                  <bgColor rgb="FFFFC000"/>
                </patternFill>
              </fill>
            </x14:dxf>
          </x14:cfRule>
          <x14:cfRule type="cellIs" priority="9" operator="equal" id="{FA68542C-194E-43A8-8B25-34C7D16CFD6C}">
            <xm:f>'Specified CCE Model Price List'!#REF!</xm:f>
            <x14:dxf>
              <fill>
                <patternFill>
                  <bgColor rgb="FFFFFF00"/>
                </patternFill>
              </fill>
            </x14:dxf>
          </x14:cfRule>
          <x14:cfRule type="cellIs" priority="10" operator="equal" id="{BFFC5D17-82A4-4EA7-A1CC-CAC4BA4BBA58}">
            <xm:f>'Specified CCE Model Price List'!#REF!</xm:f>
            <x14:dxf>
              <font>
                <color theme="0"/>
              </font>
              <fill>
                <patternFill>
                  <bgColor rgb="FF9900CC"/>
                </patternFill>
              </fill>
            </x14:dxf>
          </x14:cfRule>
          <x14:cfRule type="cellIs" priority="11" operator="equal" id="{3DAAD723-E1E4-4575-9523-6C0CB29CD640}">
            <xm:f>'Specified CCE Model Price List'!#REF!</xm:f>
            <x14:dxf>
              <fill>
                <patternFill>
                  <bgColor rgb="FFFF99FF"/>
                </patternFill>
              </fill>
            </x14:dxf>
          </x14:cfRule>
          <x14:cfRule type="cellIs" priority="12" operator="equal" id="{5EFC2AAE-2F09-47F2-858C-87798503FC9B}">
            <xm:f>'Specified CCE Model Price List'!#REF!</xm:f>
            <x14:dxf>
              <font>
                <color theme="0"/>
              </font>
              <fill>
                <patternFill>
                  <bgColor theme="4" tint="-0.24994659260841701"/>
                </patternFill>
              </fill>
            </x14:dxf>
          </x14:cfRule>
          <x14:cfRule type="cellIs" priority="13" operator="equal" id="{6FCF1491-D56A-46E0-86DD-CD955CCF9043}">
            <xm:f>'Specified CCE Model Price List'!#REF!</xm:f>
            <x14:dxf>
              <font>
                <color theme="0"/>
              </font>
              <fill>
                <patternFill>
                  <bgColor theme="9" tint="-0.24994659260841701"/>
                </patternFill>
              </fill>
            </x14:dxf>
          </x14:cfRule>
          <x14:cfRule type="cellIs" priority="14" operator="equal" id="{CE5942AD-6F3E-45A8-98E5-4F148355716A}">
            <xm:f>'Specified CCE Model Price List'!#REF!</xm:f>
            <x14:dxf>
              <font>
                <color theme="0"/>
              </font>
              <fill>
                <patternFill>
                  <bgColor rgb="FF7030A0"/>
                </patternFill>
              </fill>
            </x14:dxf>
          </x14:cfRule>
          <x14:cfRule type="cellIs" priority="15" operator="equal" id="{93E2FF8C-04A3-4757-8200-64C33CB54148}">
            <xm:f>'Specified CCE Model Price List'!#REF!</xm:f>
            <x14:dxf>
              <font>
                <color theme="1"/>
              </font>
              <fill>
                <patternFill>
                  <bgColor theme="4" tint="0.79998168889431442"/>
                </patternFill>
              </fill>
            </x14:dxf>
          </x14:cfRule>
          <x14:cfRule type="cellIs" priority="16" operator="equal" id="{B047A055-619B-4C62-8DF4-BC2AA2B70B58}">
            <xm:f>'Specified CCE Model Price List'!#REF!</xm:f>
            <x14:dxf>
              <font>
                <color theme="1"/>
              </font>
              <fill>
                <patternFill>
                  <bgColor theme="4" tint="0.39994506668294322"/>
                </patternFill>
              </fill>
            </x14:dxf>
          </x14:cfRule>
          <x14:cfRule type="cellIs" priority="17" operator="equal" id="{06D5F572-36B3-41C6-892D-62B1E9BCE754}">
            <xm:f>'Specified CCE Model Price List'!#REF!</xm:f>
            <x14:dxf>
              <font>
                <color theme="0"/>
              </font>
              <fill>
                <patternFill>
                  <bgColor theme="4" tint="-0.24994659260841701"/>
                </patternFill>
              </fill>
            </x14:dxf>
          </x14:cfRule>
          <x14:cfRule type="cellIs" priority="18" operator="equal" id="{159DDD4C-20C3-4AB6-A243-3A5632A0DD5C}">
            <xm:f>'Specified CCE Model Price List'!#REF!</xm:f>
            <x14:dxf>
              <font>
                <color theme="1"/>
              </font>
              <fill>
                <patternFill>
                  <bgColor theme="0" tint="-0.14996795556505021"/>
                </patternFill>
              </fill>
            </x14:dxf>
          </x14:cfRule>
          <x14:cfRule type="cellIs" priority="19" operator="equal" id="{E637138A-5AB6-45F6-B4DE-491FD8945344}">
            <xm:f>'Specified CCE Model Price List'!#REF!</xm:f>
            <x14:dxf>
              <font>
                <color theme="0"/>
              </font>
              <fill>
                <patternFill>
                  <bgColor theme="0" tint="-0.499984740745262"/>
                </patternFill>
              </fill>
            </x14:dxf>
          </x14:cfRule>
          <x14:cfRule type="cellIs" priority="20" operator="equal" id="{579C5737-47CE-438E-89D8-0C5CEE9615D6}">
            <xm:f>'Specified CCE Model Price List'!#REF!</xm:f>
            <x14:dxf>
              <font>
                <color theme="0"/>
              </font>
              <fill>
                <patternFill>
                  <bgColor theme="1" tint="0.24994659260841701"/>
                </patternFill>
              </fill>
            </x14:dxf>
          </x14:cfRule>
          <x14:cfRule type="cellIs" priority="21" operator="equal" id="{4B385441-C657-4201-B063-8B916F74EC65}">
            <xm:f>'Specified CCE Model Price List'!#REF!</xm:f>
            <x14:dxf>
              <font>
                <color theme="1"/>
              </font>
              <fill>
                <patternFill>
                  <bgColor theme="9" tint="0.79998168889431442"/>
                </patternFill>
              </fill>
            </x14:dxf>
          </x14:cfRule>
          <x14:cfRule type="cellIs" priority="22" operator="equal" id="{68DD1178-70C3-4FD0-977F-F3F39719D203}">
            <xm:f>'Specified CCE Model Price List'!#REF!</xm:f>
            <x14:dxf>
              <font>
                <color theme="1"/>
              </font>
              <fill>
                <patternFill>
                  <bgColor theme="9" tint="0.59996337778862885"/>
                </patternFill>
              </fill>
            </x14:dxf>
          </x14:cfRule>
          <x14:cfRule type="cellIs" priority="23" operator="equal" id="{225072B5-FB7D-4A8A-B7E6-A04FF8CF7E0C}">
            <xm:f>'Specified CCE Model Price List'!#REF!</xm:f>
            <x14:dxf>
              <font>
                <color theme="1"/>
              </font>
              <fill>
                <patternFill>
                  <bgColor theme="5" tint="0.79998168889431442"/>
                </patternFill>
              </fill>
            </x14:dxf>
          </x14:cfRule>
          <x14:cfRule type="cellIs" priority="24" operator="equal" id="{294C390E-7EF7-4639-AFAA-D85C3675A9DE}">
            <xm:f>'Specified CCE Model Price List'!#REF!</xm:f>
            <x14:dxf>
              <font>
                <color theme="1"/>
              </font>
              <fill>
                <patternFill>
                  <bgColor theme="5" tint="0.59996337778862885"/>
                </patternFill>
              </fill>
            </x14:dxf>
          </x14:cfRule>
          <x14:cfRule type="cellIs" priority="25" operator="equal" id="{F620F31C-EE9B-4A3A-9203-2C9AE4053E6F}">
            <xm:f>'Specified CCE Model Price List'!#REF!</xm:f>
            <x14:dxf>
              <font>
                <color theme="1"/>
              </font>
              <fill>
                <patternFill>
                  <bgColor rgb="FF9999FF"/>
                </patternFill>
              </fill>
            </x14:dxf>
          </x14:cfRule>
          <xm:sqref>A34</xm:sqref>
        </x14:conditionalFormatting>
        <x14:conditionalFormatting xmlns:xm="http://schemas.microsoft.com/office/excel/2006/main">
          <x14:cfRule type="cellIs" priority="26" operator="equal" id="{54513CE8-AF5C-4D3C-B1C3-C45B473C7245}">
            <xm:f>'Modèle de liste de prix spécifi'!$AB$4</xm:f>
            <x14:dxf>
              <fill>
                <patternFill>
                  <bgColor theme="5" tint="0.79998168889431442"/>
                </patternFill>
              </fill>
            </x14:dxf>
          </x14:cfRule>
          <x14:cfRule type="cellIs" priority="27" operator="equal" id="{46EAC0C8-A1A2-4561-8A3D-6AD6DC60C2EC}">
            <xm:f>'Modèle de liste de prix spécifi'!$AB$5</xm:f>
            <x14:dxf>
              <fill>
                <patternFill>
                  <bgColor theme="4" tint="0.79998168889431442"/>
                </patternFill>
              </fill>
            </x14:dxf>
          </x14:cfRule>
          <x14:cfRule type="cellIs" priority="28" operator="equal" id="{974C7319-BB93-4C0D-89E5-E12100F4D42A}">
            <xm:f>'Modèle de liste de prix spécifi'!$AB$6</xm:f>
            <x14:dxf>
              <fill>
                <patternFill>
                  <bgColor theme="3" tint="0.59996337778862885"/>
                </patternFill>
              </fill>
            </x14:dxf>
          </x14:cfRule>
          <x14:cfRule type="cellIs" priority="29" operator="equal" id="{26B19CD5-E831-4F76-8B9E-7727478F5AD0}">
            <xm:f>'Modèle de liste de prix spécifi'!$AB$7</xm:f>
            <x14:dxf>
              <font>
                <color theme="0"/>
              </font>
              <fill>
                <patternFill>
                  <bgColor theme="5" tint="-0.24994659260841701"/>
                </patternFill>
              </fill>
            </x14:dxf>
          </x14:cfRule>
          <xm:sqref>A4:A34</xm:sqref>
        </x14:conditionalFormatting>
        <x14:conditionalFormatting xmlns:xm="http://schemas.microsoft.com/office/excel/2006/main">
          <x14:cfRule type="cellIs" priority="30" operator="equal" id="{6CB8D5EA-2977-4F56-B8C0-DF408C76F009}">
            <xm:f>'Modèle de liste de prix spécifi'!$AB$8</xm:f>
            <x14:dxf>
              <font>
                <color theme="1"/>
              </font>
              <fill>
                <patternFill>
                  <bgColor theme="7" tint="0.79998168889431442"/>
                </patternFill>
              </fill>
            </x14:dxf>
          </x14:cfRule>
          <x14:cfRule type="cellIs" priority="31" operator="equal" id="{FF602D55-1249-49AD-AA88-6A0983660227}">
            <xm:f>'Modèle de liste de prix spécifi'!$AB$9</xm:f>
            <x14:dxf>
              <font>
                <color theme="1"/>
              </font>
              <fill>
                <patternFill>
                  <bgColor rgb="FFCCCCFF"/>
                </patternFill>
              </fill>
            </x14:dxf>
          </x14:cfRule>
          <x14:cfRule type="cellIs" priority="32" operator="equal" id="{103DD74E-B8CF-4401-8FD2-15B4D33D6AED}">
            <xm:f>'Modèle de liste de prix spécifi'!$AB$10</xm:f>
            <x14:dxf>
              <fill>
                <patternFill>
                  <bgColor rgb="FFFFC000"/>
                </patternFill>
              </fill>
            </x14:dxf>
          </x14:cfRule>
          <x14:cfRule type="cellIs" priority="33" operator="equal" id="{9C96F510-4F5B-4E66-A5F3-84833B717B33}">
            <xm:f>'Modèle de liste de prix spécifi'!$AB$11</xm:f>
            <x14:dxf>
              <fill>
                <patternFill>
                  <bgColor rgb="FFFFFF00"/>
                </patternFill>
              </fill>
            </x14:dxf>
          </x14:cfRule>
          <x14:cfRule type="cellIs" priority="34" operator="equal" id="{9D23A252-3BC5-451E-841D-BD8741C0CFF7}">
            <xm:f>'Modèle de liste de prix spécifi'!$AB$12</xm:f>
            <x14:dxf>
              <font>
                <color theme="0"/>
              </font>
              <fill>
                <patternFill>
                  <bgColor rgb="FF9900CC"/>
                </patternFill>
              </fill>
            </x14:dxf>
          </x14:cfRule>
          <x14:cfRule type="cellIs" priority="35" operator="equal" id="{0D8613E5-2707-467E-93D2-636C6E9DC70C}">
            <xm:f>'Modèle de liste de prix spécifi'!$AB$13</xm:f>
            <x14:dxf>
              <fill>
                <patternFill>
                  <bgColor rgb="FFFF99FF"/>
                </patternFill>
              </fill>
            </x14:dxf>
          </x14:cfRule>
          <x14:cfRule type="cellIs" priority="36" operator="equal" id="{8858D1F5-E7BB-481D-B13D-69852AA80AB6}">
            <xm:f>'Modèle de liste de prix spécifi'!$AB$14</xm:f>
            <x14:dxf>
              <font>
                <color theme="0"/>
              </font>
              <fill>
                <patternFill>
                  <bgColor theme="4" tint="-0.24994659260841701"/>
                </patternFill>
              </fill>
            </x14:dxf>
          </x14:cfRule>
          <x14:cfRule type="cellIs" priority="37" operator="equal" id="{FDC4206A-04E6-4265-AB39-E2A0CF4FCC96}">
            <xm:f>'Modèle de liste de prix spécifi'!$AB$15</xm:f>
            <x14:dxf>
              <font>
                <color theme="0"/>
              </font>
              <fill>
                <patternFill>
                  <bgColor theme="9" tint="-0.24994659260841701"/>
                </patternFill>
              </fill>
            </x14:dxf>
          </x14:cfRule>
          <x14:cfRule type="cellIs" priority="38" operator="equal" id="{B1A137AA-4A46-4253-AEE4-62502485BEAE}">
            <xm:f>'Modèle de liste de prix spécifi'!$AB$16</xm:f>
            <x14:dxf>
              <font>
                <color theme="0"/>
              </font>
              <fill>
                <patternFill>
                  <bgColor rgb="FF7030A0"/>
                </patternFill>
              </fill>
            </x14:dxf>
          </x14:cfRule>
          <x14:cfRule type="cellIs" priority="39" operator="equal" id="{7DE3184D-8972-4B76-8CC9-58CAE74B1D1B}">
            <xm:f>'Modèle de liste de prix spécifi'!$AB$17</xm:f>
            <x14:dxf>
              <font>
                <color theme="1"/>
              </font>
              <fill>
                <patternFill>
                  <bgColor theme="4" tint="0.79998168889431442"/>
                </patternFill>
              </fill>
            </x14:dxf>
          </x14:cfRule>
          <x14:cfRule type="cellIs" priority="40" operator="equal" id="{A69CD251-27DB-4593-B638-9C41EA7BA41F}">
            <xm:f>'Modèle de liste de prix spécifi'!$AB$18</xm:f>
            <x14:dxf>
              <font>
                <color theme="1"/>
              </font>
              <fill>
                <patternFill>
                  <bgColor theme="4" tint="0.39994506668294322"/>
                </patternFill>
              </fill>
            </x14:dxf>
          </x14:cfRule>
          <x14:cfRule type="cellIs" priority="41" operator="equal" id="{97DF1E22-32F8-4000-B5C6-4C9292058F5D}">
            <xm:f>'Modèle de liste de prix spécifi'!$AB$19</xm:f>
            <x14:dxf>
              <font>
                <color theme="0"/>
              </font>
              <fill>
                <patternFill>
                  <bgColor theme="4" tint="-0.24994659260841701"/>
                </patternFill>
              </fill>
            </x14:dxf>
          </x14:cfRule>
          <x14:cfRule type="cellIs" priority="42" operator="equal" id="{BA2A36A5-E239-4CAB-8DBC-415FA7265690}">
            <xm:f>'Modèle de liste de prix spécifi'!$AB$20</xm:f>
            <x14:dxf>
              <font>
                <color theme="1"/>
              </font>
              <fill>
                <patternFill>
                  <bgColor theme="0" tint="-0.14996795556505021"/>
                </patternFill>
              </fill>
            </x14:dxf>
          </x14:cfRule>
          <x14:cfRule type="cellIs" priority="43" operator="equal" id="{08E32A01-5DB9-4BF4-A76A-9B743F7DBAA0}">
            <xm:f>'Modèle de liste de prix spécifi'!$AB$21</xm:f>
            <x14:dxf>
              <font>
                <color theme="0"/>
              </font>
              <fill>
                <patternFill>
                  <bgColor theme="0" tint="-0.499984740745262"/>
                </patternFill>
              </fill>
            </x14:dxf>
          </x14:cfRule>
          <x14:cfRule type="cellIs" priority="44" operator="equal" id="{D9E7B569-57EC-43B9-BD9B-E760681D6F29}">
            <xm:f>'Modèle de liste de prix spécifi'!$AB$22</xm:f>
            <x14:dxf>
              <font>
                <color theme="0"/>
              </font>
              <fill>
                <patternFill>
                  <bgColor theme="1" tint="0.24994659260841701"/>
                </patternFill>
              </fill>
            </x14:dxf>
          </x14:cfRule>
          <x14:cfRule type="cellIs" priority="45" operator="equal" id="{97FC45D5-440B-4254-8D83-7F2E812BCDFA}">
            <xm:f>'Modèle de liste de prix spécifi'!$AB$23</xm:f>
            <x14:dxf>
              <font>
                <color theme="1"/>
              </font>
              <fill>
                <patternFill>
                  <bgColor theme="9" tint="0.79998168889431442"/>
                </patternFill>
              </fill>
            </x14:dxf>
          </x14:cfRule>
          <x14:cfRule type="cellIs" priority="46" operator="equal" id="{E6BA2CA9-0027-4685-A847-EC052074B231}">
            <xm:f>'Modèle de liste de prix spécifi'!$AB$24</xm:f>
            <x14:dxf>
              <font>
                <color theme="1"/>
              </font>
              <fill>
                <patternFill>
                  <bgColor theme="9" tint="0.59996337778862885"/>
                </patternFill>
              </fill>
            </x14:dxf>
          </x14:cfRule>
          <x14:cfRule type="cellIs" priority="47" operator="equal" id="{3741776E-0D78-4E4C-8AD6-66277DA0125E}">
            <xm:f>'Modèle de liste de prix spécifi'!$AB$25</xm:f>
            <x14:dxf>
              <font>
                <color theme="1"/>
              </font>
              <fill>
                <patternFill>
                  <bgColor theme="5" tint="0.79998168889431442"/>
                </patternFill>
              </fill>
            </x14:dxf>
          </x14:cfRule>
          <x14:cfRule type="cellIs" priority="48" operator="equal" id="{A6BC7025-DA59-4D4D-9098-727F77511B4D}">
            <xm:f>'Modèle de liste de prix spécifi'!$AB$27</xm:f>
            <x14:dxf>
              <font>
                <color theme="1"/>
              </font>
              <fill>
                <patternFill>
                  <bgColor theme="5" tint="0.59996337778862885"/>
                </patternFill>
              </fill>
            </x14:dxf>
          </x14:cfRule>
          <x14:cfRule type="cellIs" priority="49" operator="equal" id="{B4C13155-B6D5-4EAB-8AC6-313BB5F2585E}">
            <xm:f>'Specified CCE Model Price List'!#REF!</xm:f>
            <x14:dxf>
              <font>
                <color theme="1"/>
              </font>
              <fill>
                <patternFill>
                  <bgColor rgb="FF9999FF"/>
                </patternFill>
              </fill>
            </x14:dxf>
          </x14:cfRule>
          <xm:sqref>A4:A34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A1:BW56"/>
  <sheetViews>
    <sheetView showGridLines="0" topLeftCell="A34" zoomScaleNormal="100" zoomScaleSheetLayoutView="100" workbookViewId="0">
      <selection activeCell="A37" sqref="A37:J45"/>
    </sheetView>
  </sheetViews>
  <sheetFormatPr defaultColWidth="0" defaultRowHeight="27" customHeight="1" x14ac:dyDescent="0.25"/>
  <cols>
    <col min="1" max="1" width="30.42578125" customWidth="1"/>
    <col min="2" max="3" width="15.42578125" customWidth="1"/>
    <col min="4" max="4" width="15.42578125" style="33" customWidth="1"/>
    <col min="5" max="5" width="11.42578125" style="33" bestFit="1" customWidth="1"/>
    <col min="6" max="6" width="13.42578125" style="33" bestFit="1" customWidth="1"/>
    <col min="7" max="7" width="21.42578125" style="33" bestFit="1" customWidth="1"/>
    <col min="8" max="8" width="14.28515625" style="33" bestFit="1" customWidth="1"/>
    <col min="9" max="10" width="12.42578125" style="33" customWidth="1"/>
    <col min="11" max="12" width="9.140625" style="60" customWidth="1"/>
    <col min="13" max="75" width="0" hidden="1" customWidth="1"/>
    <col min="76" max="16384" width="9.140625" hidden="1"/>
  </cols>
  <sheetData>
    <row r="1" spans="1:12" s="70" customFormat="1" ht="16.5" customHeight="1" thickTop="1" thickBot="1" x14ac:dyDescent="0.3">
      <c r="A1" s="67"/>
      <c r="B1" s="68"/>
      <c r="C1" s="68"/>
      <c r="D1" s="68"/>
      <c r="E1" s="71"/>
      <c r="F1" s="71"/>
      <c r="G1" s="71"/>
      <c r="H1" s="71"/>
      <c r="I1" s="300" t="s">
        <v>48</v>
      </c>
      <c r="J1" s="301"/>
      <c r="K1" s="69"/>
      <c r="L1" s="69"/>
    </row>
    <row r="2" spans="1:12" s="6" customFormat="1" ht="60.75" customHeight="1" thickTop="1" x14ac:dyDescent="0.25">
      <c r="A2" s="7" t="s">
        <v>49</v>
      </c>
      <c r="B2" s="7" t="s">
        <v>50</v>
      </c>
      <c r="C2" s="7" t="s">
        <v>51</v>
      </c>
      <c r="D2" s="30" t="s">
        <v>52</v>
      </c>
      <c r="E2" s="77" t="s">
        <v>53</v>
      </c>
      <c r="F2" s="77" t="s">
        <v>54</v>
      </c>
      <c r="G2" s="77" t="s">
        <v>55</v>
      </c>
      <c r="H2" s="78" t="s">
        <v>56</v>
      </c>
      <c r="I2" s="79" t="s">
        <v>57</v>
      </c>
      <c r="J2" s="80" t="s">
        <v>58</v>
      </c>
      <c r="K2" s="55"/>
      <c r="L2" s="55"/>
    </row>
    <row r="3" spans="1:12" s="11" customFormat="1" ht="45" customHeight="1" x14ac:dyDescent="0.25">
      <c r="A3" s="9"/>
      <c r="B3" s="10" t="s">
        <v>59</v>
      </c>
      <c r="C3" s="9"/>
      <c r="D3" s="31"/>
      <c r="E3" s="31"/>
      <c r="F3" s="31"/>
      <c r="G3" s="81" t="s">
        <v>60</v>
      </c>
      <c r="H3" s="82"/>
      <c r="I3" s="83" t="s">
        <v>61</v>
      </c>
      <c r="J3" s="84"/>
      <c r="K3" s="56"/>
      <c r="L3" s="56"/>
    </row>
    <row r="4" spans="1:12" s="26" customFormat="1" ht="27" customHeight="1" x14ac:dyDescent="0.25">
      <c r="A4" s="41" t="s">
        <v>434</v>
      </c>
      <c r="B4" s="42"/>
      <c r="C4" s="29" t="str">
        <f>IFERROR(INDEX('Modèle de liste de prix spécifi'!$A$3:$O$278,MATCH('Option C_Choix du modèle d''ECF'!$B4,'Modèle de liste de prix spécifi'!$E$3:$E$278,0),MATCH('Option C_Choix du modèle d''ECF'!C$2,'Modèle de liste de prix spécifi'!$A$3:$O$3,0)),"")</f>
        <v/>
      </c>
      <c r="D4" s="32" t="str">
        <f>IFERROR(INDEX('Modèle de liste de prix spécifi'!$A$3:$O$278,MATCH('Option C_Choix du modèle d''ECF'!$B4,'Modèle de liste de prix spécifi'!$E$3:$E$278,0),MATCH('Option C_Choix du modèle d''ECF'!D$2,'Modèle de liste de prix spécifi'!$A$3:$O$3,0)),"")</f>
        <v/>
      </c>
      <c r="E4" s="32" t="str">
        <f>IFERROR(INDEX('Modèle de liste de prix spécifi'!$A$3:$O$278,MATCH('Option C_Choix du modèle d''ECF'!$B4,'Modèle de liste de prix spécifi'!$E$3:$E$278,0),MATCH('Option C_Choix du modèle d''ECF'!E$2,'Modèle de liste de prix spécifi'!$A$3:$O$3,0)),"")</f>
        <v/>
      </c>
      <c r="F4" s="129" t="str">
        <f>IFERROR(INDEX('Modèle de liste de prix spécifi'!$A$3:$O$278,MATCH('Option C_Choix du modèle d''ECF'!$B4,'Modèle de liste de prix spécifi'!$E$3:$E$278,0),MATCH('Option C_Choix du modèle d''ECF'!F$2,'Modèle de liste de prix spécifi'!$A$3:$O$3,0)),"")</f>
        <v/>
      </c>
      <c r="G4" s="54"/>
      <c r="H4" s="118" t="str">
        <f>IFERROR(IF(OR(EXACT(A4,'Modèle de liste de prix spécifi'!$AB$14),EXACT(A4,'Modèle de liste de prix spécifi'!$AB$16),EXACT(A4,'Modèle de liste de prix spécifi'!$AB$17),EXACT(A4,'Modèle de liste de prix spécifi'!$AB$18),EXACT(A4,'Modèle de liste de prix spécifi'!$AB$19),EXACT(A4,'Modèle de liste de prix spécifi'!$AB$20),EXACT(A4,'Modèle de liste de prix spécifi'!$AB$21),EXACT(A4,'Modèle de liste de prix spécifi'!$AB$22),EXACT(A4,'Modèle de liste de prix spécifi'!$AB$23),EXACT(A4,'Modèle de liste de prix spécifi'!$AB$24),EXACT(A4,'Modèle de liste de prix spécifi'!$AB$25),EXACT(A4,'Modèle de liste de prix spécifi'!$AB$26),EXACT(A4,'Modèle de liste de prix spécifi'!$AB$27)),"N/A",G4+F4),"")</f>
        <v/>
      </c>
      <c r="I4" s="75"/>
      <c r="J4" s="76" t="str">
        <f t="shared" ref="J4:J34" si="0">IFERROR(IF(H4="N/A",F4*I4,H4*I4),"")</f>
        <v/>
      </c>
      <c r="K4" s="57"/>
      <c r="L4" s="159" t="str">
        <f>LEFT(A4,3)</f>
        <v>_1.</v>
      </c>
    </row>
    <row r="5" spans="1:12" s="26" customFormat="1" ht="27" customHeight="1" x14ac:dyDescent="0.25">
      <c r="A5" s="41" t="s">
        <v>434</v>
      </c>
      <c r="B5" s="42"/>
      <c r="C5" s="29" t="str">
        <f>IFERROR(INDEX('Modèle de liste de prix spécifi'!$A$3:$O$278,MATCH('Option C_Choix du modèle d''ECF'!$B5,'Modèle de liste de prix spécifi'!$E$3:$E$278,0),MATCH('Option C_Choix du modèle d''ECF'!C$2,'Modèle de liste de prix spécifi'!$A$3:$O$3,0)),"")</f>
        <v/>
      </c>
      <c r="D5" s="32" t="str">
        <f>IFERROR(INDEX('Modèle de liste de prix spécifi'!$A$3:$O$278,MATCH('Option C_Choix du modèle d''ECF'!$B5,'Modèle de liste de prix spécifi'!$E$3:$E$278,0),MATCH('Option C_Choix du modèle d''ECF'!D$2,'Modèle de liste de prix spécifi'!$A$3:$O$3,0)),"")</f>
        <v/>
      </c>
      <c r="E5" s="32" t="str">
        <f>IFERROR(INDEX('Modèle de liste de prix spécifi'!$A$3:$O$278,MATCH('Option C_Choix du modèle d''ECF'!$B5,'Modèle de liste de prix spécifi'!$E$3:$E$278,0),MATCH('Option C_Choix du modèle d''ECF'!E$2,'Modèle de liste de prix spécifi'!$A$3:$O$3,0)),"")</f>
        <v/>
      </c>
      <c r="F5" s="129" t="str">
        <f>IFERROR(INDEX('Modèle de liste de prix spécifi'!$A$3:$O$278,MATCH('Option C_Choix du modèle d''ECF'!$B5,'Modèle de liste de prix spécifi'!$E$3:$E$278,0),MATCH('Option C_Choix du modèle d''ECF'!F$2,'Modèle de liste de prix spécifi'!$A$3:$O$3,0)),"")</f>
        <v/>
      </c>
      <c r="G5" s="54"/>
      <c r="H5" s="118" t="str">
        <f>IFERROR(IF(OR(EXACT(A5,'Modèle de liste de prix spécifi'!$AB$14),EXACT(A5,'Modèle de liste de prix spécifi'!$AB$16),EXACT(A5,'Modèle de liste de prix spécifi'!$AB$17),EXACT(A5,'Modèle de liste de prix spécifi'!$AB$18),EXACT(A5,'Modèle de liste de prix spécifi'!$AB$19),EXACT(A5,'Modèle de liste de prix spécifi'!$AB$20),EXACT(A5,'Modèle de liste de prix spécifi'!$AB$21),EXACT(A5,'Modèle de liste de prix spécifi'!$AB$22),EXACT(A5,'Modèle de liste de prix spécifi'!$AB$23),EXACT(A5,'Modèle de liste de prix spécifi'!$AB$24),EXACT(A5,'Modèle de liste de prix spécifi'!$AB$25),EXACT(A5,'Modèle de liste de prix spécifi'!$AB$26),EXACT(A5,'Modèle de liste de prix spécifi'!$AB$27)),"N/A",G5+F5),"")</f>
        <v/>
      </c>
      <c r="I5" s="75"/>
      <c r="J5" s="76" t="str">
        <f t="shared" si="0"/>
        <v/>
      </c>
      <c r="K5" s="57"/>
      <c r="L5" s="159" t="str">
        <f t="shared" ref="L5:L34" si="1">LEFT(A5,3)</f>
        <v>_1.</v>
      </c>
    </row>
    <row r="6" spans="1:12" s="26" customFormat="1" ht="27" customHeight="1" x14ac:dyDescent="0.25">
      <c r="A6" s="41" t="s">
        <v>435</v>
      </c>
      <c r="B6" s="42"/>
      <c r="C6" s="29" t="str">
        <f>IFERROR(INDEX('Modèle de liste de prix spécifi'!$A$3:$O$278,MATCH('Option C_Choix du modèle d''ECF'!$B6,'Modèle de liste de prix spécifi'!$E$3:$E$278,0),MATCH('Option C_Choix du modèle d''ECF'!C$2,'Modèle de liste de prix spécifi'!$A$3:$O$3,0)),"")</f>
        <v/>
      </c>
      <c r="D6" s="32" t="str">
        <f>IFERROR(INDEX('Modèle de liste de prix spécifi'!$A$3:$O$278,MATCH('Option C_Choix du modèle d''ECF'!$B6,'Modèle de liste de prix spécifi'!$E$3:$E$278,0),MATCH('Option C_Choix du modèle d''ECF'!D$2,'Modèle de liste de prix spécifi'!$A$3:$O$3,0)),"")</f>
        <v/>
      </c>
      <c r="E6" s="32" t="str">
        <f>IFERROR(INDEX('Modèle de liste de prix spécifi'!$A$3:$O$278,MATCH('Option C_Choix du modèle d''ECF'!$B6,'Modèle de liste de prix spécifi'!$E$3:$E$278,0),MATCH('Option C_Choix du modèle d''ECF'!E$2,'Modèle de liste de prix spécifi'!$A$3:$O$3,0)),"")</f>
        <v/>
      </c>
      <c r="F6" s="129" t="str">
        <f>IFERROR(INDEX('Modèle de liste de prix spécifi'!$A$3:$O$278,MATCH('Option C_Choix du modèle d''ECF'!$B6,'Modèle de liste de prix spécifi'!$E$3:$E$278,0),MATCH('Option C_Choix du modèle d''ECF'!F$2,'Modèle de liste de prix spécifi'!$A$3:$O$3,0)),"")</f>
        <v/>
      </c>
      <c r="G6" s="54"/>
      <c r="H6" s="118" t="str">
        <f>IFERROR(IF(OR(EXACT(A6,'Modèle de liste de prix spécifi'!$AB$14),EXACT(A6,'Modèle de liste de prix spécifi'!$AB$16),EXACT(A6,'Modèle de liste de prix spécifi'!$AB$17),EXACT(A6,'Modèle de liste de prix spécifi'!$AB$18),EXACT(A6,'Modèle de liste de prix spécifi'!$AB$19),EXACT(A6,'Modèle de liste de prix spécifi'!$AB$20),EXACT(A6,'Modèle de liste de prix spécifi'!$AB$21),EXACT(A6,'Modèle de liste de prix spécifi'!$AB$22),EXACT(A6,'Modèle de liste de prix spécifi'!$AB$23),EXACT(A6,'Modèle de liste de prix spécifi'!$AB$24),EXACT(A6,'Modèle de liste de prix spécifi'!$AB$25),EXACT(A6,'Modèle de liste de prix spécifi'!$AB$26),EXACT(A6,'Modèle de liste de prix spécifi'!$AB$27)),"N/A",G6+F6),"")</f>
        <v/>
      </c>
      <c r="I6" s="75"/>
      <c r="J6" s="76" t="str">
        <f t="shared" si="0"/>
        <v/>
      </c>
      <c r="K6" s="57"/>
      <c r="L6" s="159" t="str">
        <f t="shared" si="1"/>
        <v>_2.</v>
      </c>
    </row>
    <row r="7" spans="1:12" s="26" customFormat="1" ht="27" customHeight="1" x14ac:dyDescent="0.25">
      <c r="A7" s="41" t="s">
        <v>62</v>
      </c>
      <c r="B7" s="42"/>
      <c r="C7" s="29" t="str">
        <f>IFERROR(INDEX('Modèle de liste de prix spécifi'!$A$3:$O$278,MATCH('Option C_Choix du modèle d''ECF'!$B7,'Modèle de liste de prix spécifi'!$E$3:$E$278,0),MATCH('Option C_Choix du modèle d''ECF'!C$2,'Modèle de liste de prix spécifi'!$A$3:$O$3,0)),"")</f>
        <v/>
      </c>
      <c r="D7" s="32" t="str">
        <f>IFERROR(INDEX('Modèle de liste de prix spécifi'!$A$3:$O$278,MATCH('Option C_Choix du modèle d''ECF'!$B7,'Modèle de liste de prix spécifi'!$E$3:$E$278,0),MATCH('Option C_Choix du modèle d''ECF'!D$2,'Modèle de liste de prix spécifi'!$A$3:$O$3,0)),"")</f>
        <v/>
      </c>
      <c r="E7" s="32" t="str">
        <f>IFERROR(INDEX('Modèle de liste de prix spécifi'!$A$3:$O$278,MATCH('Option C_Choix du modèle d''ECF'!$B7,'Modèle de liste de prix spécifi'!$E$3:$E$278,0),MATCH('Option C_Choix du modèle d''ECF'!E$2,'Modèle de liste de prix spécifi'!$A$3:$O$3,0)),"")</f>
        <v/>
      </c>
      <c r="F7" s="129" t="str">
        <f>IFERROR(INDEX('Modèle de liste de prix spécifi'!$A$3:$O$278,MATCH('Option C_Choix du modèle d''ECF'!$B7,'Modèle de liste de prix spécifi'!$E$3:$E$278,0),MATCH('Option C_Choix du modèle d''ECF'!F$2,'Modèle de liste de prix spécifi'!$A$3:$O$3,0)),"")</f>
        <v/>
      </c>
      <c r="G7" s="54"/>
      <c r="H7" s="118" t="str">
        <f>IFERROR(IF(OR(EXACT(A7,'Modèle de liste de prix spécifi'!$AB$14),EXACT(A7,'Modèle de liste de prix spécifi'!$AB$16),EXACT(A7,'Modèle de liste de prix spécifi'!$AB$17),EXACT(A7,'Modèle de liste de prix spécifi'!$AB$18),EXACT(A7,'Modèle de liste de prix spécifi'!$AB$19),EXACT(A7,'Modèle de liste de prix spécifi'!$AB$20),EXACT(A7,'Modèle de liste de prix spécifi'!$AB$21),EXACT(A7,'Modèle de liste de prix spécifi'!$AB$22),EXACT(A7,'Modèle de liste de prix spécifi'!$AB$23),EXACT(A7,'Modèle de liste de prix spécifi'!$AB$24),EXACT(A7,'Modèle de liste de prix spécifi'!$AB$25),EXACT(A7,'Modèle de liste de prix spécifi'!$AB$26),EXACT(A7,'Modèle de liste de prix spécifi'!$AB$27)),"N/A",G7+F7),"")</f>
        <v/>
      </c>
      <c r="I7" s="75"/>
      <c r="J7" s="76" t="str">
        <f t="shared" si="0"/>
        <v/>
      </c>
      <c r="K7" s="57"/>
      <c r="L7" s="159" t="str">
        <f t="shared" si="1"/>
        <v>_3.</v>
      </c>
    </row>
    <row r="8" spans="1:12" s="26" customFormat="1" ht="27" customHeight="1" x14ac:dyDescent="0.25">
      <c r="A8" s="41" t="s">
        <v>63</v>
      </c>
      <c r="B8" s="42"/>
      <c r="C8" s="29" t="str">
        <f>IFERROR(INDEX('Modèle de liste de prix spécifi'!$A$3:$O$278,MATCH('Option C_Choix du modèle d''ECF'!$B8,'Modèle de liste de prix spécifi'!$E$3:$E$278,0),MATCH('Option C_Choix du modèle d''ECF'!C$2,'Modèle de liste de prix spécifi'!$A$3:$O$3,0)),"")</f>
        <v/>
      </c>
      <c r="D8" s="32" t="str">
        <f>IFERROR(INDEX('Modèle de liste de prix spécifi'!$A$3:$O$278,MATCH('Option C_Choix du modèle d''ECF'!$B8,'Modèle de liste de prix spécifi'!$E$3:$E$278,0),MATCH('Option C_Choix du modèle d''ECF'!D$2,'Modèle de liste de prix spécifi'!$A$3:$O$3,0)),"")</f>
        <v/>
      </c>
      <c r="E8" s="32" t="str">
        <f>IFERROR(INDEX('Modèle de liste de prix spécifi'!$A$3:$O$278,MATCH('Option C_Choix du modèle d''ECF'!$B8,'Modèle de liste de prix spécifi'!$E$3:$E$278,0),MATCH('Option C_Choix du modèle d''ECF'!E$2,'Modèle de liste de prix spécifi'!$A$3:$O$3,0)),"")</f>
        <v/>
      </c>
      <c r="F8" s="129" t="str">
        <f>IFERROR(INDEX('Modèle de liste de prix spécifi'!$A$3:$O$278,MATCH('Option C_Choix du modèle d''ECF'!$B8,'Modèle de liste de prix spécifi'!$E$3:$E$278,0),MATCH('Option C_Choix du modèle d''ECF'!F$2,'Modèle de liste de prix spécifi'!$A$3:$O$3,0)),"")</f>
        <v/>
      </c>
      <c r="G8" s="54"/>
      <c r="H8" s="118" t="str">
        <f>IFERROR(IF(OR(EXACT(A8,'Modèle de liste de prix spécifi'!$AB$14),EXACT(A8,'Modèle de liste de prix spécifi'!$AB$16),EXACT(A8,'Modèle de liste de prix spécifi'!$AB$17),EXACT(A8,'Modèle de liste de prix spécifi'!$AB$18),EXACT(A8,'Modèle de liste de prix spécifi'!$AB$19),EXACT(A8,'Modèle de liste de prix spécifi'!$AB$20),EXACT(A8,'Modèle de liste de prix spécifi'!$AB$21),EXACT(A8,'Modèle de liste de prix spécifi'!$AB$22),EXACT(A8,'Modèle de liste de prix spécifi'!$AB$23),EXACT(A8,'Modèle de liste de prix spécifi'!$AB$24),EXACT(A8,'Modèle de liste de prix spécifi'!$AB$25),EXACT(A8,'Modèle de liste de prix spécifi'!$AB$26),EXACT(A8,'Modèle de liste de prix spécifi'!$AB$27)),"N/A",G8+F8),"")</f>
        <v/>
      </c>
      <c r="I8" s="75"/>
      <c r="J8" s="76" t="str">
        <f t="shared" si="0"/>
        <v/>
      </c>
      <c r="K8" s="57"/>
      <c r="L8" s="159" t="str">
        <f t="shared" si="1"/>
        <v>_4.</v>
      </c>
    </row>
    <row r="9" spans="1:12" s="26" customFormat="1" ht="27" customHeight="1" x14ac:dyDescent="0.25">
      <c r="A9" s="43" t="s">
        <v>64</v>
      </c>
      <c r="B9" s="42"/>
      <c r="C9" s="29" t="str">
        <f>IFERROR(INDEX('Modèle de liste de prix spécifi'!$A$3:$O$278,MATCH('Option C_Choix du modèle d''ECF'!$B9,'Modèle de liste de prix spécifi'!$E$3:$E$278,0),MATCH('Option C_Choix du modèle d''ECF'!C$2,'Modèle de liste de prix spécifi'!$A$3:$O$3,0)),"")</f>
        <v/>
      </c>
      <c r="D9" s="32" t="str">
        <f>IFERROR(INDEX('Modèle de liste de prix spécifi'!$A$3:$O$278,MATCH('Option C_Choix du modèle d''ECF'!$B9,'Modèle de liste de prix spécifi'!$E$3:$E$278,0),MATCH('Option C_Choix du modèle d''ECF'!D$2,'Modèle de liste de prix spécifi'!$A$3:$O$3,0)),"")</f>
        <v/>
      </c>
      <c r="E9" s="32" t="str">
        <f>IFERROR(INDEX('Modèle de liste de prix spécifi'!$A$3:$O$278,MATCH('Option C_Choix du modèle d''ECF'!$B9,'Modèle de liste de prix spécifi'!$E$3:$E$278,0),MATCH('Option C_Choix du modèle d''ECF'!E$2,'Modèle de liste de prix spécifi'!$A$3:$O$3,0)),"")</f>
        <v/>
      </c>
      <c r="F9" s="129" t="str">
        <f>IFERROR(INDEX('Modèle de liste de prix spécifi'!$A$3:$O$278,MATCH('Option C_Choix du modèle d''ECF'!$B9,'Modèle de liste de prix spécifi'!$E$3:$E$278,0),MATCH('Option C_Choix du modèle d''ECF'!F$2,'Modèle de liste de prix spécifi'!$A$3:$O$3,0)),"")</f>
        <v/>
      </c>
      <c r="G9" s="54"/>
      <c r="H9" s="118" t="str">
        <f>IFERROR(IF(OR(EXACT(A9,'Modèle de liste de prix spécifi'!$AB$14),EXACT(A9,'Modèle de liste de prix spécifi'!$AB$16),EXACT(A9,'Modèle de liste de prix spécifi'!$AB$17),EXACT(A9,'Modèle de liste de prix spécifi'!$AB$18),EXACT(A9,'Modèle de liste de prix spécifi'!$AB$19),EXACT(A9,'Modèle de liste de prix spécifi'!$AB$20),EXACT(A9,'Modèle de liste de prix spécifi'!$AB$21),EXACT(A9,'Modèle de liste de prix spécifi'!$AB$22),EXACT(A9,'Modèle de liste de prix spécifi'!$AB$23),EXACT(A9,'Modèle de liste de prix spécifi'!$AB$24),EXACT(A9,'Modèle de liste de prix spécifi'!$AB$25),EXACT(A9,'Modèle de liste de prix spécifi'!$AB$26),EXACT(A9,'Modèle de liste de prix spécifi'!$AB$27)),"N/A",G9+F9),"")</f>
        <v/>
      </c>
      <c r="I9" s="75"/>
      <c r="J9" s="76" t="str">
        <f t="shared" si="0"/>
        <v/>
      </c>
      <c r="K9" s="57"/>
      <c r="L9" s="159" t="str">
        <f t="shared" si="1"/>
        <v>_5.</v>
      </c>
    </row>
    <row r="10" spans="1:12" s="26" customFormat="1" ht="27" customHeight="1" x14ac:dyDescent="0.25">
      <c r="A10" s="44" t="s">
        <v>65</v>
      </c>
      <c r="B10" s="42"/>
      <c r="C10" s="29" t="str">
        <f>IFERROR(INDEX('Modèle de liste de prix spécifi'!$A$3:$O$278,MATCH('Option C_Choix du modèle d''ECF'!$B10,'Modèle de liste de prix spécifi'!$E$3:$E$278,0),MATCH('Option C_Choix du modèle d''ECF'!C$2,'Modèle de liste de prix spécifi'!$A$3:$O$3,0)),"")</f>
        <v/>
      </c>
      <c r="D10" s="32" t="str">
        <f>IFERROR(INDEX('Modèle de liste de prix spécifi'!$A$3:$O$278,MATCH('Option C_Choix du modèle d''ECF'!$B10,'Modèle de liste de prix spécifi'!$E$3:$E$278,0),MATCH('Option C_Choix du modèle d''ECF'!D$2,'Modèle de liste de prix spécifi'!$A$3:$O$3,0)),"")</f>
        <v/>
      </c>
      <c r="E10" s="32" t="str">
        <f>IFERROR(INDEX('Modèle de liste de prix spécifi'!$A$3:$O$278,MATCH('Option C_Choix du modèle d''ECF'!$B10,'Modèle de liste de prix spécifi'!$E$3:$E$278,0),MATCH('Option C_Choix du modèle d''ECF'!E$2,'Modèle de liste de prix spécifi'!$A$3:$O$3,0)),"")</f>
        <v/>
      </c>
      <c r="F10" s="129" t="str">
        <f>IFERROR(INDEX('Modèle de liste de prix spécifi'!$A$3:$O$278,MATCH('Option C_Choix du modèle d''ECF'!$B10,'Modèle de liste de prix spécifi'!$E$3:$E$278,0),MATCH('Option C_Choix du modèle d''ECF'!F$2,'Modèle de liste de prix spécifi'!$A$3:$O$3,0)),"")</f>
        <v/>
      </c>
      <c r="G10" s="54"/>
      <c r="H10" s="118" t="str">
        <f>IFERROR(IF(OR(EXACT(A10,'Modèle de liste de prix spécifi'!$AB$14),EXACT(A10,'Modèle de liste de prix spécifi'!$AB$16),EXACT(A10,'Modèle de liste de prix spécifi'!$AB$17),EXACT(A10,'Modèle de liste de prix spécifi'!$AB$18),EXACT(A10,'Modèle de liste de prix spécifi'!$AB$19),EXACT(A10,'Modèle de liste de prix spécifi'!$AB$20),EXACT(A10,'Modèle de liste de prix spécifi'!$AB$21),EXACT(A10,'Modèle de liste de prix spécifi'!$AB$22),EXACT(A10,'Modèle de liste de prix spécifi'!$AB$23),EXACT(A10,'Modèle de liste de prix spécifi'!$AB$24),EXACT(A10,'Modèle de liste de prix spécifi'!$AB$25),EXACT(A10,'Modèle de liste de prix spécifi'!$AB$26),EXACT(A10,'Modèle de liste de prix spécifi'!$AB$27)),"N/A",G10+F10),"")</f>
        <v/>
      </c>
      <c r="I10" s="75"/>
      <c r="J10" s="76" t="str">
        <f t="shared" si="0"/>
        <v/>
      </c>
      <c r="K10" s="57"/>
      <c r="L10" s="159" t="str">
        <f t="shared" si="1"/>
        <v>_6.</v>
      </c>
    </row>
    <row r="11" spans="1:12" s="26" customFormat="1" ht="27" customHeight="1" x14ac:dyDescent="0.25">
      <c r="A11" s="44" t="s">
        <v>65</v>
      </c>
      <c r="B11" s="42"/>
      <c r="C11" s="29" t="str">
        <f>IFERROR(INDEX('Modèle de liste de prix spécifi'!$A$3:$O$278,MATCH('Option C_Choix du modèle d''ECF'!$B11,'Modèle de liste de prix spécifi'!$E$3:$E$278,0),MATCH('Option C_Choix du modèle d''ECF'!C$2,'Modèle de liste de prix spécifi'!$A$3:$O$3,0)),"")</f>
        <v/>
      </c>
      <c r="D11" s="32" t="str">
        <f>IFERROR(INDEX('Modèle de liste de prix spécifi'!$A$3:$O$278,MATCH('Option C_Choix du modèle d''ECF'!$B11,'Modèle de liste de prix spécifi'!$E$3:$E$278,0),MATCH('Option C_Choix du modèle d''ECF'!D$2,'Modèle de liste de prix spécifi'!$A$3:$O$3,0)),"")</f>
        <v/>
      </c>
      <c r="E11" s="32" t="str">
        <f>IFERROR(INDEX('Modèle de liste de prix spécifi'!$A$3:$O$278,MATCH('Option C_Choix du modèle d''ECF'!$B11,'Modèle de liste de prix spécifi'!$E$3:$E$278,0),MATCH('Option C_Choix du modèle d''ECF'!E$2,'Modèle de liste de prix spécifi'!$A$3:$O$3,0)),"")</f>
        <v/>
      </c>
      <c r="F11" s="129" t="str">
        <f>IFERROR(INDEX('Modèle de liste de prix spécifi'!$A$3:$O$278,MATCH('Option C_Choix du modèle d''ECF'!$B11,'Modèle de liste de prix spécifi'!$E$3:$E$278,0),MATCH('Option C_Choix du modèle d''ECF'!F$2,'Modèle de liste de prix spécifi'!$A$3:$O$3,0)),"")</f>
        <v/>
      </c>
      <c r="G11" s="54"/>
      <c r="H11" s="118" t="str">
        <f>IFERROR(IF(OR(EXACT(A11,'Modèle de liste de prix spécifi'!$AB$14),EXACT(A11,'Modèle de liste de prix spécifi'!$AB$16),EXACT(A11,'Modèle de liste de prix spécifi'!$AB$17),EXACT(A11,'Modèle de liste de prix spécifi'!$AB$18),EXACT(A11,'Modèle de liste de prix spécifi'!$AB$19),EXACT(A11,'Modèle de liste de prix spécifi'!$AB$20),EXACT(A11,'Modèle de liste de prix spécifi'!$AB$21),EXACT(A11,'Modèle de liste de prix spécifi'!$AB$22),EXACT(A11,'Modèle de liste de prix spécifi'!$AB$23),EXACT(A11,'Modèle de liste de prix spécifi'!$AB$24),EXACT(A11,'Modèle de liste de prix spécifi'!$AB$25),EXACT(A11,'Modèle de liste de prix spécifi'!$AB$26),EXACT(A11,'Modèle de liste de prix spécifi'!$AB$27)),"N/A",G11+F11),"")</f>
        <v/>
      </c>
      <c r="I11" s="75"/>
      <c r="J11" s="76" t="str">
        <f t="shared" si="0"/>
        <v/>
      </c>
      <c r="K11" s="57"/>
      <c r="L11" s="159" t="str">
        <f t="shared" si="1"/>
        <v>_6.</v>
      </c>
    </row>
    <row r="12" spans="1:12" s="26" customFormat="1" ht="27" customHeight="1" x14ac:dyDescent="0.25">
      <c r="A12" s="200" t="s">
        <v>66</v>
      </c>
      <c r="B12" s="42"/>
      <c r="C12" s="29" t="str">
        <f>IFERROR(INDEX('Modèle de liste de prix spécifi'!$A$3:$O$278,MATCH('Option C_Choix du modèle d''ECF'!$B12,'Modèle de liste de prix spécifi'!$E$3:$E$278,0),MATCH('Option C_Choix du modèle d''ECF'!C$2,'Modèle de liste de prix spécifi'!$A$3:$O$3,0)),"")</f>
        <v/>
      </c>
      <c r="D12" s="32" t="str">
        <f>IFERROR(INDEX('Modèle de liste de prix spécifi'!$A$3:$O$278,MATCH('Option C_Choix du modèle d''ECF'!$B12,'Modèle de liste de prix spécifi'!$E$3:$E$278,0),MATCH('Option C_Choix du modèle d''ECF'!D$2,'Modèle de liste de prix spécifi'!$A$3:$O$3,0)),"")</f>
        <v/>
      </c>
      <c r="E12" s="32" t="str">
        <f>IFERROR(INDEX('Modèle de liste de prix spécifi'!$A$3:$O$278,MATCH('Option C_Choix du modèle d''ECF'!$B12,'Modèle de liste de prix spécifi'!$E$3:$E$278,0),MATCH('Option C_Choix du modèle d''ECF'!E$2,'Modèle de liste de prix spécifi'!$A$3:$O$3,0)),"")</f>
        <v/>
      </c>
      <c r="F12" s="129" t="str">
        <f>IFERROR(INDEX('Modèle de liste de prix spécifi'!$A$3:$O$278,MATCH('Option C_Choix du modèle d''ECF'!$B12,'Modèle de liste de prix spécifi'!$E$3:$E$278,0),MATCH('Option C_Choix du modèle d''ECF'!F$2,'Modèle de liste de prix spécifi'!$A$3:$O$3,0)),"")</f>
        <v/>
      </c>
      <c r="G12" s="54"/>
      <c r="H12" s="118" t="str">
        <f>IFERROR(IF(OR(EXACT(A12,'Modèle de liste de prix spécifi'!$AB$14),EXACT(A12,'Modèle de liste de prix spécifi'!$AB$16),EXACT(A12,'Modèle de liste de prix spécifi'!$AB$17),EXACT(A12,'Modèle de liste de prix spécifi'!$AB$18),EXACT(A12,'Modèle de liste de prix spécifi'!$AB$19),EXACT(A12,'Modèle de liste de prix spécifi'!$AB$20),EXACT(A12,'Modèle de liste de prix spécifi'!$AB$21),EXACT(A12,'Modèle de liste de prix spécifi'!$AB$22),EXACT(A12,'Modèle de liste de prix spécifi'!$AB$23),EXACT(A12,'Modèle de liste de prix spécifi'!$AB$24),EXACT(A12,'Modèle de liste de prix spécifi'!$AB$25),EXACT(A12,'Modèle de liste de prix spécifi'!$AB$26),EXACT(A12,'Modèle de liste de prix spécifi'!$AB$27)),"N/A",G12+F12),"")</f>
        <v/>
      </c>
      <c r="I12" s="75"/>
      <c r="J12" s="76" t="str">
        <f t="shared" si="0"/>
        <v/>
      </c>
      <c r="K12" s="57"/>
      <c r="L12" s="159" t="str">
        <f t="shared" si="1"/>
        <v>_7.</v>
      </c>
    </row>
    <row r="13" spans="1:12" s="26" customFormat="1" ht="27" customHeight="1" x14ac:dyDescent="0.25">
      <c r="A13" s="45" t="s">
        <v>67</v>
      </c>
      <c r="B13" s="42"/>
      <c r="C13" s="29" t="str">
        <f>IFERROR(INDEX('Modèle de liste de prix spécifi'!$A$3:$O$278,MATCH('Option C_Choix du modèle d''ECF'!$B13,'Modèle de liste de prix spécifi'!$E$3:$E$278,0),MATCH('Option C_Choix du modèle d''ECF'!C$2,'Modèle de liste de prix spécifi'!$A$3:$O$3,0)),"")</f>
        <v/>
      </c>
      <c r="D13" s="32" t="str">
        <f>IFERROR(INDEX('Modèle de liste de prix spécifi'!$A$3:$O$278,MATCH('Option C_Choix du modèle d''ECF'!$B13,'Modèle de liste de prix spécifi'!$E$3:$E$278,0),MATCH('Option C_Choix du modèle d''ECF'!D$2,'Modèle de liste de prix spécifi'!$A$3:$O$3,0)),"")</f>
        <v/>
      </c>
      <c r="E13" s="32" t="str">
        <f>IFERROR(INDEX('Modèle de liste de prix spécifi'!$A$3:$O$278,MATCH('Option C_Choix du modèle d''ECF'!$B13,'Modèle de liste de prix spécifi'!$E$3:$E$278,0),MATCH('Option C_Choix du modèle d''ECF'!E$2,'Modèle de liste de prix spécifi'!$A$3:$O$3,0)),"")</f>
        <v/>
      </c>
      <c r="F13" s="129" t="str">
        <f>IFERROR(INDEX('Modèle de liste de prix spécifi'!$A$3:$O$278,MATCH('Option C_Choix du modèle d''ECF'!$B13,'Modèle de liste de prix spécifi'!$E$3:$E$278,0),MATCH('Option C_Choix du modèle d''ECF'!F$2,'Modèle de liste de prix spécifi'!$A$3:$O$3,0)),"")</f>
        <v/>
      </c>
      <c r="G13" s="54"/>
      <c r="H13" s="118" t="str">
        <f>IFERROR(IF(OR(EXACT(A13,'Modèle de liste de prix spécifi'!$AB$14),EXACT(A13,'Modèle de liste de prix spécifi'!$AB$16),EXACT(A13,'Modèle de liste de prix spécifi'!$AB$17),EXACT(A13,'Modèle de liste de prix spécifi'!$AB$18),EXACT(A13,'Modèle de liste de prix spécifi'!$AB$19),EXACT(A13,'Modèle de liste de prix spécifi'!$AB$20),EXACT(A13,'Modèle de liste de prix spécifi'!$AB$21),EXACT(A13,'Modèle de liste de prix spécifi'!$AB$22),EXACT(A13,'Modèle de liste de prix spécifi'!$AB$23),EXACT(A13,'Modèle de liste de prix spécifi'!$AB$24),EXACT(A13,'Modèle de liste de prix spécifi'!$AB$25),EXACT(A13,'Modèle de liste de prix spécifi'!$AB$26),EXACT(A13,'Modèle de liste de prix spécifi'!$AB$27)),"N/A",G13+F13),"")</f>
        <v/>
      </c>
      <c r="I13" s="75"/>
      <c r="J13" s="76" t="str">
        <f t="shared" si="0"/>
        <v/>
      </c>
      <c r="K13" s="57"/>
      <c r="L13" s="159" t="str">
        <f t="shared" si="1"/>
        <v>_8.</v>
      </c>
    </row>
    <row r="14" spans="1:12" s="26" customFormat="1" ht="27" customHeight="1" x14ac:dyDescent="0.25">
      <c r="A14" s="46" t="s">
        <v>67</v>
      </c>
      <c r="B14" s="42"/>
      <c r="C14" s="29" t="str">
        <f>IFERROR(INDEX('Modèle de liste de prix spécifi'!$A$3:$O$278,MATCH('Option C_Choix du modèle d''ECF'!$B14,'Modèle de liste de prix spécifi'!$E$3:$E$278,0),MATCH('Option C_Choix du modèle d''ECF'!C$2,'Modèle de liste de prix spécifi'!$A$3:$O$3,0)),"")</f>
        <v/>
      </c>
      <c r="D14" s="32" t="str">
        <f>IFERROR(INDEX('Modèle de liste de prix spécifi'!$A$3:$O$278,MATCH('Option C_Choix du modèle d''ECF'!$B14,'Modèle de liste de prix spécifi'!$E$3:$E$278,0),MATCH('Option C_Choix du modèle d''ECF'!D$2,'Modèle de liste de prix spécifi'!$A$3:$O$3,0)),"")</f>
        <v/>
      </c>
      <c r="E14" s="32" t="str">
        <f>IFERROR(INDEX('Modèle de liste de prix spécifi'!$A$3:$O$278,MATCH('Option C_Choix du modèle d''ECF'!$B14,'Modèle de liste de prix spécifi'!$E$3:$E$278,0),MATCH('Option C_Choix du modèle d''ECF'!E$2,'Modèle de liste de prix spécifi'!$A$3:$O$3,0)),"")</f>
        <v/>
      </c>
      <c r="F14" s="129" t="str">
        <f>IFERROR(INDEX('Modèle de liste de prix spécifi'!$A$3:$O$278,MATCH('Option C_Choix du modèle d''ECF'!$B14,'Modèle de liste de prix spécifi'!$E$3:$E$278,0),MATCH('Option C_Choix du modèle d''ECF'!F$2,'Modèle de liste de prix spécifi'!$A$3:$O$3,0)),"")</f>
        <v/>
      </c>
      <c r="G14" s="54"/>
      <c r="H14" s="118" t="str">
        <f>IFERROR(IF(OR(EXACT(A14,'Modèle de liste de prix spécifi'!$AB$14),EXACT(A14,'Modèle de liste de prix spécifi'!$AB$16),EXACT(A14,'Modèle de liste de prix spécifi'!$AB$17),EXACT(A14,'Modèle de liste de prix spécifi'!$AB$18),EXACT(A14,'Modèle de liste de prix spécifi'!$AB$19),EXACT(A14,'Modèle de liste de prix spécifi'!$AB$20),EXACT(A14,'Modèle de liste de prix spécifi'!$AB$21),EXACT(A14,'Modèle de liste de prix spécifi'!$AB$22),EXACT(A14,'Modèle de liste de prix spécifi'!$AB$23),EXACT(A14,'Modèle de liste de prix spécifi'!$AB$24),EXACT(A14,'Modèle de liste de prix spécifi'!$AB$25),EXACT(A14,'Modèle de liste de prix spécifi'!$AB$26),EXACT(A14,'Modèle de liste de prix spécifi'!$AB$27)),"N/A",G14+F14),"")</f>
        <v/>
      </c>
      <c r="I14" s="75"/>
      <c r="J14" s="76" t="str">
        <f t="shared" si="0"/>
        <v/>
      </c>
      <c r="K14" s="57"/>
      <c r="L14" s="159" t="str">
        <f t="shared" si="1"/>
        <v>_8.</v>
      </c>
    </row>
    <row r="15" spans="1:12" s="26" customFormat="1" ht="27" customHeight="1" x14ac:dyDescent="0.25">
      <c r="A15" s="46" t="s">
        <v>68</v>
      </c>
      <c r="B15" s="42"/>
      <c r="C15" s="29" t="str">
        <f>IFERROR(INDEX('Modèle de liste de prix spécifi'!$A$3:$O$278,MATCH('Option C_Choix du modèle d''ECF'!$B15,'Modèle de liste de prix spécifi'!$E$3:$E$278,0),MATCH('Option C_Choix du modèle d''ECF'!C$2,'Modèle de liste de prix spécifi'!$A$3:$O$3,0)),"")</f>
        <v/>
      </c>
      <c r="D15" s="32" t="str">
        <f>IFERROR(INDEX('Modèle de liste de prix spécifi'!$A$3:$O$278,MATCH('Option C_Choix du modèle d''ECF'!$B15,'Modèle de liste de prix spécifi'!$E$3:$E$278,0),MATCH('Option C_Choix du modèle d''ECF'!D$2,'Modèle de liste de prix spécifi'!$A$3:$O$3,0)),"")</f>
        <v/>
      </c>
      <c r="E15" s="32" t="str">
        <f>IFERROR(INDEX('Modèle de liste de prix spécifi'!$A$3:$O$278,MATCH('Option C_Choix du modèle d''ECF'!$B15,'Modèle de liste de prix spécifi'!$E$3:$E$278,0),MATCH('Option C_Choix du modèle d''ECF'!E$2,'Modèle de liste de prix spécifi'!$A$3:$O$3,0)),"")</f>
        <v/>
      </c>
      <c r="F15" s="129" t="str">
        <f>IFERROR(INDEX('Modèle de liste de prix spécifi'!$A$3:$O$278,MATCH('Option C_Choix du modèle d''ECF'!$B15,'Modèle de liste de prix spécifi'!$E$3:$E$278,0),MATCH('Option C_Choix du modèle d''ECF'!F$2,'Modèle de liste de prix spécifi'!$A$3:$O$3,0)),"")</f>
        <v/>
      </c>
      <c r="G15" s="54"/>
      <c r="H15" s="118" t="str">
        <f>IFERROR(IF(OR(EXACT(A15,'Modèle de liste de prix spécifi'!$AB$14),EXACT(A15,'Modèle de liste de prix spécifi'!$AB$16),EXACT(A15,'Modèle de liste de prix spécifi'!$AB$17),EXACT(A15,'Modèle de liste de prix spécifi'!$AB$18),EXACT(A15,'Modèle de liste de prix spécifi'!$AB$19),EXACT(A15,'Modèle de liste de prix spécifi'!$AB$20),EXACT(A15,'Modèle de liste de prix spécifi'!$AB$21),EXACT(A15,'Modèle de liste de prix spécifi'!$AB$22),EXACT(A15,'Modèle de liste de prix spécifi'!$AB$23),EXACT(A15,'Modèle de liste de prix spécifi'!$AB$24),EXACT(A15,'Modèle de liste de prix spécifi'!$AB$25),EXACT(A15,'Modèle de liste de prix spécifi'!$AB$26),EXACT(A15,'Modèle de liste de prix spécifi'!$AB$27)),"N/A",G15+F15),"")</f>
        <v/>
      </c>
      <c r="I15" s="75"/>
      <c r="J15" s="76" t="str">
        <f t="shared" si="0"/>
        <v/>
      </c>
      <c r="K15" s="57"/>
      <c r="L15" s="159" t="str">
        <f t="shared" si="1"/>
        <v>_9.</v>
      </c>
    </row>
    <row r="16" spans="1:12" s="26" customFormat="1" ht="27" customHeight="1" x14ac:dyDescent="0.25">
      <c r="A16" s="46" t="s">
        <v>68</v>
      </c>
      <c r="B16" s="42"/>
      <c r="C16" s="29" t="str">
        <f>IFERROR(INDEX('Modèle de liste de prix spécifi'!$A$3:$O$278,MATCH('Option C_Choix du modèle d''ECF'!$B16,'Modèle de liste de prix spécifi'!$E$3:$E$278,0),MATCH('Option C_Choix du modèle d''ECF'!C$2,'Modèle de liste de prix spécifi'!$A$3:$O$3,0)),"")</f>
        <v/>
      </c>
      <c r="D16" s="32" t="str">
        <f>IFERROR(INDEX('Modèle de liste de prix spécifi'!$A$3:$O$278,MATCH('Option C_Choix du modèle d''ECF'!$B16,'Modèle de liste de prix spécifi'!$E$3:$E$278,0),MATCH('Option C_Choix du modèle d''ECF'!D$2,'Modèle de liste de prix spécifi'!$A$3:$O$3,0)),"")</f>
        <v/>
      </c>
      <c r="E16" s="32" t="str">
        <f>IFERROR(INDEX('Modèle de liste de prix spécifi'!$A$3:$O$278,MATCH('Option C_Choix du modèle d''ECF'!$B16,'Modèle de liste de prix spécifi'!$E$3:$E$278,0),MATCH('Option C_Choix du modèle d''ECF'!E$2,'Modèle de liste de prix spécifi'!$A$3:$O$3,0)),"")</f>
        <v/>
      </c>
      <c r="F16" s="129" t="str">
        <f>IFERROR(INDEX('Modèle de liste de prix spécifi'!$A$3:$O$278,MATCH('Option C_Choix du modèle d''ECF'!$B16,'Modèle de liste de prix spécifi'!$E$3:$E$278,0),MATCH('Option C_Choix du modèle d''ECF'!F$2,'Modèle de liste de prix spécifi'!$A$3:$O$3,0)),"")</f>
        <v/>
      </c>
      <c r="G16" s="54"/>
      <c r="H16" s="118" t="str">
        <f>IFERROR(IF(OR(EXACT(A16,'Modèle de liste de prix spécifi'!$AB$14),EXACT(A16,'Modèle de liste de prix spécifi'!$AB$16),EXACT(A16,'Modèle de liste de prix spécifi'!$AB$17),EXACT(A16,'Modèle de liste de prix spécifi'!$AB$18),EXACT(A16,'Modèle de liste de prix spécifi'!$AB$19),EXACT(A16,'Modèle de liste de prix spécifi'!$AB$20),EXACT(A16,'Modèle de liste de prix spécifi'!$AB$21),EXACT(A16,'Modèle de liste de prix spécifi'!$AB$22),EXACT(A16,'Modèle de liste de prix spécifi'!$AB$23),EXACT(A16,'Modèle de liste de prix spécifi'!$AB$24),EXACT(A16,'Modèle de liste de prix spécifi'!$AB$25),EXACT(A16,'Modèle de liste de prix spécifi'!$AB$26),EXACT(A16,'Modèle de liste de prix spécifi'!$AB$27)),"N/A",G16+F16),"")</f>
        <v/>
      </c>
      <c r="I16" s="75"/>
      <c r="J16" s="76" t="str">
        <f t="shared" si="0"/>
        <v/>
      </c>
      <c r="K16" s="57"/>
      <c r="L16" s="159" t="str">
        <f t="shared" si="1"/>
        <v>_9.</v>
      </c>
    </row>
    <row r="17" spans="1:12" s="26" customFormat="1" ht="27" customHeight="1" x14ac:dyDescent="0.25">
      <c r="A17" s="46" t="s">
        <v>68</v>
      </c>
      <c r="B17" s="42"/>
      <c r="C17" s="29" t="str">
        <f>IFERROR(INDEX('Modèle de liste de prix spécifi'!$A$3:$O$278,MATCH('Option C_Choix du modèle d''ECF'!$B17,'Modèle de liste de prix spécifi'!$E$3:$E$278,0),MATCH('Option C_Choix du modèle d''ECF'!C$2,'Modèle de liste de prix spécifi'!$A$3:$O$3,0)),"")</f>
        <v/>
      </c>
      <c r="D17" s="32" t="str">
        <f>IFERROR(INDEX('Modèle de liste de prix spécifi'!$A$3:$O$278,MATCH('Option C_Choix du modèle d''ECF'!$B17,'Modèle de liste de prix spécifi'!$E$3:$E$278,0),MATCH('Option C_Choix du modèle d''ECF'!D$2,'Modèle de liste de prix spécifi'!$A$3:$O$3,0)),"")</f>
        <v/>
      </c>
      <c r="E17" s="32" t="str">
        <f>IFERROR(INDEX('Modèle de liste de prix spécifi'!$A$3:$O$278,MATCH('Option C_Choix du modèle d''ECF'!$B17,'Modèle de liste de prix spécifi'!$E$3:$E$278,0),MATCH('Option C_Choix du modèle d''ECF'!E$2,'Modèle de liste de prix spécifi'!$A$3:$O$3,0)),"")</f>
        <v/>
      </c>
      <c r="F17" s="129" t="str">
        <f>IFERROR(INDEX('Modèle de liste de prix spécifi'!$A$3:$O$278,MATCH('Option C_Choix du modèle d''ECF'!$B17,'Modèle de liste de prix spécifi'!$E$3:$E$278,0),MATCH('Option C_Choix du modèle d''ECF'!F$2,'Modèle de liste de prix spécifi'!$A$3:$O$3,0)),"")</f>
        <v/>
      </c>
      <c r="G17" s="54"/>
      <c r="H17" s="118" t="str">
        <f>IFERROR(IF(OR(EXACT(A17,'Modèle de liste de prix spécifi'!$AB$14),EXACT(A17,'Modèle de liste de prix spécifi'!$AB$16),EXACT(A17,'Modèle de liste de prix spécifi'!$AB$17),EXACT(A17,'Modèle de liste de prix spécifi'!$AB$18),EXACT(A17,'Modèle de liste de prix spécifi'!$AB$19),EXACT(A17,'Modèle de liste de prix spécifi'!$AB$20),EXACT(A17,'Modèle de liste de prix spécifi'!$AB$21),EXACT(A17,'Modèle de liste de prix spécifi'!$AB$22),EXACT(A17,'Modèle de liste de prix spécifi'!$AB$23),EXACT(A17,'Modèle de liste de prix spécifi'!$AB$24),EXACT(A17,'Modèle de liste de prix spécifi'!$AB$25),EXACT(A17,'Modèle de liste de prix spécifi'!$AB$26),EXACT(A17,'Modèle de liste de prix spécifi'!$AB$27)),"N/A",G17+F17),"")</f>
        <v/>
      </c>
      <c r="I17" s="75"/>
      <c r="J17" s="76" t="str">
        <f t="shared" si="0"/>
        <v/>
      </c>
      <c r="K17" s="57"/>
      <c r="L17" s="159" t="str">
        <f t="shared" si="1"/>
        <v>_9.</v>
      </c>
    </row>
    <row r="18" spans="1:12" s="26" customFormat="1" ht="27" customHeight="1" x14ac:dyDescent="0.25">
      <c r="A18" s="47" t="s">
        <v>69</v>
      </c>
      <c r="B18" s="42"/>
      <c r="C18" s="29" t="str">
        <f>IFERROR(INDEX('Modèle de liste de prix spécifi'!$A$3:$O$278,MATCH('Option C_Choix du modèle d''ECF'!$B18,'Modèle de liste de prix spécifi'!$E$3:$E$278,0),MATCH('Option C_Choix du modèle d''ECF'!C$2,'Modèle de liste de prix spécifi'!$A$3:$O$3,0)),"")</f>
        <v/>
      </c>
      <c r="D18" s="32" t="str">
        <f>IFERROR(INDEX('Modèle de liste de prix spécifi'!$A$3:$O$278,MATCH('Option C_Choix du modèle d''ECF'!$B18,'Modèle de liste de prix spécifi'!$E$3:$E$278,0),MATCH('Option C_Choix du modèle d''ECF'!D$2,'Modèle de liste de prix spécifi'!$A$3:$O$3,0)),"")</f>
        <v/>
      </c>
      <c r="E18" s="32" t="str">
        <f>IFERROR(INDEX('Modèle de liste de prix spécifi'!$A$3:$O$278,MATCH('Option C_Choix du modèle d''ECF'!$B18,'Modèle de liste de prix spécifi'!$E$3:$E$278,0),MATCH('Option C_Choix du modèle d''ECF'!E$2,'Modèle de liste de prix spécifi'!$A$3:$O$3,0)),"")</f>
        <v/>
      </c>
      <c r="F18" s="129" t="str">
        <f>IFERROR(INDEX('Modèle de liste de prix spécifi'!$A$3:$O$278,MATCH('Option C_Choix du modèle d''ECF'!$B18,'Modèle de liste de prix spécifi'!$E$3:$E$278,0),MATCH('Option C_Choix du modèle d''ECF'!F$2,'Modèle de liste de prix spécifi'!$A$3:$O$3,0)),"")</f>
        <v/>
      </c>
      <c r="G18" s="54"/>
      <c r="H18" s="118" t="str">
        <f>IFERROR(IF(OR(EXACT(A18,'Modèle de liste de prix spécifi'!$AB$14),EXACT(A18,'Modèle de liste de prix spécifi'!$AB$16),EXACT(A18,'Modèle de liste de prix spécifi'!$AB$17),EXACT(A18,'Modèle de liste de prix spécifi'!$AB$18),EXACT(A18,'Modèle de liste de prix spécifi'!$AB$19),EXACT(A18,'Modèle de liste de prix spécifi'!$AB$20),EXACT(A18,'Modèle de liste de prix spécifi'!$AB$21),EXACT(A18,'Modèle de liste de prix spécifi'!$AB$22),EXACT(A18,'Modèle de liste de prix spécifi'!$AB$23),EXACT(A18,'Modèle de liste de prix spécifi'!$AB$24),EXACT(A18,'Modèle de liste de prix spécifi'!$AB$25),EXACT(A18,'Modèle de liste de prix spécifi'!$AB$26),EXACT(A18,'Modèle de liste de prix spécifi'!$AB$27)),"N/A",G18+F18),"")</f>
        <v/>
      </c>
      <c r="I18" s="75"/>
      <c r="J18" s="76" t="str">
        <f t="shared" si="0"/>
        <v/>
      </c>
      <c r="K18" s="57"/>
      <c r="L18" s="159" t="str">
        <f t="shared" si="1"/>
        <v>_10</v>
      </c>
    </row>
    <row r="19" spans="1:12" s="26" customFormat="1" ht="27" customHeight="1" x14ac:dyDescent="0.25">
      <c r="A19" s="47" t="s">
        <v>69</v>
      </c>
      <c r="B19" s="42"/>
      <c r="C19" s="29" t="str">
        <f>IFERROR(INDEX('Modèle de liste de prix spécifi'!$A$3:$O$278,MATCH('Option C_Choix du modèle d''ECF'!$B19,'Modèle de liste de prix spécifi'!$E$3:$E$278,0),MATCH('Option C_Choix du modèle d''ECF'!C$2,'Modèle de liste de prix spécifi'!$A$3:$O$3,0)),"")</f>
        <v/>
      </c>
      <c r="D19" s="32" t="str">
        <f>IFERROR(INDEX('Modèle de liste de prix spécifi'!$A$3:$O$278,MATCH('Option C_Choix du modèle d''ECF'!$B19,'Modèle de liste de prix spécifi'!$E$3:$E$278,0),MATCH('Option C_Choix du modèle d''ECF'!D$2,'Modèle de liste de prix spécifi'!$A$3:$O$3,0)),"")</f>
        <v/>
      </c>
      <c r="E19" s="32" t="str">
        <f>IFERROR(INDEX('Modèle de liste de prix spécifi'!$A$3:$O$278,MATCH('Option C_Choix du modèle d''ECF'!$B19,'Modèle de liste de prix spécifi'!$E$3:$E$278,0),MATCH('Option C_Choix du modèle d''ECF'!E$2,'Modèle de liste de prix spécifi'!$A$3:$O$3,0)),"")</f>
        <v/>
      </c>
      <c r="F19" s="129" t="str">
        <f>IFERROR(INDEX('Modèle de liste de prix spécifi'!$A$3:$O$278,MATCH('Option C_Choix du modèle d''ECF'!$B19,'Modèle de liste de prix spécifi'!$E$3:$E$278,0),MATCH('Option C_Choix du modèle d''ECF'!F$2,'Modèle de liste de prix spécifi'!$A$3:$O$3,0)),"")</f>
        <v/>
      </c>
      <c r="G19" s="54"/>
      <c r="H19" s="118" t="str">
        <f>IFERROR(IF(OR(EXACT(A19,'Modèle de liste de prix spécifi'!$AB$14),EXACT(A19,'Modèle de liste de prix spécifi'!$AB$16),EXACT(A19,'Modèle de liste de prix spécifi'!$AB$17),EXACT(A19,'Modèle de liste de prix spécifi'!$AB$18),EXACT(A19,'Modèle de liste de prix spécifi'!$AB$19),EXACT(A19,'Modèle de liste de prix spécifi'!$AB$20),EXACT(A19,'Modèle de liste de prix spécifi'!$AB$21),EXACT(A19,'Modèle de liste de prix spécifi'!$AB$22),EXACT(A19,'Modèle de liste de prix spécifi'!$AB$23),EXACT(A19,'Modèle de liste de prix spécifi'!$AB$24),EXACT(A19,'Modèle de liste de prix spécifi'!$AB$25),EXACT(A19,'Modèle de liste de prix spécifi'!$AB$26),EXACT(A19,'Modèle de liste de prix spécifi'!$AB$27)),"N/A",G19+F19),"")</f>
        <v/>
      </c>
      <c r="I19" s="75"/>
      <c r="J19" s="76" t="str">
        <f t="shared" si="0"/>
        <v/>
      </c>
      <c r="K19" s="57"/>
      <c r="L19" s="159" t="str">
        <f t="shared" si="1"/>
        <v>_10</v>
      </c>
    </row>
    <row r="20" spans="1:12" s="26" customFormat="1" ht="27" customHeight="1" x14ac:dyDescent="0.25">
      <c r="A20" s="48" t="s">
        <v>70</v>
      </c>
      <c r="B20" s="42"/>
      <c r="C20" s="29" t="str">
        <f>IFERROR(INDEX('Modèle de liste de prix spécifi'!$A$3:$O$278,MATCH('Option C_Choix du modèle d''ECF'!$B20,'Modèle de liste de prix spécifi'!$E$3:$E$278,0),MATCH('Option C_Choix du modèle d''ECF'!C$2,'Modèle de liste de prix spécifi'!$A$3:$O$3,0)),"")</f>
        <v/>
      </c>
      <c r="D20" s="32" t="str">
        <f>IFERROR(INDEX('Modèle de liste de prix spécifi'!$A$3:$O$278,MATCH('Option C_Choix du modèle d''ECF'!$B20,'Modèle de liste de prix spécifi'!$E$3:$E$278,0),MATCH('Option C_Choix du modèle d''ECF'!D$2,'Modèle de liste de prix spécifi'!$A$3:$O$3,0)),"")</f>
        <v/>
      </c>
      <c r="E20" s="32" t="str">
        <f>IFERROR(INDEX('Modèle de liste de prix spécifi'!$A$3:$O$278,MATCH('Option C_Choix du modèle d''ECF'!$B20,'Modèle de liste de prix spécifi'!$E$3:$E$278,0),MATCH('Option C_Choix du modèle d''ECF'!E$2,'Modèle de liste de prix spécifi'!$A$3:$O$3,0)),"")</f>
        <v/>
      </c>
      <c r="F20" s="129" t="str">
        <f>IFERROR(INDEX('Modèle de liste de prix spécifi'!$A$3:$O$278,MATCH('Option C_Choix du modèle d''ECF'!$B20,'Modèle de liste de prix spécifi'!$E$3:$E$278,0),MATCH('Option C_Choix du modèle d''ECF'!F$2,'Modèle de liste de prix spécifi'!$A$3:$O$3,0)),"")</f>
        <v/>
      </c>
      <c r="G20" s="177"/>
      <c r="H20" s="118" t="str">
        <f>IFERROR(IF(OR(EXACT(A20,'Modèle de liste de prix spécifi'!$AB$14),EXACT(A20,'Modèle de liste de prix spécifi'!$AB$16),EXACT(A20,'Modèle de liste de prix spécifi'!$AB$17),EXACT(A20,'Modèle de liste de prix spécifi'!$AB$18),EXACT(A20,'Modèle de liste de prix spécifi'!$AB$19),EXACT(A20,'Modèle de liste de prix spécifi'!$AB$20),EXACT(A20,'Modèle de liste de prix spécifi'!$AB$21),EXACT(A20,'Modèle de liste de prix spécifi'!$AB$22),EXACT(A20,'Modèle de liste de prix spécifi'!$AB$23),EXACT(A20,'Modèle de liste de prix spécifi'!$AB$24),EXACT(A20,'Modèle de liste de prix spécifi'!$AB$25),EXACT(A20,'Modèle de liste de prix spécifi'!$AB$26),EXACT(A20,'Modèle de liste de prix spécifi'!$AB$27)),"N/A",G20+F20),"")</f>
        <v>N/A</v>
      </c>
      <c r="I20" s="75"/>
      <c r="J20" s="76" t="str">
        <f t="shared" si="0"/>
        <v/>
      </c>
      <c r="K20" s="57"/>
      <c r="L20" s="159" t="str">
        <f t="shared" si="1"/>
        <v>_11</v>
      </c>
    </row>
    <row r="21" spans="1:12" s="26" customFormat="1" ht="27" customHeight="1" x14ac:dyDescent="0.25">
      <c r="A21" s="49" t="s">
        <v>71</v>
      </c>
      <c r="B21" s="42"/>
      <c r="C21" s="29" t="str">
        <f>IFERROR(INDEX('Modèle de liste de prix spécifi'!$A$3:$O$278,MATCH('Option C_Choix du modèle d''ECF'!$B21,'Modèle de liste de prix spécifi'!$E$3:$E$278,0),MATCH('Option C_Choix du modèle d''ECF'!C$2,'Modèle de liste de prix spécifi'!$A$3:$O$3,0)),"")</f>
        <v/>
      </c>
      <c r="D21" s="32" t="str">
        <f>IFERROR(INDEX('Modèle de liste de prix spécifi'!$A$3:$O$278,MATCH('Option C_Choix du modèle d''ECF'!$B21,'Modèle de liste de prix spécifi'!$E$3:$E$278,0),MATCH('Option C_Choix du modèle d''ECF'!D$2,'Modèle de liste de prix spécifi'!$A$3:$O$3,0)),"")</f>
        <v/>
      </c>
      <c r="E21" s="32" t="str">
        <f>IFERROR(INDEX('Modèle de liste de prix spécifi'!$A$3:$O$278,MATCH('Option C_Choix du modèle d''ECF'!$B21,'Modèle de liste de prix spécifi'!$E$3:$E$278,0),MATCH('Option C_Choix du modèle d''ECF'!E$2,'Modèle de liste de prix spécifi'!$A$3:$O$3,0)),"")</f>
        <v/>
      </c>
      <c r="F21" s="129" t="str">
        <f>IFERROR(INDEX('Modèle de liste de prix spécifi'!$A$3:$O$278,MATCH('Option C_Choix du modèle d''ECF'!$B21,'Modèle de liste de prix spécifi'!$E$3:$E$278,0),MATCH('Option C_Choix du modèle d''ECF'!F$2,'Modèle de liste de prix spécifi'!$A$3:$O$3,0)),"")</f>
        <v/>
      </c>
      <c r="G21" s="54"/>
      <c r="H21" s="118" t="str">
        <f>IFERROR(IF(OR(EXACT(A21,'Modèle de liste de prix spécifi'!$AB$14),EXACT(A21,'Modèle de liste de prix spécifi'!$AB$16),EXACT(A21,'Modèle de liste de prix spécifi'!$AB$17),EXACT(A21,'Modèle de liste de prix spécifi'!$AB$18),EXACT(A21,'Modèle de liste de prix spécifi'!$AB$19),EXACT(A21,'Modèle de liste de prix spécifi'!$AB$20),EXACT(A21,'Modèle de liste de prix spécifi'!$AB$21),EXACT(A21,'Modèle de liste de prix spécifi'!$AB$22),EXACT(A21,'Modèle de liste de prix spécifi'!$AB$23),EXACT(A21,'Modèle de liste de prix spécifi'!$AB$24),EXACT(A21,'Modèle de liste de prix spécifi'!$AB$25),EXACT(A21,'Modèle de liste de prix spécifi'!$AB$26),EXACT(A21,'Modèle de liste de prix spécifi'!$AB$27)),"N/A",G21+F21),"")</f>
        <v/>
      </c>
      <c r="I21" s="75"/>
      <c r="J21" s="76" t="str">
        <f t="shared" si="0"/>
        <v/>
      </c>
      <c r="K21" s="57"/>
      <c r="L21" s="159" t="str">
        <f t="shared" si="1"/>
        <v>_12</v>
      </c>
    </row>
    <row r="22" spans="1:12" s="26" customFormat="1" ht="27" customHeight="1" x14ac:dyDescent="0.25">
      <c r="A22" s="49" t="s">
        <v>71</v>
      </c>
      <c r="B22" s="42"/>
      <c r="C22" s="29" t="str">
        <f>IFERROR(INDEX('Modèle de liste de prix spécifi'!$A$3:$O$278,MATCH('Option C_Choix du modèle d''ECF'!$B22,'Modèle de liste de prix spécifi'!$E$3:$E$278,0),MATCH('Option C_Choix du modèle d''ECF'!C$2,'Modèle de liste de prix spécifi'!$A$3:$O$3,0)),"")</f>
        <v/>
      </c>
      <c r="D22" s="32" t="str">
        <f>IFERROR(INDEX('Modèle de liste de prix spécifi'!$A$3:$O$278,MATCH('Option C_Choix du modèle d''ECF'!$B22,'Modèle de liste de prix spécifi'!$E$3:$E$278,0),MATCH('Option C_Choix du modèle d''ECF'!D$2,'Modèle de liste de prix spécifi'!$A$3:$O$3,0)),"")</f>
        <v/>
      </c>
      <c r="E22" s="32" t="str">
        <f>IFERROR(INDEX('Modèle de liste de prix spécifi'!$A$3:$O$278,MATCH('Option C_Choix du modèle d''ECF'!$B22,'Modèle de liste de prix spécifi'!$E$3:$E$278,0),MATCH('Option C_Choix du modèle d''ECF'!E$2,'Modèle de liste de prix spécifi'!$A$3:$O$3,0)),"")</f>
        <v/>
      </c>
      <c r="F22" s="129" t="str">
        <f>IFERROR(INDEX('Modèle de liste de prix spécifi'!$A$3:$O$278,MATCH('Option C_Choix du modèle d''ECF'!$B22,'Modèle de liste de prix spécifi'!$E$3:$E$278,0),MATCH('Option C_Choix du modèle d''ECF'!F$2,'Modèle de liste de prix spécifi'!$A$3:$O$3,0)),"")</f>
        <v/>
      </c>
      <c r="G22" s="54"/>
      <c r="H22" s="118" t="str">
        <f>IFERROR(IF(OR(EXACT(A22,'Modèle de liste de prix spécifi'!$AB$14),EXACT(A22,'Modèle de liste de prix spécifi'!$AB$16),EXACT(A22,'Modèle de liste de prix spécifi'!$AB$17),EXACT(A22,'Modèle de liste de prix spécifi'!$AB$18),EXACT(A22,'Modèle de liste de prix spécifi'!$AB$19),EXACT(A22,'Modèle de liste de prix spécifi'!$AB$20),EXACT(A22,'Modèle de liste de prix spécifi'!$AB$21),EXACT(A22,'Modèle de liste de prix spécifi'!$AB$22),EXACT(A22,'Modèle de liste de prix spécifi'!$AB$23),EXACT(A22,'Modèle de liste de prix spécifi'!$AB$24),EXACT(A22,'Modèle de liste de prix spécifi'!$AB$25),EXACT(A22,'Modèle de liste de prix spécifi'!$AB$26),EXACT(A22,'Modèle de liste de prix spécifi'!$AB$27)),"N/A",G22+F22),"")</f>
        <v/>
      </c>
      <c r="I22" s="75"/>
      <c r="J22" s="76" t="str">
        <f t="shared" si="0"/>
        <v/>
      </c>
      <c r="K22" s="57"/>
      <c r="L22" s="159" t="str">
        <f t="shared" si="1"/>
        <v>_12</v>
      </c>
    </row>
    <row r="23" spans="1:12" s="26" customFormat="1" ht="27" customHeight="1" x14ac:dyDescent="0.25">
      <c r="A23" s="49" t="s">
        <v>437</v>
      </c>
      <c r="B23" s="42"/>
      <c r="C23" s="29" t="str">
        <f>IFERROR(INDEX('Modèle de liste de prix spécifi'!$A$3:$O$278,MATCH('Option C_Choix du modèle d''ECF'!$B23,'Modèle de liste de prix spécifi'!$E$3:$E$278,0),MATCH('Option C_Choix du modèle d''ECF'!C$2,'Modèle de liste de prix spécifi'!$A$3:$O$3,0)),"")</f>
        <v/>
      </c>
      <c r="D23" s="32" t="str">
        <f>IFERROR(INDEX('Modèle de liste de prix spécifi'!$A$3:$O$278,MATCH('Option C_Choix du modèle d''ECF'!$B23,'Modèle de liste de prix spécifi'!$E$3:$E$278,0),MATCH('Option C_Choix du modèle d''ECF'!D$2,'Modèle de liste de prix spécifi'!$A$3:$O$3,0)),"")</f>
        <v/>
      </c>
      <c r="E23" s="32" t="str">
        <f>IFERROR(INDEX('Modèle de liste de prix spécifi'!$A$3:$O$278,MATCH('Option C_Choix du modèle d''ECF'!$B23,'Modèle de liste de prix spécifi'!$E$3:$E$278,0),MATCH('Option C_Choix du modèle d''ECF'!E$2,'Modèle de liste de prix spécifi'!$A$3:$O$3,0)),"")</f>
        <v/>
      </c>
      <c r="F23" s="129" t="str">
        <f>IFERROR(INDEX('Modèle de liste de prix spécifi'!$A$3:$O$278,MATCH('Option C_Choix du modèle d''ECF'!$B23,'Modèle de liste de prix spécifi'!$E$3:$E$278,0),MATCH('Option C_Choix du modèle d''ECF'!F$2,'Modèle de liste de prix spécifi'!$A$3:$O$3,0)),"")</f>
        <v/>
      </c>
      <c r="G23" s="177"/>
      <c r="H23" s="118" t="str">
        <f>IFERROR(IF(OR(EXACT(A23,'Modèle de liste de prix spécifi'!$AB$14),EXACT(A23,'Modèle de liste de prix spécifi'!$AB$16),EXACT(A23,'Modèle de liste de prix spécifi'!$AB$17),EXACT(A23,'Modèle de liste de prix spécifi'!$AB$18),EXACT(A23,'Modèle de liste de prix spécifi'!$AB$19),EXACT(A23,'Modèle de liste de prix spécifi'!$AB$20),EXACT(A23,'Modèle de liste de prix spécifi'!$AB$21),EXACT(A23,'Modèle de liste de prix spécifi'!$AB$22),EXACT(A23,'Modèle de liste de prix spécifi'!$AB$23),EXACT(A23,'Modèle de liste de prix spécifi'!$AB$24),EXACT(A23,'Modèle de liste de prix spécifi'!$AB$25),EXACT(A23,'Modèle de liste de prix spécifi'!$AB$26),EXACT(A23,'Modèle de liste de prix spécifi'!$AB$27)),"N/A",G23+F23),"")</f>
        <v>N/A</v>
      </c>
      <c r="I23" s="75"/>
      <c r="J23" s="76" t="str">
        <f t="shared" si="0"/>
        <v/>
      </c>
      <c r="K23" s="57"/>
      <c r="L23" s="159" t="str">
        <f t="shared" si="1"/>
        <v>_13</v>
      </c>
    </row>
    <row r="24" spans="1:12" s="26" customFormat="1" ht="27" customHeight="1" x14ac:dyDescent="0.25">
      <c r="A24" s="49" t="s">
        <v>436</v>
      </c>
      <c r="B24" s="42"/>
      <c r="C24" s="29" t="str">
        <f>IFERROR(INDEX('Modèle de liste de prix spécifi'!$A$3:$O$278,MATCH('Option C_Choix du modèle d''ECF'!$B24,'Modèle de liste de prix spécifi'!$E$3:$E$278,0),MATCH('Option C_Choix du modèle d''ECF'!C$2,'Modèle de liste de prix spécifi'!$A$3:$O$3,0)),"")</f>
        <v/>
      </c>
      <c r="D24" s="158" t="str">
        <f>IFERROR(INDEX('Modèle de liste de prix spécifi'!$A$3:$O$278,MATCH('Option C_Choix du modèle d''ECF'!$B24,'Modèle de liste de prix spécifi'!$E$3:$E$278,0),MATCH('Option C_Choix du modèle d''ECF'!D$2,'Modèle de liste de prix spécifi'!$A$3:$O$3,0)),"")</f>
        <v/>
      </c>
      <c r="E24" s="32" t="str">
        <f>IFERROR(INDEX('Modèle de liste de prix spécifi'!$A$3:$O$278,MATCH('Option C_Choix du modèle d''ECF'!$B24,'Modèle de liste de prix spécifi'!$E$3:$E$278,0),MATCH('Option C_Choix du modèle d''ECF'!E$2,'Modèle de liste de prix spécifi'!$A$3:$O$3,0)),"")</f>
        <v/>
      </c>
      <c r="F24" s="129" t="str">
        <f>IFERROR(INDEX('Modèle de liste de prix spécifi'!$A$3:$O$278,MATCH('Option C_Choix du modèle d''ECF'!$B24,'Modèle de liste de prix spécifi'!$E$3:$E$278,0),MATCH('Option C_Choix du modèle d''ECF'!F$2,'Modèle de liste de prix spécifi'!$A$3:$O$3,0)),"")</f>
        <v/>
      </c>
      <c r="G24" s="177"/>
      <c r="H24" s="118" t="str">
        <f>IFERROR(IF(OR(EXACT(A24,'Modèle de liste de prix spécifi'!$AB$14),EXACT(A24,'Modèle de liste de prix spécifi'!$AB$16),EXACT(A24,'Modèle de liste de prix spécifi'!$AB$17),EXACT(A24,'Modèle de liste de prix spécifi'!$AB$18),EXACT(A24,'Modèle de liste de prix spécifi'!$AB$19),EXACT(A24,'Modèle de liste de prix spécifi'!$AB$20),EXACT(A24,'Modèle de liste de prix spécifi'!$AB$21),EXACT(A24,'Modèle de liste de prix spécifi'!$AB$22),EXACT(A24,'Modèle de liste de prix spécifi'!$AB$23),EXACT(A24,'Modèle de liste de prix spécifi'!$AB$24),EXACT(A24,'Modèle de liste de prix spécifi'!$AB$25),EXACT(A24,'Modèle de liste de prix spécifi'!$AB$26),EXACT(A24,'Modèle de liste de prix spécifi'!$AB$27)),"N/A",G24+F24),"")</f>
        <v>N/A</v>
      </c>
      <c r="I24" s="75"/>
      <c r="J24" s="76" t="str">
        <f t="shared" si="0"/>
        <v/>
      </c>
      <c r="K24" s="57"/>
      <c r="L24" s="159" t="str">
        <f t="shared" si="1"/>
        <v>_14</v>
      </c>
    </row>
    <row r="25" spans="1:12" s="26" customFormat="1" ht="27" customHeight="1" x14ac:dyDescent="0.25">
      <c r="A25" s="50" t="s">
        <v>72</v>
      </c>
      <c r="B25" s="42"/>
      <c r="C25" s="29" t="str">
        <f>IFERROR(INDEX('Modèle de liste de prix spécifi'!$A$3:$O$278,MATCH('Option C_Choix du modèle d''ECF'!$B25,'Modèle de liste de prix spécifi'!$E$3:$E$278,0),MATCH('Option C_Choix du modèle d''ECF'!C$2,'Modèle de liste de prix spécifi'!$A$3:$O$3,0)),"")</f>
        <v/>
      </c>
      <c r="D25" s="32" t="str">
        <f>IFERROR(INDEX('Modèle de liste de prix spécifi'!$A$3:$O$278,MATCH('Option C_Choix du modèle d''ECF'!$B25,'Modèle de liste de prix spécifi'!$E$3:$E$278,0),MATCH('Option C_Choix du modèle d''ECF'!D$2,'Modèle de liste de prix spécifi'!$A$3:$O$3,0)),"")</f>
        <v/>
      </c>
      <c r="E25" s="32" t="str">
        <f>IFERROR(INDEX('Modèle de liste de prix spécifi'!$A$3:$O$278,MATCH('Option C_Choix du modèle d''ECF'!$B25,'Modèle de liste de prix spécifi'!$E$3:$E$278,0),MATCH('Option C_Choix du modèle d''ECF'!E$2,'Modèle de liste de prix spécifi'!$A$3:$O$3,0)),"")</f>
        <v/>
      </c>
      <c r="F25" s="129" t="str">
        <f>IFERROR(INDEX('Modèle de liste de prix spécifi'!$A$3:$O$278,MATCH('Option C_Choix du modèle d''ECF'!$B25,'Modèle de liste de prix spécifi'!$E$3:$E$278,0),MATCH('Option C_Choix du modèle d''ECF'!F$2,'Modèle de liste de prix spécifi'!$A$3:$O$3,0)),"")</f>
        <v/>
      </c>
      <c r="G25" s="177"/>
      <c r="H25" s="118" t="str">
        <f>IFERROR(IF(OR(EXACT(A25,'Modèle de liste de prix spécifi'!$AB$14),EXACT(A25,'Modèle de liste de prix spécifi'!$AB$16),EXACT(A25,'Modèle de liste de prix spécifi'!$AB$17),EXACT(A25,'Modèle de liste de prix spécifi'!$AB$18),EXACT(A25,'Modèle de liste de prix spécifi'!$AB$19),EXACT(A25,'Modèle de liste de prix spécifi'!$AB$20),EXACT(A25,'Modèle de liste de prix spécifi'!$AB$21),EXACT(A25,'Modèle de liste de prix spécifi'!$AB$22),EXACT(A25,'Modèle de liste de prix spécifi'!$AB$23),EXACT(A25,'Modèle de liste de prix spécifi'!$AB$24),EXACT(A25,'Modèle de liste de prix spécifi'!$AB$25),EXACT(A25,'Modèle de liste de prix spécifi'!$AB$26),EXACT(A25,'Modèle de liste de prix spécifi'!$AB$27)),"N/A",G25+F25),"")</f>
        <v>N/A</v>
      </c>
      <c r="I25" s="75"/>
      <c r="J25" s="76" t="str">
        <f t="shared" si="0"/>
        <v/>
      </c>
      <c r="K25" s="57"/>
      <c r="L25" s="159" t="str">
        <f t="shared" si="1"/>
        <v>_15</v>
      </c>
    </row>
    <row r="26" spans="1:12" s="26" customFormat="1" ht="27" customHeight="1" x14ac:dyDescent="0.25">
      <c r="A26" s="50" t="s">
        <v>438</v>
      </c>
      <c r="B26" s="42"/>
      <c r="C26" s="29" t="str">
        <f>IFERROR(INDEX('Modèle de liste de prix spécifi'!$A$3:$O$278,MATCH('Option C_Choix du modèle d''ECF'!$B26,'Modèle de liste de prix spécifi'!$E$3:$E$278,0),MATCH('Option C_Choix du modèle d''ECF'!C$2,'Modèle de liste de prix spécifi'!$A$3:$O$3,0)),"")</f>
        <v/>
      </c>
      <c r="D26" s="32" t="str">
        <f>IFERROR(INDEX('Modèle de liste de prix spécifi'!$A$3:$O$278,MATCH('Option C_Choix du modèle d''ECF'!$B26,'Modèle de liste de prix spécifi'!$E$3:$E$278,0),MATCH('Option C_Choix du modèle d''ECF'!D$2,'Modèle de liste de prix spécifi'!$A$3:$O$3,0)),"")</f>
        <v/>
      </c>
      <c r="E26" s="32" t="str">
        <f>IFERROR(INDEX('Modèle de liste de prix spécifi'!$A$3:$O$278,MATCH('Option C_Choix du modèle d''ECF'!$B26,'Modèle de liste de prix spécifi'!$E$3:$E$278,0),MATCH('Option C_Choix du modèle d''ECF'!E$2,'Modèle de liste de prix spécifi'!$A$3:$O$3,0)),"")</f>
        <v/>
      </c>
      <c r="F26" s="129" t="str">
        <f>IFERROR(INDEX('Modèle de liste de prix spécifi'!$A$3:$O$278,MATCH('Option C_Choix du modèle d''ECF'!$B26,'Modèle de liste de prix spécifi'!$E$3:$E$278,0),MATCH('Option C_Choix du modèle d''ECF'!F$2,'Modèle de liste de prix spécifi'!$A$3:$O$3,0)),"")</f>
        <v/>
      </c>
      <c r="G26" s="177"/>
      <c r="H26" s="118" t="str">
        <f>IFERROR(IF(OR(EXACT(A26,'Modèle de liste de prix spécifi'!$AB$14),EXACT(A26,'Modèle de liste de prix spécifi'!$AB$16),EXACT(A26,'Modèle de liste de prix spécifi'!$AB$17),EXACT(A26,'Modèle de liste de prix spécifi'!$AB$18),EXACT(A26,'Modèle de liste de prix spécifi'!$AB$19),EXACT(A26,'Modèle de liste de prix spécifi'!$AB$20),EXACT(A26,'Modèle de liste de prix spécifi'!$AB$21),EXACT(A26,'Modèle de liste de prix spécifi'!$AB$22),EXACT(A26,'Modèle de liste de prix spécifi'!$AB$23),EXACT(A26,'Modèle de liste de prix spécifi'!$AB$24),EXACT(A26,'Modèle de liste de prix spécifi'!$AB$25),EXACT(A26,'Modèle de liste de prix spécifi'!$AB$26),EXACT(A26,'Modèle de liste de prix spécifi'!$AB$27)),"N/A",G26+F26),"")</f>
        <v>N/A</v>
      </c>
      <c r="I26" s="75"/>
      <c r="J26" s="76" t="str">
        <f t="shared" si="0"/>
        <v/>
      </c>
      <c r="K26" s="57"/>
      <c r="L26" s="159" t="str">
        <f t="shared" si="1"/>
        <v>_16</v>
      </c>
    </row>
    <row r="27" spans="1:12" s="26" customFormat="1" ht="27" customHeight="1" x14ac:dyDescent="0.25">
      <c r="A27" s="51" t="s">
        <v>73</v>
      </c>
      <c r="B27" s="42"/>
      <c r="C27" s="29" t="str">
        <f>IFERROR(INDEX('Modèle de liste de prix spécifi'!$A$3:$O$278,MATCH('Option C_Choix du modèle d''ECF'!$B27,'Modèle de liste de prix spécifi'!$E$3:$E$278,0),MATCH('Option C_Choix du modèle d''ECF'!C$2,'Modèle de liste de prix spécifi'!$A$3:$O$3,0)),"")</f>
        <v/>
      </c>
      <c r="D27" s="32" t="str">
        <f>IFERROR(INDEX('Modèle de liste de prix spécifi'!$A$3:$O$278,MATCH('Option C_Choix du modèle d''ECF'!$B27,'Modèle de liste de prix spécifi'!$E$3:$E$278,0),MATCH('Option C_Choix du modèle d''ECF'!D$2,'Modèle de liste de prix spécifi'!$A$3:$O$3,0)),"")</f>
        <v/>
      </c>
      <c r="E27" s="32" t="str">
        <f>IFERROR(INDEX('Modèle de liste de prix spécifi'!$A$3:$O$278,MATCH('Option C_Choix du modèle d''ECF'!$B27,'Modèle de liste de prix spécifi'!$E$3:$E$278,0),MATCH('Option C_Choix du modèle d''ECF'!E$2,'Modèle de liste de prix spécifi'!$A$3:$O$3,0)),"")</f>
        <v/>
      </c>
      <c r="F27" s="129" t="str">
        <f>IFERROR(INDEX('Modèle de liste de prix spécifi'!$A$3:$O$278,MATCH('Option C_Choix du modèle d''ECF'!$B27,'Modèle de liste de prix spécifi'!$E$3:$E$278,0),MATCH('Option C_Choix du modèle d''ECF'!F$2,'Modèle de liste de prix spécifi'!$A$3:$O$3,0)),"")</f>
        <v/>
      </c>
      <c r="G27" s="177"/>
      <c r="H27" s="118" t="str">
        <f>IFERROR(IF(OR(EXACT(A27,'Modèle de liste de prix spécifi'!$AB$14),EXACT(A27,'Modèle de liste de prix spécifi'!$AB$16),EXACT(A27,'Modèle de liste de prix spécifi'!$AB$17),EXACT(A27,'Modèle de liste de prix spécifi'!$AB$18),EXACT(A27,'Modèle de liste de prix spécifi'!$AB$19),EXACT(A27,'Modèle de liste de prix spécifi'!$AB$20),EXACT(A27,'Modèle de liste de prix spécifi'!$AB$21),EXACT(A27,'Modèle de liste de prix spécifi'!$AB$22),EXACT(A27,'Modèle de liste de prix spécifi'!$AB$23),EXACT(A27,'Modèle de liste de prix spécifi'!$AB$24),EXACT(A27,'Modèle de liste de prix spécifi'!$AB$25),EXACT(A27,'Modèle de liste de prix spécifi'!$AB$26),EXACT(A27,'Modèle de liste de prix spécifi'!$AB$27)),"N/A",G27+F27),"")</f>
        <v>N/A</v>
      </c>
      <c r="I27" s="75"/>
      <c r="J27" s="76" t="str">
        <f t="shared" si="0"/>
        <v/>
      </c>
      <c r="K27" s="57"/>
      <c r="L27" s="159" t="str">
        <f t="shared" si="1"/>
        <v>_17</v>
      </c>
    </row>
    <row r="28" spans="1:12" s="26" customFormat="1" ht="27" customHeight="1" x14ac:dyDescent="0.25">
      <c r="A28" s="52" t="s">
        <v>74</v>
      </c>
      <c r="B28" s="42"/>
      <c r="C28" s="29" t="str">
        <f>IFERROR(INDEX('Modèle de liste de prix spécifi'!$A$3:$O$278,MATCH('Option C_Choix du modèle d''ECF'!$B28,'Modèle de liste de prix spécifi'!$E$3:$E$278,0),MATCH('Option C_Choix du modèle d''ECF'!C$2,'Modèle de liste de prix spécifi'!$A$3:$O$3,0)),"")</f>
        <v/>
      </c>
      <c r="D28" s="32" t="str">
        <f>IFERROR(INDEX('Modèle de liste de prix spécifi'!$A$3:$O$278,MATCH('Option C_Choix du modèle d''ECF'!$B28,'Modèle de liste de prix spécifi'!$E$3:$E$278,0),MATCH('Option C_Choix du modèle d''ECF'!D$2,'Modèle de liste de prix spécifi'!$A$3:$O$3,0)),"")</f>
        <v/>
      </c>
      <c r="E28" s="32" t="str">
        <f>IFERROR(INDEX('Modèle de liste de prix spécifi'!$A$3:$O$278,MATCH('Option C_Choix du modèle d''ECF'!$B28,'Modèle de liste de prix spécifi'!$E$3:$E$278,0),MATCH('Option C_Choix du modèle d''ECF'!E$2,'Modèle de liste de prix spécifi'!$A$3:$O$3,0)),"")</f>
        <v/>
      </c>
      <c r="F28" s="204" t="str">
        <f>IFERROR(INDEX('Modèle de liste de prix spécifi'!$A$3:$O$278,MATCH('Option C_Choix du modèle d''ECF'!$B28,'Modèle de liste de prix spécifi'!$E$3:$E$278,0),MATCH('Option C_Choix du modèle d''ECF'!F$2,'Modèle de liste de prix spécifi'!$A$3:$O$3,0)),"")</f>
        <v/>
      </c>
      <c r="G28" s="177"/>
      <c r="H28" s="118" t="str">
        <f>IFERROR(IF(OR(EXACT(A28,'Modèle de liste de prix spécifi'!$AB$14),EXACT(A28,'Modèle de liste de prix spécifi'!$AB$16),EXACT(A28,'Modèle de liste de prix spécifi'!$AB$17),EXACT(A28,'Modèle de liste de prix spécifi'!$AB$18),EXACT(A28,'Modèle de liste de prix spécifi'!$AB$19),EXACT(A28,'Modèle de liste de prix spécifi'!$AB$20),EXACT(A28,'Modèle de liste de prix spécifi'!$AB$21),EXACT(A28,'Modèle de liste de prix spécifi'!$AB$22),EXACT(A28,'Modèle de liste de prix spécifi'!$AB$23),EXACT(A28,'Modèle de liste de prix spécifi'!$AB$24),EXACT(A28,'Modèle de liste de prix spécifi'!$AB$25),EXACT(A28,'Modèle de liste de prix spécifi'!$AB$26),EXACT(A28,'Modèle de liste de prix spécifi'!$AB$27)),"N/A",G28+F28),"")</f>
        <v>N/A</v>
      </c>
      <c r="I28" s="75"/>
      <c r="J28" s="76" t="str">
        <f t="shared" si="0"/>
        <v/>
      </c>
      <c r="K28" s="57"/>
      <c r="L28" s="159" t="str">
        <f t="shared" si="1"/>
        <v>_18</v>
      </c>
    </row>
    <row r="29" spans="1:12" s="26" customFormat="1" ht="27" customHeight="1" x14ac:dyDescent="0.25">
      <c r="A29" s="53" t="s">
        <v>75</v>
      </c>
      <c r="B29" s="42"/>
      <c r="C29" s="29" t="str">
        <f>IFERROR(INDEX('Modèle de liste de prix spécifi'!$A$3:$O$278,MATCH('Option C_Choix du modèle d''ECF'!$B29,'Modèle de liste de prix spécifi'!$E$3:$E$278,0),MATCH('Option C_Choix du modèle d''ECF'!C$2,'Modèle de liste de prix spécifi'!$A$3:$O$3,0)),"")</f>
        <v/>
      </c>
      <c r="D29" s="32" t="str">
        <f>IFERROR(INDEX('Modèle de liste de prix spécifi'!$A$3:$O$278,MATCH('Option C_Choix du modèle d''ECF'!$B29,'Modèle de liste de prix spécifi'!$E$3:$E$278,0),MATCH('Option C_Choix du modèle d''ECF'!D$2,'Modèle de liste de prix spécifi'!$A$3:$O$3,0)),"")</f>
        <v/>
      </c>
      <c r="E29" s="32" t="str">
        <f>IFERROR(INDEX('Modèle de liste de prix spécifi'!$A$3:$O$278,MATCH('Option C_Choix du modèle d''ECF'!$B29,'Modèle de liste de prix spécifi'!$E$3:$E$278,0),MATCH('Option C_Choix du modèle d''ECF'!E$2,'Modèle de liste de prix spécifi'!$A$3:$O$3,0)),"")</f>
        <v/>
      </c>
      <c r="F29" s="204" t="str">
        <f>IFERROR(INDEX('Modèle de liste de prix spécifi'!$A$3:$O$278,MATCH('Option C_Choix du modèle d''ECF'!$B29,'Modèle de liste de prix spécifi'!$E$3:$E$278,0),MATCH('Option C_Choix du modèle d''ECF'!F$2,'Modèle de liste de prix spécifi'!$A$3:$O$3,0)),"")</f>
        <v/>
      </c>
      <c r="G29" s="177"/>
      <c r="H29" s="118" t="str">
        <f>IFERROR(IF(OR(EXACT(A29,'Modèle de liste de prix spécifi'!$AB$14),EXACT(A29,'Modèle de liste de prix spécifi'!$AB$16),EXACT(A29,'Modèle de liste de prix spécifi'!$AB$17),EXACT(A29,'Modèle de liste de prix spécifi'!$AB$18),EXACT(A29,'Modèle de liste de prix spécifi'!$AB$19),EXACT(A29,'Modèle de liste de prix spécifi'!$AB$20),EXACT(A29,'Modèle de liste de prix spécifi'!$AB$21),EXACT(A29,'Modèle de liste de prix spécifi'!$AB$22),EXACT(A29,'Modèle de liste de prix spécifi'!$AB$23),EXACT(A29,'Modèle de liste de prix spécifi'!$AB$24),EXACT(A29,'Modèle de liste de prix spécifi'!$AB$25),EXACT(A29,'Modèle de liste de prix spécifi'!$AB$26),EXACT(A29,'Modèle de liste de prix spécifi'!$AB$27)),"N/A",G29+F29),"")</f>
        <v>N/A</v>
      </c>
      <c r="I29" s="75"/>
      <c r="J29" s="76" t="str">
        <f t="shared" si="0"/>
        <v/>
      </c>
      <c r="K29" s="57"/>
      <c r="L29" s="159" t="str">
        <f t="shared" si="1"/>
        <v>_19</v>
      </c>
    </row>
    <row r="30" spans="1:12" s="26" customFormat="1" ht="27" customHeight="1" x14ac:dyDescent="0.25">
      <c r="A30" s="53" t="s">
        <v>76</v>
      </c>
      <c r="B30" s="42"/>
      <c r="C30" s="29" t="str">
        <f>IFERROR(INDEX('Modèle de liste de prix spécifi'!$A$3:$O$278,MATCH('Option C_Choix du modèle d''ECF'!$B30,'Modèle de liste de prix spécifi'!$E$3:$E$278,0),MATCH('Option C_Choix du modèle d''ECF'!C$2,'Modèle de liste de prix spécifi'!$A$3:$O$3,0)),"")</f>
        <v/>
      </c>
      <c r="D30" s="32" t="str">
        <f>IFERROR(INDEX('Modèle de liste de prix spécifi'!$A$3:$O$278,MATCH('Option C_Choix du modèle d''ECF'!$B30,'Modèle de liste de prix spécifi'!$E$3:$E$278,0),MATCH('Option C_Choix du modèle d''ECF'!D$2,'Modèle de liste de prix spécifi'!$A$3:$O$3,0)),"")</f>
        <v/>
      </c>
      <c r="E30" s="32" t="str">
        <f>IFERROR(INDEX('Modèle de liste de prix spécifi'!$A$3:$O$278,MATCH('Option C_Choix du modèle d''ECF'!$B30,'Modèle de liste de prix spécifi'!$E$3:$E$278,0),MATCH('Option C_Choix du modèle d''ECF'!E$2,'Modèle de liste de prix spécifi'!$A$3:$O$3,0)),"")</f>
        <v/>
      </c>
      <c r="F30" s="204" t="str">
        <f>IFERROR(INDEX('Modèle de liste de prix spécifi'!$A$3:$O$278,MATCH('Option C_Choix du modèle d''ECF'!$B30,'Modèle de liste de prix spécifi'!$E$3:$E$278,0),MATCH('Option C_Choix du modèle d''ECF'!F$2,'Modèle de liste de prix spécifi'!$A$3:$O$3,0)),"")</f>
        <v/>
      </c>
      <c r="G30" s="177"/>
      <c r="H30" s="118" t="str">
        <f>IFERROR(IF(OR(EXACT(A30,'Modèle de liste de prix spécifi'!$AB$14),EXACT(A30,'Modèle de liste de prix spécifi'!$AB$16),EXACT(A30,'Modèle de liste de prix spécifi'!$AB$17),EXACT(A30,'Modèle de liste de prix spécifi'!$AB$18),EXACT(A30,'Modèle de liste de prix spécifi'!$AB$19),EXACT(A30,'Modèle de liste de prix spécifi'!$AB$20),EXACT(A30,'Modèle de liste de prix spécifi'!$AB$21),EXACT(A30,'Modèle de liste de prix spécifi'!$AB$22),EXACT(A30,'Modèle de liste de prix spécifi'!$AB$23),EXACT(A30,'Modèle de liste de prix spécifi'!$AB$24),EXACT(A30,'Modèle de liste de prix spécifi'!$AB$25),EXACT(A30,'Modèle de liste de prix spécifi'!$AB$26),EXACT(A30,'Modèle de liste de prix spécifi'!$AB$27)),"N/A",G30+F30),"")</f>
        <v>N/A</v>
      </c>
      <c r="I30" s="75"/>
      <c r="J30" s="76" t="str">
        <f t="shared" si="0"/>
        <v/>
      </c>
      <c r="K30" s="57"/>
      <c r="L30" s="159" t="str">
        <f t="shared" si="1"/>
        <v>_20</v>
      </c>
    </row>
    <row r="31" spans="1:12" s="26" customFormat="1" ht="27" customHeight="1" x14ac:dyDescent="0.25">
      <c r="A31" s="121" t="s">
        <v>77</v>
      </c>
      <c r="B31" s="42"/>
      <c r="C31" s="29" t="str">
        <f>IFERROR(INDEX('Modèle de liste de prix spécifi'!$A$3:$O$278,MATCH('Option C_Choix du modèle d''ECF'!$B31,'Modèle de liste de prix spécifi'!$E$3:$E$278,0),MATCH('Option C_Choix du modèle d''ECF'!C$2,'Modèle de liste de prix spécifi'!$A$3:$O$3,0)),"")</f>
        <v/>
      </c>
      <c r="D31" s="32" t="str">
        <f>IFERROR(INDEX('Modèle de liste de prix spécifi'!$A$3:$O$278,MATCH('Option C_Choix du modèle d''ECF'!$B31,'Modèle de liste de prix spécifi'!$E$3:$E$278,0),MATCH('Option C_Choix du modèle d''ECF'!D$2,'Modèle de liste de prix spécifi'!$A$3:$O$3,0)),"")</f>
        <v/>
      </c>
      <c r="E31" s="32" t="str">
        <f>IFERROR(INDEX('Modèle de liste de prix spécifi'!$A$3:$O$278,MATCH('Option C_Choix du modèle d''ECF'!$B31,'Modèle de liste de prix spécifi'!$E$3:$E$278,0),MATCH('Option C_Choix du modèle d''ECF'!E$2,'Modèle de liste de prix spécifi'!$A$3:$O$3,0)),"")</f>
        <v/>
      </c>
      <c r="F31" s="204" t="str">
        <f>IFERROR(INDEX('Modèle de liste de prix spécifi'!$A$3:$O$278,MATCH('Option C_Choix du modèle d''ECF'!$B31,'Modèle de liste de prix spécifi'!$E$3:$E$278,0),MATCH('Option C_Choix du modèle d''ECF'!F$2,'Modèle de liste de prix spécifi'!$A$3:$O$3,0)),"")</f>
        <v/>
      </c>
      <c r="G31" s="177"/>
      <c r="H31" s="118" t="str">
        <f>IFERROR(IF(OR(EXACT(A31,'Modèle de liste de prix spécifi'!$AB$14),EXACT(A31,'Modèle de liste de prix spécifi'!$AB$16),EXACT(A31,'Modèle de liste de prix spécifi'!$AB$17),EXACT(A31,'Modèle de liste de prix spécifi'!$AB$18),EXACT(A31,'Modèle de liste de prix spécifi'!$AB$19),EXACT(A31,'Modèle de liste de prix spécifi'!$AB$20),EXACT(A31,'Modèle de liste de prix spécifi'!$AB$21),EXACT(A31,'Modèle de liste de prix spécifi'!$AB$22),EXACT(A31,'Modèle de liste de prix spécifi'!$AB$23),EXACT(A31,'Modèle de liste de prix spécifi'!$AB$24),EXACT(A31,'Modèle de liste de prix spécifi'!$AB$25),EXACT(A31,'Modèle de liste de prix spécifi'!$AB$26),EXACT(A31,'Modèle de liste de prix spécifi'!$AB$27)),"N/A",G31+F31),"")</f>
        <v>N/A</v>
      </c>
      <c r="I31" s="75"/>
      <c r="J31" s="76"/>
      <c r="K31" s="57"/>
      <c r="L31" s="159"/>
    </row>
    <row r="32" spans="1:12" s="26" customFormat="1" ht="27" customHeight="1" x14ac:dyDescent="0.25">
      <c r="A32" s="121" t="s">
        <v>78</v>
      </c>
      <c r="B32" s="42"/>
      <c r="C32" s="29" t="str">
        <f>IFERROR(INDEX('Modèle de liste de prix spécifi'!$A$3:$O$278,MATCH('Option C_Choix du modèle d''ECF'!$B32,'Modèle de liste de prix spécifi'!$E$3:$E$278,0),MATCH('Option C_Choix du modèle d''ECF'!C$2,'Modèle de liste de prix spécifi'!$A$3:$O$3,0)),"")</f>
        <v/>
      </c>
      <c r="D32" s="32" t="str">
        <f>IFERROR(INDEX('Modèle de liste de prix spécifi'!$A$3:$O$278,MATCH('Option C_Choix du modèle d''ECF'!$B32,'Modèle de liste de prix spécifi'!$E$3:$E$278,0),MATCH('Option C_Choix du modèle d''ECF'!D$2,'Modèle de liste de prix spécifi'!$A$3:$O$3,0)),"")</f>
        <v/>
      </c>
      <c r="E32" s="32" t="str">
        <f>IFERROR(INDEX('Modèle de liste de prix spécifi'!$A$3:$O$278,MATCH('Option C_Choix du modèle d''ECF'!$B32,'Modèle de liste de prix spécifi'!$E$3:$E$278,0),MATCH('Option C_Choix du modèle d''ECF'!E$2,'Modèle de liste de prix spécifi'!$A$3:$O$3,0)),"")</f>
        <v/>
      </c>
      <c r="F32" s="204" t="str">
        <f>IFERROR(INDEX('Modèle de liste de prix spécifi'!$A$3:$O$278,MATCH('Option C_Choix du modèle d''ECF'!$B32,'Modèle de liste de prix spécifi'!$E$3:$E$278,0),MATCH('Option C_Choix du modèle d''ECF'!F$2,'Modèle de liste de prix spécifi'!$A$3:$O$3,0)),"")</f>
        <v/>
      </c>
      <c r="G32" s="177"/>
      <c r="H32" s="118" t="str">
        <f>IFERROR(IF(OR(EXACT(A32,'Modèle de liste de prix spécifi'!$AB$14),EXACT(A32,'Modèle de liste de prix spécifi'!$AB$16),EXACT(A32,'Modèle de liste de prix spécifi'!$AB$17),EXACT(A32,'Modèle de liste de prix spécifi'!$AB$18),EXACT(A32,'Modèle de liste de prix spécifi'!$AB$19),EXACT(A32,'Modèle de liste de prix spécifi'!$AB$20),EXACT(A32,'Modèle de liste de prix spécifi'!$AB$21),EXACT(A32,'Modèle de liste de prix spécifi'!$AB$22),EXACT(A32,'Modèle de liste de prix spécifi'!$AB$23),EXACT(A32,'Modèle de liste de prix spécifi'!$AB$24),EXACT(A32,'Modèle de liste de prix spécifi'!$AB$25),EXACT(A32,'Modèle de liste de prix spécifi'!$AB$26),EXACT(A32,'Modèle de liste de prix spécifi'!$AB$27)),"N/A",G32+F32),"")</f>
        <v>N/A</v>
      </c>
      <c r="I32" s="75"/>
      <c r="J32" s="76" t="str">
        <f t="shared" si="0"/>
        <v/>
      </c>
      <c r="K32" s="57"/>
      <c r="L32" s="159" t="str">
        <f t="shared" si="1"/>
        <v>_22</v>
      </c>
    </row>
    <row r="33" spans="1:12" s="26" customFormat="1" ht="27" customHeight="1" x14ac:dyDescent="0.25">
      <c r="A33" s="121" t="s">
        <v>79</v>
      </c>
      <c r="B33" s="42"/>
      <c r="C33" s="29" t="str">
        <f>IFERROR(INDEX('Modèle de liste de prix spécifi'!$A$3:$O$278,MATCH('Option C_Choix du modèle d''ECF'!$B33,'Modèle de liste de prix spécifi'!$E$3:$E$278,0),MATCH('Option C_Choix du modèle d''ECF'!C$2,'Modèle de liste de prix spécifi'!$A$3:$O$3,0)),"")</f>
        <v/>
      </c>
      <c r="D33" s="32" t="str">
        <f>IFERROR(INDEX('Modèle de liste de prix spécifi'!$A$3:$O$278,MATCH('Option C_Choix du modèle d''ECF'!$B33,'Modèle de liste de prix spécifi'!$E$3:$E$278,0),MATCH('Option C_Choix du modèle d''ECF'!D$2,'Modèle de liste de prix spécifi'!$A$3:$O$3,0)),"")</f>
        <v/>
      </c>
      <c r="E33" s="32" t="str">
        <f>IFERROR(INDEX('Modèle de liste de prix spécifi'!$A$3:$O$278,MATCH('Option C_Choix du modèle d''ECF'!$B33,'Modèle de liste de prix spécifi'!$E$3:$E$278,0),MATCH('Option C_Choix du modèle d''ECF'!E$2,'Modèle de liste de prix spécifi'!$A$3:$O$3,0)),"")</f>
        <v/>
      </c>
      <c r="F33" s="204" t="str">
        <f>IFERROR(INDEX('Modèle de liste de prix spécifi'!$A$3:$O$278,MATCH('Option C_Choix du modèle d''ECF'!$B33,'Modèle de liste de prix spécifi'!$E$3:$E$278,0),MATCH('Option C_Choix du modèle d''ECF'!F$2,'Modèle de liste de prix spécifi'!$A$3:$O$3,0)),"")</f>
        <v/>
      </c>
      <c r="G33" s="177"/>
      <c r="H33" s="118" t="str">
        <f>IFERROR(IF(OR(EXACT(A33,'Modèle de liste de prix spécifi'!$AB$14),EXACT(A33,'Modèle de liste de prix spécifi'!$AB$16),EXACT(A33,'Modèle de liste de prix spécifi'!$AB$17),EXACT(A33,'Modèle de liste de prix spécifi'!$AB$18),EXACT(A33,'Modèle de liste de prix spécifi'!$AB$19),EXACT(A33,'Modèle de liste de prix spécifi'!$AB$20),EXACT(A33,'Modèle de liste de prix spécifi'!$AB$21),EXACT(A33,'Modèle de liste de prix spécifi'!$AB$22),EXACT(A33,'Modèle de liste de prix spécifi'!$AB$23),EXACT(A33,'Modèle de liste de prix spécifi'!$AB$24),EXACT(A33,'Modèle de liste de prix spécifi'!$AB$25),EXACT(A33,'Modèle de liste de prix spécifi'!$AB$26),EXACT(A33,'Modèle de liste de prix spécifi'!$AB$27)),"N/A",G33+F33),"")</f>
        <v>N/A</v>
      </c>
      <c r="I33" s="75"/>
      <c r="J33" s="76" t="str">
        <f t="shared" si="0"/>
        <v/>
      </c>
      <c r="K33" s="57"/>
      <c r="L33" s="159" t="str">
        <f t="shared" si="1"/>
        <v>_23</v>
      </c>
    </row>
    <row r="34" spans="1:12" s="26" customFormat="1" ht="27" customHeight="1" x14ac:dyDescent="0.25">
      <c r="A34" s="121" t="s">
        <v>439</v>
      </c>
      <c r="B34" s="42"/>
      <c r="C34" s="29" t="str">
        <f>IFERROR(INDEX('Modèle de liste de prix spécifi'!$A$3:$O$278,MATCH('Option C_Choix du modèle d''ECF'!$B34,'Modèle de liste de prix spécifi'!$E$3:$E$278,0),MATCH('Option C_Choix du modèle d''ECF'!C$2,'Modèle de liste de prix spécifi'!$A$3:$O$3,0)),"")</f>
        <v/>
      </c>
      <c r="D34" s="32" t="str">
        <f>IFERROR(INDEX('Modèle de liste de prix spécifi'!$A$3:$O$278,MATCH('Option C_Choix du modèle d''ECF'!$B34,'Modèle de liste de prix spécifi'!$E$3:$E$278,0),MATCH('Option C_Choix du modèle d''ECF'!D$2,'Modèle de liste de prix spécifi'!$A$3:$O$3,0)),"")</f>
        <v/>
      </c>
      <c r="E34" s="32" t="str">
        <f>IFERROR(INDEX('Modèle de liste de prix spécifi'!$A$3:$O$278,MATCH('Option C_Choix du modèle d''ECF'!$B34,'Modèle de liste de prix spécifi'!$E$3:$E$278,0),MATCH('Option C_Choix du modèle d''ECF'!E$2,'Modèle de liste de prix spécifi'!$A$3:$O$3,0)),"")</f>
        <v/>
      </c>
      <c r="F34" s="204" t="str">
        <f>IFERROR(INDEX('Modèle de liste de prix spécifi'!$A$3:$O$278,MATCH('Option C_Choix du modèle d''ECF'!$B34,'Modèle de liste de prix spécifi'!$E$3:$E$278,0),MATCH('Option C_Choix du modèle d''ECF'!F$2,'Modèle de liste de prix spécifi'!$A$3:$O$3,0)),"")</f>
        <v/>
      </c>
      <c r="G34" s="177"/>
      <c r="H34" s="118" t="str">
        <f>IFERROR(IF(OR(EXACT(A34,'Modèle de liste de prix spécifi'!$AB$14),EXACT(A34,'Modèle de liste de prix spécifi'!$AB$16),EXACT(A34,'Modèle de liste de prix spécifi'!$AB$17),EXACT(A34,'Modèle de liste de prix spécifi'!$AB$18),EXACT(A34,'Modèle de liste de prix spécifi'!$AB$19),EXACT(A34,'Modèle de liste de prix spécifi'!$AB$20),EXACT(A34,'Modèle de liste de prix spécifi'!$AB$21),EXACT(A34,'Modèle de liste de prix spécifi'!$AB$22),EXACT(A34,'Modèle de liste de prix spécifi'!$AB$23),EXACT(A34,'Modèle de liste de prix spécifi'!$AB$24),EXACT(A34,'Modèle de liste de prix spécifi'!$AB$25),EXACT(A34,'Modèle de liste de prix spécifi'!$AB$26),EXACT(A34,'Modèle de liste de prix spécifi'!$AB$27)),"N/A",G34+F34),"")</f>
        <v>N/A</v>
      </c>
      <c r="I34" s="75"/>
      <c r="J34" s="76" t="str">
        <f t="shared" si="0"/>
        <v/>
      </c>
      <c r="K34" s="57"/>
      <c r="L34" s="159" t="str">
        <f t="shared" si="1"/>
        <v>_24</v>
      </c>
    </row>
    <row r="35" spans="1:12" s="26" customFormat="1" ht="15" x14ac:dyDescent="0.25">
      <c r="A35" s="298" t="s">
        <v>80</v>
      </c>
      <c r="B35" s="299"/>
      <c r="C35" s="299"/>
      <c r="D35" s="299"/>
      <c r="E35" s="299"/>
      <c r="F35" s="299"/>
      <c r="G35" s="299"/>
      <c r="H35" s="299"/>
      <c r="I35" s="289">
        <f>SUM(J4:J34)-SUMIF(L4:L34,"_3.",J4:J34)-SUMIF(L4:L34,"_4.",J4:J34)</f>
        <v>0</v>
      </c>
      <c r="J35" s="290"/>
      <c r="K35" s="60"/>
      <c r="L35" s="57"/>
    </row>
    <row r="36" spans="1:12" ht="15" x14ac:dyDescent="0.25">
      <c r="D36"/>
      <c r="E36"/>
      <c r="F36"/>
      <c r="G36"/>
      <c r="H36"/>
      <c r="I36"/>
      <c r="J36"/>
      <c r="K36"/>
      <c r="L36"/>
    </row>
    <row r="37" spans="1:12" s="26" customFormat="1" ht="15" customHeight="1" x14ac:dyDescent="0.25">
      <c r="A37" s="271" t="s">
        <v>441</v>
      </c>
      <c r="B37" s="272"/>
      <c r="C37" s="272"/>
      <c r="D37" s="272"/>
      <c r="E37" s="272"/>
      <c r="F37" s="272"/>
      <c r="G37" s="272"/>
      <c r="H37" s="273"/>
      <c r="I37" s="274">
        <v>1000</v>
      </c>
      <c r="J37" s="275"/>
      <c r="K37" s="60"/>
      <c r="L37" s="57"/>
    </row>
    <row r="38" spans="1:12" s="26" customFormat="1" ht="15" customHeight="1" x14ac:dyDescent="0.25">
      <c r="A38" s="271" t="s">
        <v>442</v>
      </c>
      <c r="B38" s="272"/>
      <c r="C38" s="272"/>
      <c r="D38" s="272"/>
      <c r="E38" s="272"/>
      <c r="F38" s="272"/>
      <c r="G38" s="272"/>
      <c r="H38" s="273"/>
      <c r="I38" s="274">
        <v>150</v>
      </c>
      <c r="J38" s="275"/>
      <c r="K38" s="60"/>
      <c r="L38" s="57"/>
    </row>
    <row r="39" spans="1:12" s="26" customFormat="1" ht="15" customHeight="1" x14ac:dyDescent="0.25">
      <c r="A39" s="271" t="s">
        <v>443</v>
      </c>
      <c r="B39" s="272"/>
      <c r="C39" s="272"/>
      <c r="D39" s="272"/>
      <c r="E39" s="272"/>
      <c r="F39" s="272"/>
      <c r="G39" s="272"/>
      <c r="H39" s="273"/>
      <c r="I39" s="274">
        <v>150</v>
      </c>
      <c r="J39" s="275"/>
      <c r="K39" s="60"/>
      <c r="L39" s="57"/>
    </row>
    <row r="40" spans="1:12" s="26" customFormat="1" ht="15" customHeight="1" x14ac:dyDescent="0.25">
      <c r="A40" s="271" t="s">
        <v>444</v>
      </c>
      <c r="B40" s="272"/>
      <c r="C40" s="272"/>
      <c r="D40" s="272"/>
      <c r="E40" s="272"/>
      <c r="F40" s="272"/>
      <c r="G40" s="272"/>
      <c r="H40" s="273"/>
      <c r="I40" s="274">
        <v>150</v>
      </c>
      <c r="J40" s="275"/>
      <c r="K40" s="60"/>
      <c r="L40" s="57"/>
    </row>
    <row r="41" spans="1:12" s="26" customFormat="1" ht="15" customHeight="1" x14ac:dyDescent="0.25">
      <c r="A41" s="271" t="s">
        <v>445</v>
      </c>
      <c r="B41" s="272"/>
      <c r="C41" s="272"/>
      <c r="D41" s="272"/>
      <c r="E41" s="272"/>
      <c r="F41" s="272"/>
      <c r="G41" s="272"/>
      <c r="H41" s="273"/>
      <c r="I41" s="274">
        <v>2</v>
      </c>
      <c r="J41" s="275"/>
      <c r="K41" s="60"/>
      <c r="L41" s="57"/>
    </row>
    <row r="42" spans="1:12" s="26" customFormat="1" ht="15" customHeight="1" x14ac:dyDescent="0.25">
      <c r="A42" s="271" t="s">
        <v>446</v>
      </c>
      <c r="B42" s="272"/>
      <c r="C42" s="272"/>
      <c r="D42" s="272"/>
      <c r="E42" s="272"/>
      <c r="F42" s="272"/>
      <c r="G42" s="272"/>
      <c r="H42" s="273"/>
      <c r="I42" s="274">
        <v>10</v>
      </c>
      <c r="J42" s="275"/>
      <c r="K42" s="60"/>
      <c r="L42" s="57"/>
    </row>
    <row r="43" spans="1:12" s="26" customFormat="1" ht="15" customHeight="1" x14ac:dyDescent="0.25">
      <c r="A43" s="271" t="s">
        <v>447</v>
      </c>
      <c r="B43" s="272"/>
      <c r="C43" s="272"/>
      <c r="D43" s="272"/>
      <c r="E43" s="272"/>
      <c r="F43" s="272"/>
      <c r="G43" s="272"/>
      <c r="H43" s="273"/>
      <c r="I43" s="274">
        <v>60</v>
      </c>
      <c r="J43" s="275"/>
      <c r="K43" s="60"/>
      <c r="L43" s="57"/>
    </row>
    <row r="44" spans="1:12" s="26" customFormat="1" ht="15" customHeight="1" x14ac:dyDescent="0.25">
      <c r="A44" s="271" t="s">
        <v>448</v>
      </c>
      <c r="B44" s="272"/>
      <c r="C44" s="272"/>
      <c r="D44" s="272"/>
      <c r="E44" s="272"/>
      <c r="F44" s="272"/>
      <c r="G44" s="272"/>
      <c r="H44" s="273"/>
      <c r="I44" s="276">
        <v>0.1</v>
      </c>
      <c r="J44" s="277"/>
      <c r="K44" s="60"/>
      <c r="L44" s="57"/>
    </row>
    <row r="45" spans="1:12" ht="15" customHeight="1" x14ac:dyDescent="0.25">
      <c r="A45" s="309" t="s">
        <v>81</v>
      </c>
      <c r="B45" s="310"/>
      <c r="C45" s="310"/>
      <c r="D45" s="310"/>
      <c r="E45" s="310"/>
      <c r="F45" s="310"/>
      <c r="G45" s="310"/>
      <c r="H45" s="311"/>
      <c r="I45" s="296">
        <f>(I37*SUM(I$4:I$6))+(I38*SUM($I$9:$I$19))+(I39*I20)+(I40*SUM($I$21:$I$22))+(I41*SUM($I$23:$I$24))+(I42*SUM($I$25:$I$26))+(I43*$I$27)+(I44*$I$28)</f>
        <v>0</v>
      </c>
      <c r="J45" s="297"/>
    </row>
    <row r="46" spans="1:12" s="60" customFormat="1" ht="15" x14ac:dyDescent="0.25">
      <c r="D46" s="58"/>
      <c r="E46" s="58"/>
      <c r="F46" s="58"/>
      <c r="G46" s="58"/>
      <c r="H46" s="58"/>
      <c r="I46" s="58"/>
      <c r="J46" s="58"/>
    </row>
    <row r="47" spans="1:12" s="26" customFormat="1" ht="15" customHeight="1" x14ac:dyDescent="0.25">
      <c r="A47" s="291" t="s">
        <v>82</v>
      </c>
      <c r="B47" s="292"/>
      <c r="C47" s="292"/>
      <c r="D47" s="292"/>
      <c r="E47" s="292"/>
      <c r="F47" s="292"/>
      <c r="G47" s="292"/>
      <c r="H47" s="292"/>
      <c r="I47" s="289">
        <f>I35*1.06+I45</f>
        <v>0</v>
      </c>
      <c r="J47" s="290"/>
      <c r="K47" s="60"/>
      <c r="L47" s="57"/>
    </row>
    <row r="48" spans="1:12" ht="15" x14ac:dyDescent="0.25"/>
    <row r="49" spans="1:12" ht="15" customHeight="1" x14ac:dyDescent="0.25">
      <c r="A49" s="283" t="s">
        <v>83</v>
      </c>
      <c r="B49" s="284"/>
      <c r="C49" s="284"/>
      <c r="D49" s="284"/>
      <c r="E49" s="284"/>
      <c r="F49" s="284"/>
      <c r="G49" s="284"/>
      <c r="H49" s="285"/>
      <c r="I49" s="307"/>
      <c r="J49" s="308"/>
    </row>
    <row r="50" spans="1:12" ht="15" customHeight="1" x14ac:dyDescent="0.25">
      <c r="A50" s="286" t="s">
        <v>84</v>
      </c>
      <c r="B50" s="287"/>
      <c r="C50" s="287"/>
      <c r="D50" s="287"/>
      <c r="E50" s="287"/>
      <c r="F50" s="287"/>
      <c r="G50" s="287"/>
      <c r="H50" s="288"/>
      <c r="I50" s="296">
        <f>I35*I$49</f>
        <v>0</v>
      </c>
      <c r="J50" s="297"/>
    </row>
    <row r="51" spans="1:12" ht="15" x14ac:dyDescent="0.25">
      <c r="D51"/>
      <c r="E51"/>
      <c r="F51"/>
      <c r="G51"/>
      <c r="H51"/>
      <c r="I51"/>
      <c r="J51"/>
      <c r="K51"/>
      <c r="L51"/>
    </row>
    <row r="52" spans="1:12" ht="15.75" customHeight="1" x14ac:dyDescent="0.25">
      <c r="A52" s="302" t="s">
        <v>85</v>
      </c>
      <c r="B52" s="303"/>
      <c r="C52" s="303"/>
      <c r="D52" s="303"/>
      <c r="E52" s="303"/>
      <c r="F52" s="303"/>
      <c r="G52" s="303"/>
      <c r="H52" s="303"/>
      <c r="I52" s="312">
        <f>SUMIF(L4:L34,"_3.",J4:J34)+SUMIF(L4:L34,"_4.",J4:J34)</f>
        <v>0</v>
      </c>
      <c r="J52" s="313"/>
    </row>
    <row r="53" spans="1:12" ht="15" x14ac:dyDescent="0.25">
      <c r="A53" s="304" t="s">
        <v>86</v>
      </c>
      <c r="B53" s="304"/>
      <c r="C53" s="304"/>
      <c r="D53" s="304"/>
      <c r="E53" s="304"/>
      <c r="F53" s="304"/>
      <c r="G53" s="304"/>
      <c r="H53" s="304"/>
      <c r="I53" s="314"/>
      <c r="J53" s="308"/>
    </row>
    <row r="54" spans="1:12" ht="15" x14ac:dyDescent="0.25">
      <c r="A54" s="293" t="s">
        <v>87</v>
      </c>
      <c r="B54" s="294"/>
      <c r="C54" s="294"/>
      <c r="D54" s="294"/>
      <c r="E54" s="294"/>
      <c r="F54" s="294"/>
      <c r="G54" s="294"/>
      <c r="H54" s="295"/>
      <c r="I54" s="315">
        <f>I52*I53</f>
        <v>0</v>
      </c>
      <c r="J54" s="297"/>
    </row>
    <row r="55" spans="1:12" ht="27" customHeight="1" thickBot="1" x14ac:dyDescent="0.3">
      <c r="D55"/>
      <c r="E55"/>
      <c r="F55"/>
      <c r="G55"/>
      <c r="H55"/>
      <c r="I55"/>
      <c r="J55"/>
    </row>
    <row r="56" spans="1:12" ht="27" customHeight="1" thickBot="1" x14ac:dyDescent="0.3">
      <c r="A56" s="278" t="s">
        <v>88</v>
      </c>
      <c r="B56" s="279"/>
      <c r="C56" s="279"/>
      <c r="D56" s="279"/>
      <c r="E56" s="279"/>
      <c r="F56" s="279"/>
      <c r="G56" s="279"/>
      <c r="H56" s="280"/>
      <c r="I56" s="281">
        <f>I47+I50+I52+I54</f>
        <v>0</v>
      </c>
      <c r="J56" s="282"/>
    </row>
  </sheetData>
  <sheetProtection algorithmName="SHA-512" hashValue="2kbzpfF/nnGR6Pt0JqJ1/GLb4+d5kyNJ17zg4p0hNfRNo3rWVmkuKoZwqZnScf4GuvtSTHlsGgM7sR4QaG2lHQ==" saltValue="WgTE1NlRSn+jO/frPrcyOA==" spinCount="100000" sheet="1" sort="0" autoFilter="0" pivotTables="0"/>
  <dataConsolidate link="1"/>
  <mergeCells count="35">
    <mergeCell ref="A53:H53"/>
    <mergeCell ref="I53:J53"/>
    <mergeCell ref="I54:J54"/>
    <mergeCell ref="A56:H56"/>
    <mergeCell ref="I56:J56"/>
    <mergeCell ref="A54:H54"/>
    <mergeCell ref="A52:H52"/>
    <mergeCell ref="I52:J52"/>
    <mergeCell ref="A47:H47"/>
    <mergeCell ref="I47:J47"/>
    <mergeCell ref="A49:H49"/>
    <mergeCell ref="I49:J49"/>
    <mergeCell ref="A50:H50"/>
    <mergeCell ref="I50:J50"/>
    <mergeCell ref="A45:H45"/>
    <mergeCell ref="I45:J45"/>
    <mergeCell ref="I1:J1"/>
    <mergeCell ref="A35:H35"/>
    <mergeCell ref="I35:J35"/>
    <mergeCell ref="A37:H37"/>
    <mergeCell ref="I37:J37"/>
    <mergeCell ref="A38:H38"/>
    <mergeCell ref="I38:J38"/>
    <mergeCell ref="A39:H39"/>
    <mergeCell ref="I39:J39"/>
    <mergeCell ref="A40:H40"/>
    <mergeCell ref="I40:J40"/>
    <mergeCell ref="A41:H41"/>
    <mergeCell ref="I41:J41"/>
    <mergeCell ref="A42:H42"/>
    <mergeCell ref="I42:J42"/>
    <mergeCell ref="A43:H43"/>
    <mergeCell ref="I43:J43"/>
    <mergeCell ref="A44:H44"/>
    <mergeCell ref="I44:J44"/>
  </mergeCells>
  <conditionalFormatting sqref="C5:F34 H5:H34">
    <cfRule type="cellIs" dxfId="97" priority="123" operator="equal">
      <formula>"N/A"</formula>
    </cfRule>
  </conditionalFormatting>
  <conditionalFormatting sqref="C4:F4 H4">
    <cfRule type="cellIs" dxfId="96" priority="49" operator="equal">
      <formula>"N/A"</formula>
    </cfRule>
  </conditionalFormatting>
  <dataValidations count="3">
    <dataValidation type="list" allowBlank="1" showInputMessage="1" showErrorMessage="1" sqref="A4:A34" xr:uid="{E49BC4FA-0913-4D30-9841-4E97634DA02E}">
      <formula1>typeofequipment</formula1>
    </dataValidation>
    <dataValidation type="list" allowBlank="1" showInputMessage="1" showErrorMessage="1" sqref="B4:B34" xr:uid="{00000000-0002-0000-0400-000001000000}">
      <formula1>INDIRECT(SUBSTITUTE(A4," ",""))</formula1>
    </dataValidation>
    <dataValidation type="whole" allowBlank="1" showInputMessage="1" showErrorMessage="1" error="Amount to be inserted for service bundle should be between:_x000a_$11,000-$38,000 for WICR/WIFR_x000a_$650-$2150 for Off-Grid CCE with ground mounted panels_x000a_$1300- $4000 for Off-Grid CCE with pole mounted panels_x000a_$200-$400 for RTMDs" prompt="Amount to be inserted for service bundle should be between:_x000a_$11,000-$38,000 for WICR/WIFR_x000a_$650-$2150 (ground mount) and $1300- $4000 (pole mount) for Off-Grid CCE _x000a_$200-$400 for RTMDs_x000a_$400-$1,350 for on-grid devices" sqref="G4:G34" xr:uid="{9FE13C3B-86D5-4829-93DA-8C5B79810FD9}">
      <formula1>200</formula1>
      <formula2>38000</formula2>
    </dataValidation>
  </dataValidations>
  <pageMargins left="0.7" right="0.7" top="0.75" bottom="0.75" header="0.3" footer="0.3"/>
  <pageSetup scale="36" fitToHeight="0" orientation="landscape" r:id="rId1"/>
  <ignoredErrors>
    <ignoredError sqref="L32:L34 L4:L30" unlockedFormula="1"/>
  </ignoredErrors>
  <extLst>
    <ext xmlns:x14="http://schemas.microsoft.com/office/spreadsheetml/2009/9/main" uri="{78C0D931-6437-407d-A8EE-F0AAD7539E65}">
      <x14:conditionalFormattings>
        <x14:conditionalFormatting xmlns:xm="http://schemas.microsoft.com/office/excel/2006/main">
          <x14:cfRule type="expression" priority="5110" id="{C0BEC08C-A30E-499B-9987-F9F5FDCEE0D6}">
            <xm:f>OR(A1='Specified CCE Model Price List'!#REF!,A1='Specified CCE Model Price List'!#REF!,A1='Specified CCE Model Price List'!#REF!,A1='Specified CCE Model Price List'!#REF!,A1='Specified CCE Model Price List'!#REF!)</xm:f>
            <x14:dxf>
              <font>
                <color theme="1"/>
              </font>
              <fill>
                <patternFill>
                  <bgColor theme="1" tint="0.499984740745262"/>
                </patternFill>
              </fill>
            </x14:dxf>
          </x14:cfRule>
          <xm:sqref>G1:G3</xm:sqref>
        </x14:conditionalFormatting>
        <x14:conditionalFormatting xmlns:xm="http://schemas.microsoft.com/office/excel/2006/main">
          <x14:cfRule type="cellIs" priority="5111" operator="equal" id="{2CD378A7-AB76-4A70-B60A-29003498FB52}">
            <xm:f>'Specified CCE Model Price List'!#REF!</xm:f>
            <x14:dxf>
              <fill>
                <patternFill>
                  <bgColor rgb="FFFFFF00"/>
                </patternFill>
              </fill>
            </x14:dxf>
          </x14:cfRule>
          <x14:cfRule type="cellIs" priority="5112" operator="equal" id="{0D52424A-BD2B-4020-B9B7-A5213667D9E6}">
            <xm:f>'Specified CCE Model Price List'!#REF!</xm:f>
            <x14:dxf>
              <font>
                <color theme="0"/>
              </font>
              <fill>
                <patternFill>
                  <bgColor rgb="FF7030A0"/>
                </patternFill>
              </fill>
            </x14:dxf>
          </x14:cfRule>
          <x14:cfRule type="cellIs" priority="5113" operator="equal" id="{FBC23021-D2C0-4443-87C9-7BFE8826939B}">
            <xm:f>'Specified CCE Model Price List'!#REF!</xm:f>
            <x14:dxf>
              <font>
                <color theme="0"/>
              </font>
              <fill>
                <patternFill>
                  <bgColor theme="9" tint="-0.24994659260841701"/>
                </patternFill>
              </fill>
            </x14:dxf>
          </x14:cfRule>
          <x14:cfRule type="cellIs" priority="5114" operator="equal" id="{14AC591E-82C9-4D80-9185-DB37BDD02C51}">
            <xm:f>'Specified CCE Model Price List'!#REF!</xm:f>
            <x14:dxf>
              <font>
                <color theme="0"/>
              </font>
              <fill>
                <patternFill>
                  <bgColor theme="4" tint="-0.24994659260841701"/>
                </patternFill>
              </fill>
            </x14:dxf>
          </x14:cfRule>
          <x14:cfRule type="cellIs" priority="5115" operator="equal" id="{68776573-9622-4F36-8AC2-F07DB516568B}">
            <xm:f>'Specified CCE Model Price List'!#REF!</xm:f>
            <x14:dxf>
              <fill>
                <patternFill>
                  <bgColor rgb="FFFF99FF"/>
                </patternFill>
              </fill>
            </x14:dxf>
          </x14:cfRule>
          <x14:cfRule type="cellIs" priority="5116" operator="equal" id="{592D3FEC-86A2-49B5-8072-5BA728A350DF}">
            <xm:f>'Specified CCE Model Price List'!#REF!</xm:f>
            <x14:dxf>
              <font>
                <color theme="0"/>
              </font>
              <fill>
                <patternFill>
                  <bgColor rgb="FF9900CC"/>
                </patternFill>
              </fill>
            </x14:dxf>
          </x14:cfRule>
          <x14:cfRule type="cellIs" priority="5117" operator="equal" id="{B9E4FFEA-8CBB-497E-B49A-4572FF542A63}">
            <xm:f>'Specified CCE Model Price List'!#REF!</xm:f>
            <x14:dxf>
              <fill>
                <patternFill>
                  <bgColor rgb="FFFFC000"/>
                </patternFill>
              </fill>
            </x14:dxf>
          </x14:cfRule>
          <x14:cfRule type="cellIs" priority="5118" operator="equal" id="{73899991-E141-4A21-AA6F-ABF5FA433E61}">
            <xm:f>'Specified CCE Model Price List'!#REF!</xm:f>
            <x14:dxf>
              <font>
                <color theme="1"/>
              </font>
              <fill>
                <patternFill>
                  <bgColor rgb="FFCCCCFF"/>
                </patternFill>
              </fill>
            </x14:dxf>
          </x14:cfRule>
          <x14:cfRule type="cellIs" priority="5119" operator="equal" id="{CF4C666A-6421-42EA-ABCA-DCD11677A836}">
            <xm:f>'Specified CCE Model Price List'!#REF!</xm:f>
            <x14:dxf>
              <font>
                <color theme="1"/>
              </font>
              <fill>
                <patternFill>
                  <bgColor rgb="FFCCCCFF"/>
                </patternFill>
              </fill>
            </x14:dxf>
          </x14:cfRule>
          <x14:cfRule type="cellIs" priority="5120" operator="equal" id="{0AF5456E-1BE2-4AF4-834E-F2B91FAE6924}">
            <xm:f>'Specified CCE Model Price List'!#REF!</xm:f>
            <x14:dxf>
              <font>
                <color theme="1"/>
              </font>
              <fill>
                <patternFill>
                  <bgColor theme="5" tint="0.59996337778862885"/>
                </patternFill>
              </fill>
            </x14:dxf>
          </x14:cfRule>
          <x14:cfRule type="cellIs" priority="5121" operator="equal" id="{E5D79548-C026-4E68-82A2-C969CAAD670F}">
            <xm:f>'Specified CCE Model Price List'!#REF!</xm:f>
            <x14:dxf>
              <font>
                <color theme="1"/>
              </font>
              <fill>
                <patternFill>
                  <bgColor theme="5" tint="0.79998168889431442"/>
                </patternFill>
              </fill>
            </x14:dxf>
          </x14:cfRule>
          <x14:cfRule type="cellIs" priority="5122" operator="equal" id="{A9CA0DAF-7D50-4A8B-B336-4F5CED05C70A}">
            <xm:f>'Specified CCE Model Price List'!#REF!</xm:f>
            <x14:dxf>
              <font>
                <color theme="1"/>
              </font>
              <fill>
                <patternFill>
                  <bgColor theme="9" tint="0.59996337778862885"/>
                </patternFill>
              </fill>
            </x14:dxf>
          </x14:cfRule>
          <x14:cfRule type="cellIs" priority="5123" operator="equal" id="{10D53CCA-AFCF-4553-931F-4ABDFE07F80B}">
            <xm:f>'Specified CCE Model Price List'!#REF!</xm:f>
            <x14:dxf>
              <font>
                <color theme="1"/>
              </font>
              <fill>
                <patternFill>
                  <bgColor theme="9" tint="0.79998168889431442"/>
                </patternFill>
              </fill>
            </x14:dxf>
          </x14:cfRule>
          <x14:cfRule type="cellIs" priority="5124" operator="equal" id="{03F8123E-B345-43B4-837E-481BFC86BA36}">
            <xm:f>'Specified CCE Model Price List'!#REF!</xm:f>
            <x14:dxf>
              <font>
                <color theme="0"/>
              </font>
              <fill>
                <patternFill>
                  <bgColor theme="1" tint="0.24994659260841701"/>
                </patternFill>
              </fill>
            </x14:dxf>
          </x14:cfRule>
          <x14:cfRule type="cellIs" priority="5125" operator="equal" id="{9099B3B0-2A85-4C6F-B507-E98EFF354D4F}">
            <xm:f>'Specified CCE Model Price List'!#REF!</xm:f>
            <x14:dxf>
              <font>
                <color theme="0"/>
              </font>
              <fill>
                <patternFill>
                  <bgColor theme="0" tint="-0.499984740745262"/>
                </patternFill>
              </fill>
            </x14:dxf>
          </x14:cfRule>
          <x14:cfRule type="cellIs" priority="5126" operator="equal" id="{7FAAD732-B0F8-4CF8-A31C-8CF922FF76F1}">
            <xm:f>'Specified CCE Model Price List'!#REF!</xm:f>
            <x14:dxf>
              <font>
                <color theme="1"/>
              </font>
              <fill>
                <patternFill>
                  <bgColor theme="0" tint="-0.14996795556505021"/>
                </patternFill>
              </fill>
            </x14:dxf>
          </x14:cfRule>
          <x14:cfRule type="cellIs" priority="5127" operator="equal" id="{0D36A1C7-54CB-4B30-B849-8478A94A4620}">
            <xm:f>'Specified CCE Model Price List'!#REF!</xm:f>
            <x14:dxf>
              <font>
                <color theme="1"/>
              </font>
              <fill>
                <patternFill>
                  <bgColor theme="7" tint="0.79998168889431442"/>
                </patternFill>
              </fill>
            </x14:dxf>
          </x14:cfRule>
          <x14:cfRule type="cellIs" priority="5128" operator="equal" id="{E80B3E37-B8E2-4D00-88BE-494D87BD39E6}">
            <xm:f>'Specified CCE Model Price List'!#REF!</xm:f>
            <x14:dxf>
              <font>
                <color theme="0"/>
              </font>
              <fill>
                <patternFill>
                  <bgColor theme="4" tint="-0.24994659260841701"/>
                </patternFill>
              </fill>
            </x14:dxf>
          </x14:cfRule>
          <x14:cfRule type="cellIs" priority="5129" operator="equal" id="{01A7EB81-3E86-4071-AB03-C5658ECF7CFD}">
            <xm:f>'Specified CCE Model Price List'!#REF!</xm:f>
            <x14:dxf>
              <font>
                <color theme="1"/>
              </font>
              <fill>
                <patternFill>
                  <bgColor theme="4" tint="0.39994506668294322"/>
                </patternFill>
              </fill>
            </x14:dxf>
          </x14:cfRule>
          <x14:cfRule type="cellIs" priority="5130" operator="equal" id="{D5426A0E-DE67-4641-A1D4-2ED0890699CB}">
            <xm:f>'Specified CCE Model Price List'!#REF!</xm:f>
            <x14:dxf>
              <font>
                <color theme="1"/>
              </font>
              <fill>
                <patternFill>
                  <bgColor theme="4" tint="0.79998168889431442"/>
                </patternFill>
              </fill>
            </x14:dxf>
          </x14:cfRule>
          <xm:sqref>A1:A3</xm:sqref>
        </x14:conditionalFormatting>
        <x14:conditionalFormatting xmlns:xm="http://schemas.microsoft.com/office/excel/2006/main">
          <x14:cfRule type="cellIs" priority="1" operator="equal" id="{D551B026-DDFF-4863-AE8F-775EE1E08B39}">
            <xm:f>'Specified CCE Model Price List'!#REF!</xm:f>
            <x14:dxf>
              <fill>
                <patternFill>
                  <bgColor theme="5" tint="0.79998168889431442"/>
                </patternFill>
              </fill>
            </x14:dxf>
          </x14:cfRule>
          <x14:cfRule type="cellIs" priority="2" operator="equal" id="{9E9B4CB7-7571-4642-9B9C-FAC97686A84A}">
            <xm:f>'Specified CCE Model Price List'!#REF!</xm:f>
            <x14:dxf>
              <fill>
                <patternFill>
                  <bgColor theme="4" tint="0.79998168889431442"/>
                </patternFill>
              </fill>
            </x14:dxf>
          </x14:cfRule>
          <x14:cfRule type="cellIs" priority="3" operator="equal" id="{44E4F6CE-AE58-4334-9462-56186E28A913}">
            <xm:f>'Specified CCE Model Price List'!#REF!</xm:f>
            <x14:dxf>
              <fill>
                <patternFill>
                  <bgColor theme="3" tint="0.59996337778862885"/>
                </patternFill>
              </fill>
            </x14:dxf>
          </x14:cfRule>
          <x14:cfRule type="cellIs" priority="4" operator="equal" id="{45967251-58F3-43D2-9039-929E1CF31D9E}">
            <xm:f>'Specified CCE Model Price List'!#REF!</xm:f>
            <x14:dxf>
              <font>
                <color theme="0"/>
              </font>
              <fill>
                <patternFill>
                  <bgColor theme="5" tint="-0.24994659260841701"/>
                </patternFill>
              </fill>
            </x14:dxf>
          </x14:cfRule>
          <xm:sqref>A34</xm:sqref>
        </x14:conditionalFormatting>
        <x14:conditionalFormatting xmlns:xm="http://schemas.microsoft.com/office/excel/2006/main">
          <x14:cfRule type="cellIs" priority="5" operator="equal" id="{A5131BC3-D4A7-4C8F-AAFA-E8FD0A40641E}">
            <xm:f>'Specified CCE Model Price List'!#REF!</xm:f>
            <x14:dxf>
              <font>
                <color theme="1"/>
              </font>
              <fill>
                <patternFill>
                  <bgColor theme="7" tint="0.79998168889431442"/>
                </patternFill>
              </fill>
            </x14:dxf>
          </x14:cfRule>
          <x14:cfRule type="cellIs" priority="6" operator="equal" id="{D6ED28D5-BED6-4027-8C09-542A51609C72}">
            <xm:f>'Specified CCE Model Price List'!#REF!</xm:f>
            <x14:dxf>
              <font>
                <color theme="1"/>
              </font>
              <fill>
                <patternFill>
                  <bgColor rgb="FFCCCCFF"/>
                </patternFill>
              </fill>
            </x14:dxf>
          </x14:cfRule>
          <x14:cfRule type="cellIs" priority="7" operator="equal" id="{1F4F0009-F59C-49F3-8C3F-995EA585E5CD}">
            <xm:f>'Specified CCE Model Price List'!#REF!</xm:f>
            <x14:dxf>
              <fill>
                <patternFill>
                  <bgColor rgb="FFFFC000"/>
                </patternFill>
              </fill>
            </x14:dxf>
          </x14:cfRule>
          <x14:cfRule type="cellIs" priority="8" operator="equal" id="{0D0C1E0A-4D14-4829-8022-C4C4788A1394}">
            <xm:f>'Specified CCE Model Price List'!#REF!</xm:f>
            <x14:dxf>
              <fill>
                <patternFill>
                  <bgColor rgb="FFFFFF00"/>
                </patternFill>
              </fill>
            </x14:dxf>
          </x14:cfRule>
          <x14:cfRule type="cellIs" priority="9" operator="equal" id="{544DAC0F-464C-4C5D-B708-F8A676F7BD1C}">
            <xm:f>'Specified CCE Model Price List'!#REF!</xm:f>
            <x14:dxf>
              <font>
                <color theme="0"/>
              </font>
              <fill>
                <patternFill>
                  <bgColor rgb="FF9900CC"/>
                </patternFill>
              </fill>
            </x14:dxf>
          </x14:cfRule>
          <x14:cfRule type="cellIs" priority="10" operator="equal" id="{DBD3DE70-F5FA-428B-A1FD-53AB2213FB86}">
            <xm:f>'Specified CCE Model Price List'!#REF!</xm:f>
            <x14:dxf>
              <fill>
                <patternFill>
                  <bgColor rgb="FFFF99FF"/>
                </patternFill>
              </fill>
            </x14:dxf>
          </x14:cfRule>
          <x14:cfRule type="cellIs" priority="11" operator="equal" id="{77DDE3FF-1C63-4260-B656-C1B9027642E3}">
            <xm:f>'Specified CCE Model Price List'!#REF!</xm:f>
            <x14:dxf>
              <font>
                <color theme="0"/>
              </font>
              <fill>
                <patternFill>
                  <bgColor theme="4" tint="-0.24994659260841701"/>
                </patternFill>
              </fill>
            </x14:dxf>
          </x14:cfRule>
          <x14:cfRule type="cellIs" priority="12" operator="equal" id="{54AACD58-C607-4D56-B17B-275A5AC82440}">
            <xm:f>'Specified CCE Model Price List'!#REF!</xm:f>
            <x14:dxf>
              <font>
                <color theme="0"/>
              </font>
              <fill>
                <patternFill>
                  <bgColor theme="9" tint="-0.24994659260841701"/>
                </patternFill>
              </fill>
            </x14:dxf>
          </x14:cfRule>
          <x14:cfRule type="cellIs" priority="13" operator="equal" id="{CB2FEBCB-045D-451E-83AF-0CB565DB7A39}">
            <xm:f>'Specified CCE Model Price List'!#REF!</xm:f>
            <x14:dxf>
              <font>
                <color theme="0"/>
              </font>
              <fill>
                <patternFill>
                  <bgColor rgb="FF7030A0"/>
                </patternFill>
              </fill>
            </x14:dxf>
          </x14:cfRule>
          <x14:cfRule type="cellIs" priority="14" operator="equal" id="{BFDB4739-EFF4-4260-AD82-73FC13FA1F06}">
            <xm:f>'Specified CCE Model Price List'!#REF!</xm:f>
            <x14:dxf>
              <font>
                <color theme="1"/>
              </font>
              <fill>
                <patternFill>
                  <bgColor theme="4" tint="0.79998168889431442"/>
                </patternFill>
              </fill>
            </x14:dxf>
          </x14:cfRule>
          <x14:cfRule type="cellIs" priority="15" operator="equal" id="{6A21D948-4FB0-4B48-945C-7E4B7DC7D5E7}">
            <xm:f>'Specified CCE Model Price List'!#REF!</xm:f>
            <x14:dxf>
              <font>
                <color theme="1"/>
              </font>
              <fill>
                <patternFill>
                  <bgColor theme="4" tint="0.39994506668294322"/>
                </patternFill>
              </fill>
            </x14:dxf>
          </x14:cfRule>
          <x14:cfRule type="cellIs" priority="16" operator="equal" id="{5B178AA8-A874-4BC1-8658-7999EDA2F6E7}">
            <xm:f>'Specified CCE Model Price List'!#REF!</xm:f>
            <x14:dxf>
              <font>
                <color theme="0"/>
              </font>
              <fill>
                <patternFill>
                  <bgColor theme="4" tint="-0.24994659260841701"/>
                </patternFill>
              </fill>
            </x14:dxf>
          </x14:cfRule>
          <x14:cfRule type="cellIs" priority="17" operator="equal" id="{CE4F0310-4270-4416-BA46-B4AAEB102D4D}">
            <xm:f>'Specified CCE Model Price List'!#REF!</xm:f>
            <x14:dxf>
              <font>
                <color theme="1"/>
              </font>
              <fill>
                <patternFill>
                  <bgColor theme="0" tint="-0.14996795556505021"/>
                </patternFill>
              </fill>
            </x14:dxf>
          </x14:cfRule>
          <x14:cfRule type="cellIs" priority="18" operator="equal" id="{5D1ABC48-610C-4003-BA1A-07CC201D020B}">
            <xm:f>'Specified CCE Model Price List'!#REF!</xm:f>
            <x14:dxf>
              <font>
                <color theme="0"/>
              </font>
              <fill>
                <patternFill>
                  <bgColor theme="0" tint="-0.499984740745262"/>
                </patternFill>
              </fill>
            </x14:dxf>
          </x14:cfRule>
          <x14:cfRule type="cellIs" priority="19" operator="equal" id="{2DD9405E-567A-4E1C-B656-1274603F69B6}">
            <xm:f>'Specified CCE Model Price List'!#REF!</xm:f>
            <x14:dxf>
              <font>
                <color theme="0"/>
              </font>
              <fill>
                <patternFill>
                  <bgColor theme="1" tint="0.24994659260841701"/>
                </patternFill>
              </fill>
            </x14:dxf>
          </x14:cfRule>
          <x14:cfRule type="cellIs" priority="20" operator="equal" id="{B5C0D8DC-F7F4-4C0E-9BC1-B8148EE11F2A}">
            <xm:f>'Specified CCE Model Price List'!#REF!</xm:f>
            <x14:dxf>
              <font>
                <color theme="1"/>
              </font>
              <fill>
                <patternFill>
                  <bgColor theme="9" tint="0.79998168889431442"/>
                </patternFill>
              </fill>
            </x14:dxf>
          </x14:cfRule>
          <x14:cfRule type="cellIs" priority="21" operator="equal" id="{6A24027F-8539-433B-8345-AE28330C6990}">
            <xm:f>'Specified CCE Model Price List'!#REF!</xm:f>
            <x14:dxf>
              <font>
                <color theme="1"/>
              </font>
              <fill>
                <patternFill>
                  <bgColor theme="9" tint="0.59996337778862885"/>
                </patternFill>
              </fill>
            </x14:dxf>
          </x14:cfRule>
          <x14:cfRule type="cellIs" priority="22" operator="equal" id="{C20996C0-AAE3-42E5-94EB-26ED6D2336C8}">
            <xm:f>'Specified CCE Model Price List'!#REF!</xm:f>
            <x14:dxf>
              <font>
                <color theme="1"/>
              </font>
              <fill>
                <patternFill>
                  <bgColor theme="5" tint="0.79998168889431442"/>
                </patternFill>
              </fill>
            </x14:dxf>
          </x14:cfRule>
          <x14:cfRule type="cellIs" priority="23" operator="equal" id="{B32B76D6-1BD4-400E-A3FE-C060267DDDDD}">
            <xm:f>'Specified CCE Model Price List'!#REF!</xm:f>
            <x14:dxf>
              <font>
                <color theme="1"/>
              </font>
              <fill>
                <patternFill>
                  <bgColor theme="5" tint="0.59996337778862885"/>
                </patternFill>
              </fill>
            </x14:dxf>
          </x14:cfRule>
          <x14:cfRule type="cellIs" priority="24" operator="equal" id="{C51907DA-5E13-4300-805B-6C497D891E23}">
            <xm:f>'Specified CCE Model Price List'!#REF!</xm:f>
            <x14:dxf>
              <font>
                <color theme="1"/>
              </font>
              <fill>
                <patternFill>
                  <bgColor rgb="FF9999FF"/>
                </patternFill>
              </fill>
            </x14:dxf>
          </x14:cfRule>
          <xm:sqref>A34</xm:sqref>
        </x14:conditionalFormatting>
        <x14:conditionalFormatting xmlns:xm="http://schemas.microsoft.com/office/excel/2006/main">
          <x14:cfRule type="cellIs" priority="25" operator="equal" id="{AC712260-E242-408C-96AE-6674BA43B253}">
            <xm:f>'Modèle de liste de prix spécifi'!$AB$4</xm:f>
            <x14:dxf>
              <fill>
                <patternFill>
                  <bgColor theme="5" tint="0.79998168889431442"/>
                </patternFill>
              </fill>
            </x14:dxf>
          </x14:cfRule>
          <x14:cfRule type="cellIs" priority="26" operator="equal" id="{009D7AD0-92B0-45A6-A998-7B32DD1670B5}">
            <xm:f>'Modèle de liste de prix spécifi'!$AB$5</xm:f>
            <x14:dxf>
              <fill>
                <patternFill>
                  <bgColor theme="4" tint="0.79998168889431442"/>
                </patternFill>
              </fill>
            </x14:dxf>
          </x14:cfRule>
          <x14:cfRule type="cellIs" priority="27" operator="equal" id="{81CF4BC4-8BE6-445B-8F41-EC701D73C055}">
            <xm:f>'Modèle de liste de prix spécifi'!$AB$6</xm:f>
            <x14:dxf>
              <fill>
                <patternFill>
                  <bgColor theme="3" tint="0.59996337778862885"/>
                </patternFill>
              </fill>
            </x14:dxf>
          </x14:cfRule>
          <x14:cfRule type="cellIs" priority="28" operator="equal" id="{4722EB5B-DF8F-448F-BBD8-DD26623A3965}">
            <xm:f>'Modèle de liste de prix spécifi'!$AB$7</xm:f>
            <x14:dxf>
              <font>
                <color theme="0"/>
              </font>
              <fill>
                <patternFill>
                  <bgColor theme="5" tint="-0.24994659260841701"/>
                </patternFill>
              </fill>
            </x14:dxf>
          </x14:cfRule>
          <xm:sqref>A4:A34</xm:sqref>
        </x14:conditionalFormatting>
        <x14:conditionalFormatting xmlns:xm="http://schemas.microsoft.com/office/excel/2006/main">
          <x14:cfRule type="cellIs" priority="29" operator="equal" id="{C501BD77-42E2-4800-8D8D-970AB96A1B9A}">
            <xm:f>'Modèle de liste de prix spécifi'!$AB$8</xm:f>
            <x14:dxf>
              <font>
                <color theme="1"/>
              </font>
              <fill>
                <patternFill>
                  <bgColor theme="7" tint="0.79998168889431442"/>
                </patternFill>
              </fill>
            </x14:dxf>
          </x14:cfRule>
          <x14:cfRule type="cellIs" priority="30" operator="equal" id="{D3F9D4E5-4A2F-4347-BBCC-438AFB7E30C4}">
            <xm:f>'Modèle de liste de prix spécifi'!$AB$9</xm:f>
            <x14:dxf>
              <font>
                <color theme="1"/>
              </font>
              <fill>
                <patternFill>
                  <bgColor rgb="FFCCCCFF"/>
                </patternFill>
              </fill>
            </x14:dxf>
          </x14:cfRule>
          <x14:cfRule type="cellIs" priority="31" operator="equal" id="{F8C454BF-E797-43ED-B235-9833A002E81F}">
            <xm:f>'Modèle de liste de prix spécifi'!$AB$10</xm:f>
            <x14:dxf>
              <fill>
                <patternFill>
                  <bgColor rgb="FFFFC000"/>
                </patternFill>
              </fill>
            </x14:dxf>
          </x14:cfRule>
          <x14:cfRule type="cellIs" priority="32" operator="equal" id="{4DA63674-F8F8-4823-97EA-8109A52BDF96}">
            <xm:f>'Modèle de liste de prix spécifi'!$AB$11</xm:f>
            <x14:dxf>
              <fill>
                <patternFill>
                  <bgColor rgb="FFFFFF00"/>
                </patternFill>
              </fill>
            </x14:dxf>
          </x14:cfRule>
          <x14:cfRule type="cellIs" priority="33" operator="equal" id="{8B003F18-A7B5-492F-9077-3F1C83252534}">
            <xm:f>'Modèle de liste de prix spécifi'!$AB$12</xm:f>
            <x14:dxf>
              <font>
                <color theme="0"/>
              </font>
              <fill>
                <patternFill>
                  <bgColor rgb="FF9900CC"/>
                </patternFill>
              </fill>
            </x14:dxf>
          </x14:cfRule>
          <x14:cfRule type="cellIs" priority="34" operator="equal" id="{D3E9C96E-B13C-4CB9-A300-8066CE9B0852}">
            <xm:f>'Modèle de liste de prix spécifi'!$AB$13</xm:f>
            <x14:dxf>
              <fill>
                <patternFill>
                  <bgColor rgb="FFFF99FF"/>
                </patternFill>
              </fill>
            </x14:dxf>
          </x14:cfRule>
          <x14:cfRule type="cellIs" priority="35" operator="equal" id="{24841250-D99B-4CA2-8DAD-A1574AF378D5}">
            <xm:f>'Modèle de liste de prix spécifi'!$AB$14</xm:f>
            <x14:dxf>
              <font>
                <color theme="0"/>
              </font>
              <fill>
                <patternFill>
                  <bgColor theme="4" tint="-0.24994659260841701"/>
                </patternFill>
              </fill>
            </x14:dxf>
          </x14:cfRule>
          <x14:cfRule type="cellIs" priority="36" operator="equal" id="{E7E14CE8-D26D-4AA7-BBD8-63E200D1B2AC}">
            <xm:f>'Modèle de liste de prix spécifi'!$AB$15</xm:f>
            <x14:dxf>
              <font>
                <color theme="0"/>
              </font>
              <fill>
                <patternFill>
                  <bgColor theme="9" tint="-0.24994659260841701"/>
                </patternFill>
              </fill>
            </x14:dxf>
          </x14:cfRule>
          <x14:cfRule type="cellIs" priority="37" operator="equal" id="{996D7845-ED20-458B-AFDC-14966BDFF6BE}">
            <xm:f>'Modèle de liste de prix spécifi'!$AB$16</xm:f>
            <x14:dxf>
              <font>
                <color theme="0"/>
              </font>
              <fill>
                <patternFill>
                  <bgColor rgb="FF7030A0"/>
                </patternFill>
              </fill>
            </x14:dxf>
          </x14:cfRule>
          <x14:cfRule type="cellIs" priority="38" operator="equal" id="{26CA6F78-E644-474F-A4CB-CB4D523EB066}">
            <xm:f>'Modèle de liste de prix spécifi'!$AB$17</xm:f>
            <x14:dxf>
              <font>
                <color theme="1"/>
              </font>
              <fill>
                <patternFill>
                  <bgColor theme="4" tint="0.79998168889431442"/>
                </patternFill>
              </fill>
            </x14:dxf>
          </x14:cfRule>
          <x14:cfRule type="cellIs" priority="39" operator="equal" id="{57DAF0E0-9239-4F9A-957C-5527BD37A4C7}">
            <xm:f>'Modèle de liste de prix spécifi'!$AB$18</xm:f>
            <x14:dxf>
              <font>
                <color theme="1"/>
              </font>
              <fill>
                <patternFill>
                  <bgColor theme="4" tint="0.39994506668294322"/>
                </patternFill>
              </fill>
            </x14:dxf>
          </x14:cfRule>
          <x14:cfRule type="cellIs" priority="40" operator="equal" id="{E707AB59-88E3-4224-AF5E-AA9CC6016714}">
            <xm:f>'Modèle de liste de prix spécifi'!$AB$19</xm:f>
            <x14:dxf>
              <font>
                <color theme="0"/>
              </font>
              <fill>
                <patternFill>
                  <bgColor theme="4" tint="-0.24994659260841701"/>
                </patternFill>
              </fill>
            </x14:dxf>
          </x14:cfRule>
          <x14:cfRule type="cellIs" priority="41" operator="equal" id="{C708CBC1-7554-42C0-A891-5711015A171E}">
            <xm:f>'Modèle de liste de prix spécifi'!$AB$20</xm:f>
            <x14:dxf>
              <font>
                <color theme="1"/>
              </font>
              <fill>
                <patternFill>
                  <bgColor theme="0" tint="-0.14996795556505021"/>
                </patternFill>
              </fill>
            </x14:dxf>
          </x14:cfRule>
          <x14:cfRule type="cellIs" priority="42" operator="equal" id="{F25AC343-82FE-44F9-AC2C-BF2589814047}">
            <xm:f>'Modèle de liste de prix spécifi'!$AB$21</xm:f>
            <x14:dxf>
              <font>
                <color theme="0"/>
              </font>
              <fill>
                <patternFill>
                  <bgColor theme="0" tint="-0.499984740745262"/>
                </patternFill>
              </fill>
            </x14:dxf>
          </x14:cfRule>
          <x14:cfRule type="cellIs" priority="43" operator="equal" id="{152B595F-9B02-4093-97EB-43B690972E08}">
            <xm:f>'Modèle de liste de prix spécifi'!$AB$22</xm:f>
            <x14:dxf>
              <font>
                <color theme="0"/>
              </font>
              <fill>
                <patternFill>
                  <bgColor theme="1" tint="0.24994659260841701"/>
                </patternFill>
              </fill>
            </x14:dxf>
          </x14:cfRule>
          <x14:cfRule type="cellIs" priority="44" operator="equal" id="{7FD25839-99B9-4E8E-AA6D-8C696D451431}">
            <xm:f>'Modèle de liste de prix spécifi'!$AB$23</xm:f>
            <x14:dxf>
              <font>
                <color theme="1"/>
              </font>
              <fill>
                <patternFill>
                  <bgColor theme="9" tint="0.79998168889431442"/>
                </patternFill>
              </fill>
            </x14:dxf>
          </x14:cfRule>
          <x14:cfRule type="cellIs" priority="45" operator="equal" id="{02667F3D-AF41-42AF-858F-A9120ED39407}">
            <xm:f>'Modèle de liste de prix spécifi'!$AB$24</xm:f>
            <x14:dxf>
              <font>
                <color theme="1"/>
              </font>
              <fill>
                <patternFill>
                  <bgColor theme="9" tint="0.59996337778862885"/>
                </patternFill>
              </fill>
            </x14:dxf>
          </x14:cfRule>
          <x14:cfRule type="cellIs" priority="46" operator="equal" id="{F18009B7-82A4-4FDB-97BE-B8EC696B3021}">
            <xm:f>'Modèle de liste de prix spécifi'!$AB$25</xm:f>
            <x14:dxf>
              <font>
                <color theme="1"/>
              </font>
              <fill>
                <patternFill>
                  <bgColor theme="5" tint="0.79998168889431442"/>
                </patternFill>
              </fill>
            </x14:dxf>
          </x14:cfRule>
          <x14:cfRule type="cellIs" priority="47" operator="equal" id="{7128AE10-6740-4063-B629-48233E3B08BE}">
            <xm:f>'Modèle de liste de prix spécifi'!$AB$27</xm:f>
            <x14:dxf>
              <font>
                <color theme="1"/>
              </font>
              <fill>
                <patternFill>
                  <bgColor theme="5" tint="0.59996337778862885"/>
                </patternFill>
              </fill>
            </x14:dxf>
          </x14:cfRule>
          <x14:cfRule type="cellIs" priority="48" operator="equal" id="{847BD6F7-6897-4C06-ACFE-14A119640B26}">
            <xm:f>'Specified CCE Model Price List'!#REF!</xm:f>
            <x14:dxf>
              <font>
                <color theme="1"/>
              </font>
              <fill>
                <patternFill>
                  <bgColor rgb="FF9999FF"/>
                </patternFill>
              </fill>
            </x14:dxf>
          </x14:cfRule>
          <xm:sqref>A4:A34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J278"/>
  <sheetViews>
    <sheetView showGridLines="0" zoomScale="90" zoomScaleNormal="90" zoomScaleSheetLayoutView="25" workbookViewId="0">
      <pane xSplit="1" ySplit="3" topLeftCell="B4" activePane="bottomRight" state="frozen"/>
      <selection pane="topRight"/>
      <selection pane="bottomLeft"/>
      <selection pane="bottomRight" activeCell="N200" sqref="N200"/>
    </sheetView>
  </sheetViews>
  <sheetFormatPr defaultColWidth="9.140625" defaultRowHeight="15" outlineLevelCol="2" x14ac:dyDescent="0.25"/>
  <cols>
    <col min="1" max="1" width="5.42578125" customWidth="1"/>
    <col min="2" max="2" width="30.28515625" customWidth="1"/>
    <col min="3" max="3" width="15.42578125" customWidth="1"/>
    <col min="4" max="5" width="18.42578125" style="25" customWidth="1"/>
    <col min="6" max="15" width="15.42578125" customWidth="1"/>
    <col min="16" max="16" width="9.140625" customWidth="1"/>
    <col min="17" max="26" width="10.42578125" customWidth="1"/>
    <col min="27" max="27" width="9.140625" customWidth="1"/>
    <col min="28" max="30" width="9.140625" hidden="1" customWidth="1" outlineLevel="2"/>
    <col min="31" max="34" width="9.140625" hidden="1" customWidth="1" outlineLevel="1"/>
    <col min="35" max="35" width="10.5703125" hidden="1" customWidth="1" outlineLevel="1"/>
    <col min="36" max="36" width="9.140625" collapsed="1"/>
  </cols>
  <sheetData>
    <row r="1" spans="1:36" ht="23.25" customHeight="1" thickBot="1" x14ac:dyDescent="0.3">
      <c r="A1" s="28" t="s">
        <v>89</v>
      </c>
      <c r="B1" s="27"/>
      <c r="C1" s="27"/>
      <c r="D1" s="27"/>
      <c r="E1" s="36"/>
      <c r="F1" s="36"/>
      <c r="G1" s="155"/>
      <c r="H1" s="36"/>
      <c r="I1" s="36"/>
      <c r="J1" s="36"/>
      <c r="K1" s="36"/>
      <c r="L1" s="36"/>
      <c r="M1" s="36"/>
      <c r="N1" s="36"/>
      <c r="O1" s="60"/>
      <c r="P1" s="60"/>
      <c r="Q1" s="60"/>
      <c r="R1" s="60"/>
      <c r="S1" s="60"/>
      <c r="T1" s="60"/>
      <c r="U1" s="60"/>
      <c r="V1" s="60"/>
      <c r="W1" s="60"/>
      <c r="X1" s="60"/>
      <c r="Y1" s="60"/>
      <c r="Z1" s="60"/>
    </row>
    <row r="2" spans="1:36" ht="89.25" customHeight="1" thickBot="1" x14ac:dyDescent="0.3">
      <c r="E2" s="38"/>
      <c r="F2" s="60"/>
      <c r="G2" s="60"/>
      <c r="H2" s="60"/>
      <c r="I2" s="60"/>
      <c r="J2" s="316" t="s">
        <v>90</v>
      </c>
      <c r="K2" s="317"/>
      <c r="L2" s="318" t="s">
        <v>91</v>
      </c>
      <c r="M2" s="319"/>
      <c r="N2" s="60"/>
      <c r="O2" s="60"/>
      <c r="P2" s="60"/>
      <c r="Q2" s="60"/>
      <c r="R2" s="60"/>
      <c r="S2" s="60"/>
      <c r="T2" s="60"/>
      <c r="U2" s="60"/>
      <c r="V2" s="60"/>
      <c r="W2" s="60"/>
      <c r="X2" s="60"/>
      <c r="Y2" s="60"/>
      <c r="Z2" s="60"/>
    </row>
    <row r="3" spans="1:36" s="8" customFormat="1" ht="40.5" customHeight="1" thickTop="1" x14ac:dyDescent="0.25">
      <c r="A3" s="5" t="s">
        <v>92</v>
      </c>
      <c r="B3" s="5" t="s">
        <v>93</v>
      </c>
      <c r="C3" s="5" t="s">
        <v>94</v>
      </c>
      <c r="D3" s="7" t="s">
        <v>51</v>
      </c>
      <c r="E3" s="7" t="s">
        <v>50</v>
      </c>
      <c r="F3" s="5" t="s">
        <v>52</v>
      </c>
      <c r="G3" s="5" t="s">
        <v>53</v>
      </c>
      <c r="H3" s="5" t="s">
        <v>95</v>
      </c>
      <c r="I3" s="130" t="s">
        <v>54</v>
      </c>
      <c r="J3" s="171" t="s">
        <v>96</v>
      </c>
      <c r="K3" s="172" t="s">
        <v>97</v>
      </c>
      <c r="L3" s="133" t="s">
        <v>98</v>
      </c>
      <c r="M3" s="141" t="s">
        <v>99</v>
      </c>
      <c r="N3" s="133" t="s">
        <v>100</v>
      </c>
      <c r="O3" s="5" t="s">
        <v>101</v>
      </c>
      <c r="P3" s="40"/>
      <c r="Q3" s="181"/>
      <c r="R3" s="40"/>
      <c r="S3" s="40"/>
      <c r="T3" s="40"/>
      <c r="U3" s="40"/>
      <c r="V3" s="40"/>
      <c r="W3" s="40"/>
      <c r="X3" s="40"/>
      <c r="Y3" s="40"/>
      <c r="Z3" s="40"/>
      <c r="AB3" s="23" t="s">
        <v>49</v>
      </c>
      <c r="AI3" s="8" t="s">
        <v>102</v>
      </c>
    </row>
    <row r="4" spans="1:36" s="145" customFormat="1" ht="40.5" customHeight="1" x14ac:dyDescent="0.25">
      <c r="A4" s="148">
        <v>1</v>
      </c>
      <c r="B4" s="14" t="s">
        <v>434</v>
      </c>
      <c r="C4" s="147" t="s">
        <v>103</v>
      </c>
      <c r="D4" s="153" t="s">
        <v>104</v>
      </c>
      <c r="E4" s="147" t="s">
        <v>105</v>
      </c>
      <c r="F4" s="149">
        <v>10000</v>
      </c>
      <c r="G4" s="143" t="s">
        <v>106</v>
      </c>
      <c r="H4" s="143" t="s">
        <v>106</v>
      </c>
      <c r="I4" s="203">
        <v>16405.458999999999</v>
      </c>
      <c r="J4" s="156">
        <v>11000</v>
      </c>
      <c r="K4" s="173">
        <v>15000</v>
      </c>
      <c r="L4" s="134" t="s">
        <v>107</v>
      </c>
      <c r="M4" s="136" t="s">
        <v>107</v>
      </c>
      <c r="N4" s="134">
        <f t="shared" ref="N4:N34" si="0">I4+J4</f>
        <v>27405.458999999999</v>
      </c>
      <c r="O4" s="4">
        <f t="shared" ref="O4:O34" si="1">I4+K4</f>
        <v>31405.458999999999</v>
      </c>
      <c r="P4" s="144"/>
      <c r="Q4" s="144"/>
      <c r="R4" s="144"/>
      <c r="S4" s="144"/>
      <c r="T4" s="144"/>
      <c r="U4" s="144"/>
      <c r="V4" s="144"/>
      <c r="W4" s="144"/>
      <c r="X4" s="144"/>
      <c r="Y4" s="144"/>
      <c r="Z4" s="144"/>
      <c r="AB4" s="152" t="s">
        <v>434</v>
      </c>
      <c r="AD4" s="3" t="str">
        <f>SUBSTITUTE(AB4," ","")</f>
        <v>_1.Chambresfroidesdeplainpied</v>
      </c>
    </row>
    <row r="5" spans="1:36" s="145" customFormat="1" ht="40.5" customHeight="1" x14ac:dyDescent="0.25">
      <c r="A5" s="148">
        <f>A4+1</f>
        <v>2</v>
      </c>
      <c r="B5" s="14" t="s">
        <v>434</v>
      </c>
      <c r="C5" s="148" t="s">
        <v>103</v>
      </c>
      <c r="D5" s="153" t="s">
        <v>108</v>
      </c>
      <c r="E5" s="148" t="s">
        <v>109</v>
      </c>
      <c r="F5" s="149">
        <v>10000</v>
      </c>
      <c r="G5" s="143" t="s">
        <v>106</v>
      </c>
      <c r="H5" s="143" t="s">
        <v>106</v>
      </c>
      <c r="I5" s="203">
        <v>11900</v>
      </c>
      <c r="J5" s="156">
        <v>11000</v>
      </c>
      <c r="K5" s="157">
        <v>15000</v>
      </c>
      <c r="L5" s="134" t="s">
        <v>107</v>
      </c>
      <c r="M5" s="136" t="s">
        <v>107</v>
      </c>
      <c r="N5" s="134">
        <f t="shared" si="0"/>
        <v>22900</v>
      </c>
      <c r="O5" s="4">
        <f t="shared" si="1"/>
        <v>26900</v>
      </c>
      <c r="P5" s="144"/>
      <c r="Q5" s="144"/>
      <c r="R5" s="144"/>
      <c r="S5" s="144"/>
      <c r="T5" s="144"/>
      <c r="U5" s="144"/>
      <c r="V5" s="144"/>
      <c r="W5" s="144"/>
      <c r="X5" s="144"/>
      <c r="Y5" s="144"/>
      <c r="Z5" s="3"/>
      <c r="AB5" s="176" t="s">
        <v>435</v>
      </c>
      <c r="AD5" s="3" t="str">
        <f>SUBSTITUTE(AB5," ","")</f>
        <v>_2.Chambresfroidesdeplainpiedaveccongélateurs</v>
      </c>
    </row>
    <row r="6" spans="1:36" s="145" customFormat="1" ht="40.5" customHeight="1" x14ac:dyDescent="0.25">
      <c r="A6" s="148">
        <f t="shared" ref="A6:A69" si="2">A5+1</f>
        <v>3</v>
      </c>
      <c r="B6" s="14" t="s">
        <v>434</v>
      </c>
      <c r="C6" s="148" t="s">
        <v>103</v>
      </c>
      <c r="D6" s="153" t="s">
        <v>110</v>
      </c>
      <c r="E6" s="148" t="s">
        <v>111</v>
      </c>
      <c r="F6" s="149">
        <v>10000</v>
      </c>
      <c r="G6" s="143" t="s">
        <v>106</v>
      </c>
      <c r="H6" s="143" t="s">
        <v>106</v>
      </c>
      <c r="I6" s="203">
        <v>17076.5</v>
      </c>
      <c r="J6" s="156">
        <v>11000</v>
      </c>
      <c r="K6" s="157">
        <v>15000</v>
      </c>
      <c r="L6" s="134" t="s">
        <v>107</v>
      </c>
      <c r="M6" s="136" t="s">
        <v>107</v>
      </c>
      <c r="N6" s="134">
        <f t="shared" si="0"/>
        <v>28076.5</v>
      </c>
      <c r="O6" s="4">
        <f t="shared" si="1"/>
        <v>32076.5</v>
      </c>
      <c r="P6" s="144"/>
      <c r="Q6" s="144"/>
      <c r="R6" s="144"/>
      <c r="S6" s="144"/>
      <c r="T6" s="144"/>
      <c r="U6" s="144"/>
      <c r="V6" s="144"/>
      <c r="W6" s="144"/>
      <c r="X6" s="144"/>
      <c r="Y6" s="144"/>
      <c r="Z6" s="3"/>
      <c r="AB6" s="176" t="s">
        <v>62</v>
      </c>
      <c r="AD6" s="3" t="str">
        <f>SUBSTITUTE(AB6," ","")</f>
        <v>_3.Locationàcourttermepourchambresfroides</v>
      </c>
    </row>
    <row r="7" spans="1:36" s="145" customFormat="1" ht="40.5" customHeight="1" x14ac:dyDescent="0.25">
      <c r="A7" s="148">
        <f t="shared" si="2"/>
        <v>4</v>
      </c>
      <c r="B7" s="14" t="s">
        <v>434</v>
      </c>
      <c r="C7" s="148" t="s">
        <v>103</v>
      </c>
      <c r="D7" s="153" t="s">
        <v>112</v>
      </c>
      <c r="E7" s="148" t="s">
        <v>113</v>
      </c>
      <c r="F7" s="149">
        <v>10000</v>
      </c>
      <c r="G7" s="143" t="s">
        <v>106</v>
      </c>
      <c r="H7" s="143" t="s">
        <v>106</v>
      </c>
      <c r="I7" s="203">
        <v>19658.8</v>
      </c>
      <c r="J7" s="156">
        <v>11000</v>
      </c>
      <c r="K7" s="157">
        <v>15000</v>
      </c>
      <c r="L7" s="134" t="s">
        <v>107</v>
      </c>
      <c r="M7" s="136" t="s">
        <v>107</v>
      </c>
      <c r="N7" s="134">
        <f t="shared" si="0"/>
        <v>30658.799999999999</v>
      </c>
      <c r="O7" s="4">
        <f t="shared" si="1"/>
        <v>34658.800000000003</v>
      </c>
      <c r="P7" s="144"/>
      <c r="Q7" s="144"/>
      <c r="R7" s="144"/>
      <c r="S7" s="144"/>
      <c r="T7" s="144"/>
      <c r="U7" s="144"/>
      <c r="V7" s="144"/>
      <c r="W7" s="144"/>
      <c r="X7" s="144"/>
      <c r="Y7" s="144"/>
      <c r="Z7" s="144"/>
      <c r="AB7" s="152" t="s">
        <v>63</v>
      </c>
      <c r="AD7" s="3" t="str">
        <f>SUBSTITUTE(AB7," ","")</f>
        <v>_4.Locationdechambresfroidesdeplainpiedoudechambresdecongélation</v>
      </c>
      <c r="AE7" s="3"/>
      <c r="AF7" s="3"/>
      <c r="AG7" s="3"/>
      <c r="AH7" s="3"/>
      <c r="AI7" s="3" t="s">
        <v>114</v>
      </c>
      <c r="AJ7" s="3"/>
    </row>
    <row r="8" spans="1:36" s="145" customFormat="1" ht="40.5" customHeight="1" thickBot="1" x14ac:dyDescent="0.3">
      <c r="A8" s="148">
        <f t="shared" si="2"/>
        <v>5</v>
      </c>
      <c r="B8" s="14" t="s">
        <v>434</v>
      </c>
      <c r="C8" s="148" t="s">
        <v>103</v>
      </c>
      <c r="D8" s="153" t="s">
        <v>115</v>
      </c>
      <c r="E8" s="148" t="s">
        <v>116</v>
      </c>
      <c r="F8" s="149">
        <v>10000</v>
      </c>
      <c r="G8" s="143" t="s">
        <v>106</v>
      </c>
      <c r="H8" s="143" t="s">
        <v>106</v>
      </c>
      <c r="I8" s="203">
        <v>15368.849999999999</v>
      </c>
      <c r="J8" s="156">
        <v>11000</v>
      </c>
      <c r="K8" s="157">
        <v>15000</v>
      </c>
      <c r="L8" s="134" t="s">
        <v>107</v>
      </c>
      <c r="M8" s="136" t="s">
        <v>107</v>
      </c>
      <c r="N8" s="134">
        <f t="shared" si="0"/>
        <v>26368.85</v>
      </c>
      <c r="O8" s="4">
        <f t="shared" si="1"/>
        <v>30368.85</v>
      </c>
      <c r="P8" s="144"/>
      <c r="Q8" s="144"/>
      <c r="R8" s="144"/>
      <c r="S8" s="144"/>
      <c r="T8" s="144"/>
      <c r="U8" s="144"/>
      <c r="V8" s="144"/>
      <c r="W8" s="144"/>
      <c r="X8" s="144"/>
      <c r="Y8" s="144"/>
      <c r="Z8" s="144"/>
      <c r="AB8" s="24" t="s">
        <v>64</v>
      </c>
      <c r="AC8" s="3"/>
      <c r="AD8" s="3" t="str">
        <f t="shared" ref="AD8:AD13" si="3">SUBSTITUTE(AB8," ","")</f>
        <v>_5.RéfrigérateurILRàgaineréfrigérantesurréseau_sanscomp.congélateur</v>
      </c>
      <c r="AE8" s="3"/>
      <c r="AF8" s="3"/>
      <c r="AG8" s="3"/>
      <c r="AH8" s="3"/>
      <c r="AI8" s="3" t="s">
        <v>117</v>
      </c>
      <c r="AJ8" s="3"/>
    </row>
    <row r="9" spans="1:36" s="145" customFormat="1" ht="40.5" customHeight="1" thickBot="1" x14ac:dyDescent="0.3">
      <c r="A9" s="148">
        <f t="shared" si="2"/>
        <v>6</v>
      </c>
      <c r="B9" s="14" t="s">
        <v>434</v>
      </c>
      <c r="C9" s="148" t="s">
        <v>118</v>
      </c>
      <c r="D9" s="153" t="s">
        <v>104</v>
      </c>
      <c r="E9" s="148" t="s">
        <v>119</v>
      </c>
      <c r="F9" s="147">
        <v>30000</v>
      </c>
      <c r="G9" s="143" t="s">
        <v>106</v>
      </c>
      <c r="H9" s="143" t="s">
        <v>106</v>
      </c>
      <c r="I9" s="203">
        <v>23777.223399999999</v>
      </c>
      <c r="J9" s="156">
        <v>16500</v>
      </c>
      <c r="K9" s="157">
        <v>23000</v>
      </c>
      <c r="L9" s="134" t="s">
        <v>107</v>
      </c>
      <c r="M9" s="136" t="s">
        <v>107</v>
      </c>
      <c r="N9" s="134">
        <f t="shared" si="0"/>
        <v>40277.223400000003</v>
      </c>
      <c r="O9" s="4">
        <f t="shared" si="1"/>
        <v>46777.223400000003</v>
      </c>
      <c r="P9" s="144"/>
      <c r="Q9" s="144"/>
      <c r="R9" s="144"/>
      <c r="S9" s="144"/>
      <c r="T9" s="144"/>
      <c r="U9" s="144"/>
      <c r="V9" s="144"/>
      <c r="W9" s="144"/>
      <c r="X9" s="144"/>
      <c r="Y9" s="144"/>
      <c r="Z9" s="144"/>
      <c r="AB9" s="24" t="s">
        <v>65</v>
      </c>
      <c r="AC9" s="12"/>
      <c r="AD9" s="3" t="str">
        <f t="shared" si="3"/>
        <v>_6.ILRsurréseau_aveccomp.congélateur</v>
      </c>
      <c r="AE9" s="3"/>
      <c r="AF9" s="3"/>
      <c r="AG9" s="3"/>
      <c r="AH9" s="3"/>
      <c r="AI9" s="3" t="s">
        <v>120</v>
      </c>
      <c r="AJ9" s="3"/>
    </row>
    <row r="10" spans="1:36" s="145" customFormat="1" ht="40.5" customHeight="1" thickBot="1" x14ac:dyDescent="0.3">
      <c r="A10" s="148">
        <f t="shared" si="2"/>
        <v>7</v>
      </c>
      <c r="B10" s="14" t="s">
        <v>434</v>
      </c>
      <c r="C10" s="148" t="s">
        <v>118</v>
      </c>
      <c r="D10" s="153" t="s">
        <v>108</v>
      </c>
      <c r="E10" s="148" t="s">
        <v>121</v>
      </c>
      <c r="F10" s="147">
        <v>30000</v>
      </c>
      <c r="G10" s="143" t="s">
        <v>106</v>
      </c>
      <c r="H10" s="143" t="s">
        <v>106</v>
      </c>
      <c r="I10" s="203">
        <v>18900</v>
      </c>
      <c r="J10" s="156">
        <v>16500</v>
      </c>
      <c r="K10" s="157">
        <v>23000</v>
      </c>
      <c r="L10" s="134" t="s">
        <v>107</v>
      </c>
      <c r="M10" s="136" t="s">
        <v>107</v>
      </c>
      <c r="N10" s="134">
        <f t="shared" si="0"/>
        <v>35400</v>
      </c>
      <c r="O10" s="4">
        <f t="shared" si="1"/>
        <v>41900</v>
      </c>
      <c r="P10" s="144"/>
      <c r="Q10" s="144"/>
      <c r="R10" s="144"/>
      <c r="S10" s="144"/>
      <c r="T10" s="144"/>
      <c r="U10" s="144"/>
      <c r="V10" s="144"/>
      <c r="W10" s="144"/>
      <c r="X10" s="144"/>
      <c r="Y10" s="144"/>
      <c r="Z10" s="144"/>
      <c r="AB10" s="24" t="s">
        <v>66</v>
      </c>
      <c r="AC10" s="12"/>
      <c r="AD10" s="3" t="str">
        <f t="shared" si="3"/>
        <v>_7.Congélateurssurréseau</v>
      </c>
      <c r="AE10" s="3"/>
      <c r="AF10" s="3"/>
      <c r="AG10" s="3"/>
      <c r="AH10" s="3"/>
      <c r="AI10" s="24"/>
      <c r="AJ10" s="3"/>
    </row>
    <row r="11" spans="1:36" s="145" customFormat="1" ht="40.5" customHeight="1" thickBot="1" x14ac:dyDescent="0.3">
      <c r="A11" s="148">
        <f t="shared" si="2"/>
        <v>8</v>
      </c>
      <c r="B11" s="14" t="s">
        <v>434</v>
      </c>
      <c r="C11" s="148" t="s">
        <v>118</v>
      </c>
      <c r="D11" s="153" t="s">
        <v>108</v>
      </c>
      <c r="E11" s="148" t="s">
        <v>122</v>
      </c>
      <c r="F11" s="147">
        <v>30000</v>
      </c>
      <c r="G11" s="143" t="s">
        <v>106</v>
      </c>
      <c r="H11" s="143" t="s">
        <v>106</v>
      </c>
      <c r="I11" s="203">
        <v>22600</v>
      </c>
      <c r="J11" s="156">
        <v>16500</v>
      </c>
      <c r="K11" s="157">
        <v>23000</v>
      </c>
      <c r="L11" s="134" t="s">
        <v>107</v>
      </c>
      <c r="M11" s="136" t="s">
        <v>107</v>
      </c>
      <c r="N11" s="134">
        <f t="shared" si="0"/>
        <v>39100</v>
      </c>
      <c r="O11" s="4">
        <f t="shared" si="1"/>
        <v>45600</v>
      </c>
      <c r="P11" s="144"/>
      <c r="Q11" s="144"/>
      <c r="R11" s="144"/>
      <c r="S11" s="144"/>
      <c r="T11" s="144"/>
      <c r="U11" s="144"/>
      <c r="V11" s="144"/>
      <c r="W11" s="144"/>
      <c r="X11" s="144"/>
      <c r="Y11" s="144"/>
      <c r="Z11" s="144"/>
      <c r="AB11" s="24" t="s">
        <v>67</v>
      </c>
      <c r="AC11" s="12"/>
      <c r="AD11" s="3" t="str">
        <f t="shared" si="3"/>
        <v>_8.RéfrigérateurshorsréseauSDD_sanscomp.congélateur</v>
      </c>
      <c r="AE11" s="3"/>
      <c r="AF11" s="3"/>
      <c r="AG11" s="3"/>
      <c r="AH11" s="3"/>
      <c r="AI11" s="24"/>
      <c r="AJ11" s="3"/>
    </row>
    <row r="12" spans="1:36" s="145" customFormat="1" ht="40.5" customHeight="1" thickBot="1" x14ac:dyDescent="0.3">
      <c r="A12" s="148">
        <f t="shared" si="2"/>
        <v>9</v>
      </c>
      <c r="B12" s="14" t="s">
        <v>434</v>
      </c>
      <c r="C12" s="148" t="s">
        <v>118</v>
      </c>
      <c r="D12" s="153" t="s">
        <v>110</v>
      </c>
      <c r="E12" s="148" t="s">
        <v>123</v>
      </c>
      <c r="F12" s="147">
        <v>30000</v>
      </c>
      <c r="G12" s="143" t="s">
        <v>106</v>
      </c>
      <c r="H12" s="143" t="s">
        <v>106</v>
      </c>
      <c r="I12" s="203">
        <v>23573.899999999998</v>
      </c>
      <c r="J12" s="156">
        <v>16500</v>
      </c>
      <c r="K12" s="157">
        <v>23000</v>
      </c>
      <c r="L12" s="134" t="s">
        <v>107</v>
      </c>
      <c r="M12" s="136" t="s">
        <v>107</v>
      </c>
      <c r="N12" s="134">
        <f t="shared" si="0"/>
        <v>40073.899999999994</v>
      </c>
      <c r="O12" s="4">
        <f t="shared" si="1"/>
        <v>46573.899999999994</v>
      </c>
      <c r="P12" s="144"/>
      <c r="Q12" s="144"/>
      <c r="R12" s="144"/>
      <c r="S12" s="144"/>
      <c r="T12" s="144"/>
      <c r="U12" s="144"/>
      <c r="V12" s="144"/>
      <c r="W12" s="144"/>
      <c r="X12" s="144"/>
      <c r="Y12" s="144"/>
      <c r="Z12" s="144"/>
      <c r="AB12" s="24" t="s">
        <v>68</v>
      </c>
      <c r="AC12" s="13"/>
      <c r="AD12" s="3" t="str">
        <f t="shared" si="3"/>
        <v>_9.RéfrigérateurshorsréseauSDD_aveccomp.congélateur</v>
      </c>
      <c r="AE12" s="3"/>
      <c r="AF12" s="3"/>
      <c r="AG12" s="3"/>
      <c r="AH12" s="3"/>
      <c r="AI12" s="24"/>
      <c r="AJ12" s="3"/>
    </row>
    <row r="13" spans="1:36" s="145" customFormat="1" ht="40.5" customHeight="1" x14ac:dyDescent="0.25">
      <c r="A13" s="148">
        <f t="shared" si="2"/>
        <v>10</v>
      </c>
      <c r="B13" s="14" t="s">
        <v>434</v>
      </c>
      <c r="C13" s="148" t="s">
        <v>118</v>
      </c>
      <c r="D13" s="153" t="s">
        <v>110</v>
      </c>
      <c r="E13" s="148" t="s">
        <v>124</v>
      </c>
      <c r="F13" s="147">
        <v>30000</v>
      </c>
      <c r="G13" s="143" t="s">
        <v>106</v>
      </c>
      <c r="H13" s="143" t="s">
        <v>106</v>
      </c>
      <c r="I13" s="203">
        <v>26120.5</v>
      </c>
      <c r="J13" s="156">
        <v>16500</v>
      </c>
      <c r="K13" s="157">
        <v>23000</v>
      </c>
      <c r="L13" s="134" t="s">
        <v>107</v>
      </c>
      <c r="M13" s="136" t="s">
        <v>107</v>
      </c>
      <c r="N13" s="134">
        <f t="shared" si="0"/>
        <v>42620.5</v>
      </c>
      <c r="O13" s="4">
        <f t="shared" si="1"/>
        <v>49120.5</v>
      </c>
      <c r="P13" s="144"/>
      <c r="Q13" s="144"/>
      <c r="R13" s="144"/>
      <c r="S13" s="144"/>
      <c r="T13" s="144"/>
      <c r="U13" s="144"/>
      <c r="V13" s="144"/>
      <c r="W13" s="144"/>
      <c r="X13" s="144"/>
      <c r="Y13" s="144"/>
      <c r="Z13" s="144"/>
      <c r="AB13" s="3" t="s">
        <v>69</v>
      </c>
      <c r="AC13" s="3"/>
      <c r="AD13" s="3" t="str">
        <f t="shared" si="3"/>
        <v>_10.CongélateurhorsréseauSDD</v>
      </c>
      <c r="AE13" s="3"/>
      <c r="AF13" s="3"/>
      <c r="AG13" s="3"/>
      <c r="AH13" s="3"/>
      <c r="AI13" s="24"/>
      <c r="AJ13" s="3"/>
    </row>
    <row r="14" spans="1:36" s="145" customFormat="1" ht="40.5" customHeight="1" x14ac:dyDescent="0.25">
      <c r="A14" s="148">
        <f t="shared" si="2"/>
        <v>11</v>
      </c>
      <c r="B14" s="14" t="s">
        <v>434</v>
      </c>
      <c r="C14" s="148" t="s">
        <v>118</v>
      </c>
      <c r="D14" s="153" t="s">
        <v>112</v>
      </c>
      <c r="E14" s="148" t="s">
        <v>125</v>
      </c>
      <c r="F14" s="147">
        <v>30000</v>
      </c>
      <c r="G14" s="143" t="s">
        <v>106</v>
      </c>
      <c r="H14" s="143" t="s">
        <v>106</v>
      </c>
      <c r="I14" s="203">
        <v>26072.899999999998</v>
      </c>
      <c r="J14" s="156">
        <v>16500</v>
      </c>
      <c r="K14" s="157">
        <v>23000</v>
      </c>
      <c r="L14" s="134" t="s">
        <v>107</v>
      </c>
      <c r="M14" s="136" t="s">
        <v>107</v>
      </c>
      <c r="N14" s="134">
        <f t="shared" si="0"/>
        <v>42572.899999999994</v>
      </c>
      <c r="O14" s="4">
        <f t="shared" si="1"/>
        <v>49072.899999999994</v>
      </c>
      <c r="P14" s="144"/>
      <c r="Q14" s="144"/>
      <c r="R14" s="144"/>
      <c r="S14" s="144"/>
      <c r="T14" s="144"/>
      <c r="U14" s="144"/>
      <c r="V14" s="144"/>
      <c r="W14" s="144"/>
      <c r="X14" s="144"/>
      <c r="Y14" s="144"/>
      <c r="Z14" s="144"/>
      <c r="AB14" s="24" t="s">
        <v>70</v>
      </c>
      <c r="AC14" s="3"/>
      <c r="AD14" s="3" t="str">
        <f t="shared" ref="AD14:AD21" si="4">SUBSTITUTE(AB14," ","")</f>
        <v>_11.Outildesuividelatempérature_30DTR</v>
      </c>
      <c r="AE14" s="3"/>
      <c r="AF14" s="3"/>
      <c r="AG14" s="3"/>
      <c r="AH14" s="3"/>
      <c r="AI14" s="24"/>
      <c r="AJ14" s="3"/>
    </row>
    <row r="15" spans="1:36" s="145" customFormat="1" ht="40.5" customHeight="1" x14ac:dyDescent="0.25">
      <c r="A15" s="148">
        <f t="shared" si="2"/>
        <v>12</v>
      </c>
      <c r="B15" s="14" t="s">
        <v>434</v>
      </c>
      <c r="C15" s="148" t="s">
        <v>118</v>
      </c>
      <c r="D15" s="153" t="s">
        <v>112</v>
      </c>
      <c r="E15" s="148" t="s">
        <v>126</v>
      </c>
      <c r="F15" s="147">
        <v>30000</v>
      </c>
      <c r="G15" s="143" t="s">
        <v>106</v>
      </c>
      <c r="H15" s="143" t="s">
        <v>106</v>
      </c>
      <c r="I15" s="203">
        <v>26775</v>
      </c>
      <c r="J15" s="156">
        <v>16500</v>
      </c>
      <c r="K15" s="157">
        <v>23000</v>
      </c>
      <c r="L15" s="134" t="s">
        <v>107</v>
      </c>
      <c r="M15" s="136" t="s">
        <v>107</v>
      </c>
      <c r="N15" s="134">
        <f t="shared" si="0"/>
        <v>43275</v>
      </c>
      <c r="O15" s="4">
        <f t="shared" si="1"/>
        <v>49775</v>
      </c>
      <c r="P15" s="144"/>
      <c r="Q15" s="144"/>
      <c r="R15" s="144"/>
      <c r="S15" s="144"/>
      <c r="T15" s="144"/>
      <c r="U15" s="144"/>
      <c r="V15" s="144"/>
      <c r="W15" s="144"/>
      <c r="X15" s="144"/>
      <c r="Y15" s="144"/>
      <c r="Z15" s="144"/>
      <c r="AB15" s="24" t="s">
        <v>71</v>
      </c>
      <c r="AC15" s="3"/>
      <c r="AD15" s="3" t="str">
        <f t="shared" si="4"/>
        <v>_12.Dispositifsdesurveillanceàdistancedelatempérature_RTMD</v>
      </c>
      <c r="AE15" s="3"/>
      <c r="AF15" s="3"/>
      <c r="AG15" s="3"/>
      <c r="AH15" s="3"/>
      <c r="AI15" s="3"/>
      <c r="AJ15" s="3"/>
    </row>
    <row r="16" spans="1:36" s="145" customFormat="1" ht="40.5" customHeight="1" x14ac:dyDescent="0.25">
      <c r="A16" s="148">
        <f t="shared" si="2"/>
        <v>13</v>
      </c>
      <c r="B16" s="14" t="s">
        <v>434</v>
      </c>
      <c r="C16" s="148" t="s">
        <v>118</v>
      </c>
      <c r="D16" s="153" t="s">
        <v>115</v>
      </c>
      <c r="E16" s="148" t="s">
        <v>127</v>
      </c>
      <c r="F16" s="147">
        <v>30000</v>
      </c>
      <c r="G16" s="143" t="s">
        <v>106</v>
      </c>
      <c r="H16" s="143" t="s">
        <v>106</v>
      </c>
      <c r="I16" s="203">
        <v>22225.629999999997</v>
      </c>
      <c r="J16" s="156">
        <v>16500</v>
      </c>
      <c r="K16" s="157">
        <v>23000</v>
      </c>
      <c r="L16" s="134" t="s">
        <v>107</v>
      </c>
      <c r="M16" s="136" t="s">
        <v>107</v>
      </c>
      <c r="N16" s="134">
        <f t="shared" si="0"/>
        <v>38725.629999999997</v>
      </c>
      <c r="O16" s="4">
        <f t="shared" si="1"/>
        <v>45225.63</v>
      </c>
      <c r="P16" s="144"/>
      <c r="Q16" s="144"/>
      <c r="R16" s="144"/>
      <c r="S16" s="144"/>
      <c r="T16" s="144"/>
      <c r="U16" s="144"/>
      <c r="V16" s="144"/>
      <c r="W16" s="144"/>
      <c r="X16" s="144"/>
      <c r="Y16" s="144"/>
      <c r="Z16" s="144"/>
      <c r="AB16" s="24" t="s">
        <v>437</v>
      </c>
      <c r="AC16" s="3"/>
      <c r="AD16" s="3" t="str">
        <f t="shared" ref="AD16" si="5">SUBSTITUTE(AB16," ","")</f>
        <v>_13.Portevaccinstraditionnels</v>
      </c>
      <c r="AE16" s="3"/>
      <c r="AF16" s="3"/>
      <c r="AG16" s="3"/>
      <c r="AH16" s="3"/>
      <c r="AI16" s="3"/>
      <c r="AJ16" s="3"/>
    </row>
    <row r="17" spans="1:36" s="145" customFormat="1" ht="40.5" customHeight="1" x14ac:dyDescent="0.25">
      <c r="A17" s="148">
        <f t="shared" si="2"/>
        <v>14</v>
      </c>
      <c r="B17" s="14" t="s">
        <v>434</v>
      </c>
      <c r="C17" s="148" t="s">
        <v>118</v>
      </c>
      <c r="D17" s="153" t="s">
        <v>115</v>
      </c>
      <c r="E17" s="148" t="s">
        <v>128</v>
      </c>
      <c r="F17" s="147">
        <v>30000</v>
      </c>
      <c r="G17" s="143" t="s">
        <v>106</v>
      </c>
      <c r="H17" s="143" t="s">
        <v>106</v>
      </c>
      <c r="I17" s="203">
        <v>25318.44</v>
      </c>
      <c r="J17" s="156">
        <v>16500</v>
      </c>
      <c r="K17" s="157">
        <v>23000</v>
      </c>
      <c r="L17" s="134" t="s">
        <v>107</v>
      </c>
      <c r="M17" s="136" t="s">
        <v>107</v>
      </c>
      <c r="N17" s="134">
        <f t="shared" si="0"/>
        <v>41818.44</v>
      </c>
      <c r="O17" s="4">
        <f t="shared" si="1"/>
        <v>48318.44</v>
      </c>
      <c r="P17" s="144"/>
      <c r="Q17" s="144"/>
      <c r="R17" s="144"/>
      <c r="S17" s="144"/>
      <c r="T17" s="144"/>
      <c r="U17" s="144"/>
      <c r="V17" s="144"/>
      <c r="W17" s="144"/>
      <c r="X17" s="144"/>
      <c r="Y17" s="144"/>
      <c r="Z17" s="144"/>
      <c r="AB17" s="24" t="s">
        <v>436</v>
      </c>
      <c r="AC17" s="3"/>
      <c r="AD17" s="3" t="str">
        <f t="shared" si="4"/>
        <v>_14.Portevaccinshorsgel</v>
      </c>
      <c r="AE17" s="3"/>
      <c r="AF17" s="3"/>
      <c r="AG17" s="3"/>
      <c r="AH17" s="3"/>
      <c r="AI17" s="24"/>
      <c r="AJ17" s="3"/>
    </row>
    <row r="18" spans="1:36" s="145" customFormat="1" ht="40.5" customHeight="1" x14ac:dyDescent="0.25">
      <c r="A18" s="148">
        <f t="shared" si="2"/>
        <v>15</v>
      </c>
      <c r="B18" s="14" t="s">
        <v>434</v>
      </c>
      <c r="C18" s="148" t="s">
        <v>129</v>
      </c>
      <c r="D18" s="153" t="s">
        <v>104</v>
      </c>
      <c r="E18" s="148" t="s">
        <v>130</v>
      </c>
      <c r="F18" s="147">
        <v>40000</v>
      </c>
      <c r="G18" s="143" t="s">
        <v>106</v>
      </c>
      <c r="H18" s="143" t="s">
        <v>106</v>
      </c>
      <c r="I18" s="203">
        <v>25132.633399999999</v>
      </c>
      <c r="J18" s="156">
        <v>18500</v>
      </c>
      <c r="K18" s="157">
        <v>26000</v>
      </c>
      <c r="L18" s="134" t="s">
        <v>107</v>
      </c>
      <c r="M18" s="136" t="s">
        <v>107</v>
      </c>
      <c r="N18" s="134">
        <f t="shared" si="0"/>
        <v>43632.633399999999</v>
      </c>
      <c r="O18" s="4">
        <f t="shared" si="1"/>
        <v>51132.633399999999</v>
      </c>
      <c r="P18" s="144"/>
      <c r="Q18" s="144"/>
      <c r="R18" s="144"/>
      <c r="S18" s="144"/>
      <c r="T18" s="144"/>
      <c r="U18" s="144"/>
      <c r="V18" s="144"/>
      <c r="W18" s="144"/>
      <c r="X18" s="144"/>
      <c r="Y18" s="144"/>
      <c r="Z18" s="144"/>
      <c r="AA18" s="3"/>
      <c r="AB18" s="24" t="s">
        <v>72</v>
      </c>
      <c r="AC18" s="3"/>
      <c r="AD18" s="3" t="str">
        <f t="shared" ref="AD18" si="6">SUBSTITUTE(AB18," ","")</f>
        <v>_15.Glacièrespourvaccinstraditionnelles</v>
      </c>
      <c r="AE18" s="3"/>
      <c r="AF18" s="3"/>
      <c r="AG18" s="3"/>
      <c r="AH18" s="3"/>
      <c r="AI18" s="24"/>
      <c r="AJ18" s="3"/>
    </row>
    <row r="19" spans="1:36" s="145" customFormat="1" ht="40.5" customHeight="1" x14ac:dyDescent="0.25">
      <c r="A19" s="148">
        <f t="shared" si="2"/>
        <v>16</v>
      </c>
      <c r="B19" s="14" t="s">
        <v>434</v>
      </c>
      <c r="C19" s="148" t="s">
        <v>129</v>
      </c>
      <c r="D19" s="153" t="s">
        <v>108</v>
      </c>
      <c r="E19" s="148" t="s">
        <v>131</v>
      </c>
      <c r="F19" s="147">
        <v>40000</v>
      </c>
      <c r="G19" s="143" t="s">
        <v>106</v>
      </c>
      <c r="H19" s="143" t="s">
        <v>106</v>
      </c>
      <c r="I19" s="203">
        <v>21100</v>
      </c>
      <c r="J19" s="156">
        <v>18500</v>
      </c>
      <c r="K19" s="157">
        <v>26000</v>
      </c>
      <c r="L19" s="134" t="s">
        <v>107</v>
      </c>
      <c r="M19" s="136" t="s">
        <v>107</v>
      </c>
      <c r="N19" s="134">
        <f t="shared" si="0"/>
        <v>39600</v>
      </c>
      <c r="O19" s="4">
        <f t="shared" si="1"/>
        <v>47100</v>
      </c>
      <c r="P19" s="144"/>
      <c r="Q19" s="144"/>
      <c r="R19" s="144"/>
      <c r="S19" s="144"/>
      <c r="T19" s="144"/>
      <c r="U19" s="144"/>
      <c r="V19" s="144"/>
      <c r="W19" s="144"/>
      <c r="X19" s="144"/>
      <c r="Y19" s="144"/>
      <c r="Z19" s="144"/>
      <c r="AB19" s="24" t="s">
        <v>438</v>
      </c>
      <c r="AC19" s="3"/>
      <c r="AD19" s="3" t="str">
        <f t="shared" si="4"/>
        <v>_16.Glacièreshorsgel</v>
      </c>
      <c r="AE19" s="3"/>
      <c r="AF19" s="3"/>
      <c r="AG19" s="3"/>
      <c r="AH19" s="3"/>
      <c r="AI19" s="24"/>
      <c r="AJ19" s="3"/>
    </row>
    <row r="20" spans="1:36" s="145" customFormat="1" ht="40.5" customHeight="1" x14ac:dyDescent="0.25">
      <c r="A20" s="148">
        <f t="shared" si="2"/>
        <v>17</v>
      </c>
      <c r="B20" s="14" t="s">
        <v>434</v>
      </c>
      <c r="C20" s="148" t="s">
        <v>129</v>
      </c>
      <c r="D20" s="153" t="s">
        <v>108</v>
      </c>
      <c r="E20" s="148" t="s">
        <v>132</v>
      </c>
      <c r="F20" s="147">
        <v>40000</v>
      </c>
      <c r="G20" s="143" t="s">
        <v>106</v>
      </c>
      <c r="H20" s="143" t="s">
        <v>106</v>
      </c>
      <c r="I20" s="203">
        <v>23100</v>
      </c>
      <c r="J20" s="156">
        <v>18500</v>
      </c>
      <c r="K20" s="157">
        <v>26000</v>
      </c>
      <c r="L20" s="134" t="s">
        <v>107</v>
      </c>
      <c r="M20" s="136" t="s">
        <v>107</v>
      </c>
      <c r="N20" s="134">
        <f t="shared" si="0"/>
        <v>41600</v>
      </c>
      <c r="O20" s="4">
        <f t="shared" si="1"/>
        <v>49100</v>
      </c>
      <c r="P20" s="144"/>
      <c r="Q20" s="144"/>
      <c r="R20" s="144"/>
      <c r="S20" s="144"/>
      <c r="T20" s="144"/>
      <c r="U20" s="144"/>
      <c r="V20" s="144"/>
      <c r="W20" s="144"/>
      <c r="X20" s="144"/>
      <c r="Y20" s="144"/>
      <c r="Z20" s="144"/>
      <c r="AB20" s="3" t="s">
        <v>73</v>
      </c>
      <c r="AC20" s="3"/>
      <c r="AD20" s="3" t="str">
        <f t="shared" si="4"/>
        <v>_17.Régulateursdetensionpouréquipement</v>
      </c>
      <c r="AE20" s="3"/>
      <c r="AF20" s="3"/>
      <c r="AG20" s="3"/>
      <c r="AH20" s="3"/>
      <c r="AI20" s="24"/>
      <c r="AJ20" s="3"/>
    </row>
    <row r="21" spans="1:36" s="145" customFormat="1" ht="40.5" customHeight="1" x14ac:dyDescent="0.25">
      <c r="A21" s="148">
        <f t="shared" si="2"/>
        <v>18</v>
      </c>
      <c r="B21" s="14" t="s">
        <v>434</v>
      </c>
      <c r="C21" s="148" t="s">
        <v>129</v>
      </c>
      <c r="D21" s="153" t="s">
        <v>110</v>
      </c>
      <c r="E21" s="148" t="s">
        <v>133</v>
      </c>
      <c r="F21" s="147">
        <v>40000</v>
      </c>
      <c r="G21" s="143" t="s">
        <v>106</v>
      </c>
      <c r="H21" s="143" t="s">
        <v>106</v>
      </c>
      <c r="I21" s="203">
        <v>26596.5</v>
      </c>
      <c r="J21" s="156">
        <v>18500</v>
      </c>
      <c r="K21" s="157">
        <v>26000</v>
      </c>
      <c r="L21" s="134" t="s">
        <v>107</v>
      </c>
      <c r="M21" s="136" t="s">
        <v>107</v>
      </c>
      <c r="N21" s="134">
        <f t="shared" si="0"/>
        <v>45096.5</v>
      </c>
      <c r="O21" s="4">
        <f t="shared" si="1"/>
        <v>52596.5</v>
      </c>
      <c r="P21" s="144"/>
      <c r="Q21" s="144"/>
      <c r="R21" s="144"/>
      <c r="S21" s="144"/>
      <c r="T21" s="144"/>
      <c r="U21" s="144"/>
      <c r="V21" s="144"/>
      <c r="W21" s="144"/>
      <c r="X21" s="144"/>
      <c r="Y21" s="144"/>
      <c r="Z21" s="144"/>
      <c r="AB21" s="194" t="s">
        <v>74</v>
      </c>
      <c r="AD21" s="3" t="str">
        <f t="shared" si="4"/>
        <v>_18.Packsdeglace</v>
      </c>
      <c r="AF21" s="3"/>
      <c r="AG21" s="3"/>
      <c r="AH21" s="3"/>
      <c r="AI21" s="3"/>
      <c r="AJ21" s="3"/>
    </row>
    <row r="22" spans="1:36" s="145" customFormat="1" ht="40.5" customHeight="1" x14ac:dyDescent="0.25">
      <c r="A22" s="148">
        <f t="shared" si="2"/>
        <v>19</v>
      </c>
      <c r="B22" s="14" t="s">
        <v>434</v>
      </c>
      <c r="C22" s="148" t="s">
        <v>129</v>
      </c>
      <c r="D22" s="153" t="s">
        <v>110</v>
      </c>
      <c r="E22" s="148" t="s">
        <v>134</v>
      </c>
      <c r="F22" s="147">
        <v>40000</v>
      </c>
      <c r="G22" s="143" t="s">
        <v>106</v>
      </c>
      <c r="H22" s="143" t="s">
        <v>106</v>
      </c>
      <c r="I22" s="203">
        <v>30404.5</v>
      </c>
      <c r="J22" s="156">
        <v>18500</v>
      </c>
      <c r="K22" s="157">
        <v>26000</v>
      </c>
      <c r="L22" s="134" t="s">
        <v>107</v>
      </c>
      <c r="M22" s="136" t="s">
        <v>107</v>
      </c>
      <c r="N22" s="134">
        <f t="shared" si="0"/>
        <v>48904.5</v>
      </c>
      <c r="O22" s="4">
        <f t="shared" si="1"/>
        <v>56404.5</v>
      </c>
      <c r="P22" s="144"/>
      <c r="Q22" s="144"/>
      <c r="R22" s="144"/>
      <c r="S22" s="144"/>
      <c r="T22" s="144"/>
      <c r="U22" s="144"/>
      <c r="V22" s="144"/>
      <c r="W22" s="144"/>
      <c r="X22" s="144"/>
      <c r="Y22" s="144"/>
      <c r="Z22" s="144"/>
      <c r="AB22" s="24" t="s">
        <v>75</v>
      </c>
      <c r="AC22" s="3"/>
      <c r="AD22" s="3" t="str">
        <f t="shared" ref="AD22:AD27" si="7">SUBSTITUTE(AB22," ","")</f>
        <v>_19.PiècesderechangepourlesnouveauxéquipementsILRsanscongélateur</v>
      </c>
      <c r="AE22" s="3"/>
      <c r="AF22" s="3"/>
      <c r="AG22" s="3"/>
      <c r="AH22" s="3"/>
      <c r="AI22" s="24"/>
      <c r="AJ22" s="3"/>
    </row>
    <row r="23" spans="1:36" s="145" customFormat="1" ht="40.5" customHeight="1" x14ac:dyDescent="0.25">
      <c r="A23" s="148">
        <f t="shared" si="2"/>
        <v>20</v>
      </c>
      <c r="B23" s="14" t="s">
        <v>434</v>
      </c>
      <c r="C23" s="148" t="s">
        <v>129</v>
      </c>
      <c r="D23" s="153" t="s">
        <v>112</v>
      </c>
      <c r="E23" s="148" t="s">
        <v>135</v>
      </c>
      <c r="F23" s="147">
        <v>40000</v>
      </c>
      <c r="G23" s="143" t="s">
        <v>106</v>
      </c>
      <c r="H23" s="143" t="s">
        <v>106</v>
      </c>
      <c r="I23" s="203">
        <v>27988.799999999999</v>
      </c>
      <c r="J23" s="156">
        <v>18500</v>
      </c>
      <c r="K23" s="157">
        <v>26000</v>
      </c>
      <c r="L23" s="134" t="s">
        <v>107</v>
      </c>
      <c r="M23" s="136" t="s">
        <v>107</v>
      </c>
      <c r="N23" s="134">
        <f t="shared" si="0"/>
        <v>46488.800000000003</v>
      </c>
      <c r="O23" s="4">
        <f t="shared" si="1"/>
        <v>53988.800000000003</v>
      </c>
      <c r="P23" s="144"/>
      <c r="Q23" s="144"/>
      <c r="R23" s="144"/>
      <c r="S23" s="144"/>
      <c r="T23" s="144"/>
      <c r="U23" s="144"/>
      <c r="V23" s="144"/>
      <c r="W23" s="144"/>
      <c r="X23" s="144"/>
      <c r="Y23" s="144"/>
      <c r="Z23" s="144"/>
      <c r="AB23" s="3" t="s">
        <v>76</v>
      </c>
      <c r="AC23" s="3"/>
      <c r="AD23" s="3" t="str">
        <f t="shared" si="7"/>
        <v>_20.PiècesderechangepourlesnouveauxéquipementsILRaveccongélateur</v>
      </c>
      <c r="AE23" s="3"/>
      <c r="AF23" s="3"/>
      <c r="AG23" s="3"/>
      <c r="AH23" s="3"/>
      <c r="AI23" s="3"/>
      <c r="AJ23" s="3"/>
    </row>
    <row r="24" spans="1:36" s="145" customFormat="1" ht="40.5" customHeight="1" x14ac:dyDescent="0.25">
      <c r="A24" s="148">
        <f t="shared" si="2"/>
        <v>21</v>
      </c>
      <c r="B24" s="14" t="s">
        <v>434</v>
      </c>
      <c r="C24" s="148" t="s">
        <v>129</v>
      </c>
      <c r="D24" s="153" t="s">
        <v>112</v>
      </c>
      <c r="E24" s="148" t="s">
        <v>136</v>
      </c>
      <c r="F24" s="147">
        <v>40000</v>
      </c>
      <c r="G24" s="143" t="s">
        <v>106</v>
      </c>
      <c r="H24" s="143" t="s">
        <v>106</v>
      </c>
      <c r="I24" s="203">
        <v>28702.799999999999</v>
      </c>
      <c r="J24" s="156">
        <v>18500</v>
      </c>
      <c r="K24" s="157">
        <v>26000</v>
      </c>
      <c r="L24" s="134" t="s">
        <v>107</v>
      </c>
      <c r="M24" s="136" t="s">
        <v>107</v>
      </c>
      <c r="N24" s="134">
        <f t="shared" si="0"/>
        <v>47202.8</v>
      </c>
      <c r="O24" s="4">
        <f t="shared" si="1"/>
        <v>54702.8</v>
      </c>
      <c r="P24" s="144"/>
      <c r="Q24" s="144"/>
      <c r="R24" s="144"/>
      <c r="S24" s="144"/>
      <c r="T24" s="144"/>
      <c r="U24" s="144"/>
      <c r="V24" s="144"/>
      <c r="W24" s="144"/>
      <c r="X24" s="144"/>
      <c r="Y24" s="144"/>
      <c r="Z24" s="144"/>
      <c r="AB24" s="3" t="s">
        <v>77</v>
      </c>
      <c r="AC24" s="3"/>
      <c r="AD24" s="3" t="str">
        <f t="shared" si="7"/>
        <v>_21.Piècesderechangepourlesnouveauxcongélateurs</v>
      </c>
      <c r="AE24" s="3"/>
    </row>
    <row r="25" spans="1:36" s="145" customFormat="1" ht="40.5" customHeight="1" x14ac:dyDescent="0.25">
      <c r="A25" s="148">
        <f t="shared" si="2"/>
        <v>22</v>
      </c>
      <c r="B25" s="14" t="s">
        <v>434</v>
      </c>
      <c r="C25" s="148" t="s">
        <v>129</v>
      </c>
      <c r="D25" s="153" t="s">
        <v>115</v>
      </c>
      <c r="E25" s="148" t="s">
        <v>137</v>
      </c>
      <c r="F25" s="147">
        <v>40000</v>
      </c>
      <c r="G25" s="143" t="s">
        <v>106</v>
      </c>
      <c r="H25" s="143" t="s">
        <v>106</v>
      </c>
      <c r="I25" s="203">
        <v>25007.85</v>
      </c>
      <c r="J25" s="156">
        <v>18500</v>
      </c>
      <c r="K25" s="157">
        <v>26000</v>
      </c>
      <c r="L25" s="134" t="s">
        <v>107</v>
      </c>
      <c r="M25" s="136" t="s">
        <v>107</v>
      </c>
      <c r="N25" s="134">
        <f t="shared" si="0"/>
        <v>43507.85</v>
      </c>
      <c r="O25" s="4">
        <f t="shared" si="1"/>
        <v>51007.85</v>
      </c>
      <c r="P25" s="144"/>
      <c r="Q25" s="144"/>
      <c r="R25" s="144"/>
      <c r="S25" s="144"/>
      <c r="T25" s="144"/>
      <c r="U25" s="144"/>
      <c r="V25" s="144"/>
      <c r="W25" s="144"/>
      <c r="X25" s="144"/>
      <c r="Y25" s="144"/>
      <c r="Z25" s="144"/>
      <c r="AB25" s="3" t="s">
        <v>78</v>
      </c>
      <c r="AC25" s="3"/>
      <c r="AD25" s="3" t="str">
        <f t="shared" si="7"/>
        <v>_22.PiècesderechangepourlesnouveauxSDDaveccomp.congélateur</v>
      </c>
    </row>
    <row r="26" spans="1:36" s="145" customFormat="1" ht="40.5" customHeight="1" x14ac:dyDescent="0.25">
      <c r="A26" s="148">
        <f t="shared" si="2"/>
        <v>23</v>
      </c>
      <c r="B26" s="14" t="s">
        <v>434</v>
      </c>
      <c r="C26" s="148" t="s">
        <v>129</v>
      </c>
      <c r="D26" s="153" t="s">
        <v>115</v>
      </c>
      <c r="E26" s="148" t="s">
        <v>138</v>
      </c>
      <c r="F26" s="147">
        <v>40000</v>
      </c>
      <c r="G26" s="143" t="s">
        <v>106</v>
      </c>
      <c r="H26" s="143" t="s">
        <v>106</v>
      </c>
      <c r="I26" s="203">
        <v>28492.17</v>
      </c>
      <c r="J26" s="156">
        <v>18500</v>
      </c>
      <c r="K26" s="157">
        <v>26000</v>
      </c>
      <c r="L26" s="134" t="s">
        <v>107</v>
      </c>
      <c r="M26" s="136" t="s">
        <v>107</v>
      </c>
      <c r="N26" s="134">
        <f t="shared" si="0"/>
        <v>46992.17</v>
      </c>
      <c r="O26" s="4">
        <f t="shared" si="1"/>
        <v>54492.17</v>
      </c>
      <c r="P26" s="144"/>
      <c r="Q26" s="144"/>
      <c r="R26" s="144"/>
      <c r="S26" s="144"/>
      <c r="T26" s="144"/>
      <c r="U26" s="144"/>
      <c r="V26" s="144"/>
      <c r="W26" s="144"/>
      <c r="X26" s="144"/>
      <c r="Y26" s="144"/>
      <c r="Z26" s="144"/>
      <c r="AB26" s="3" t="s">
        <v>79</v>
      </c>
      <c r="AC26" s="3"/>
      <c r="AD26" s="3" t="str">
        <f t="shared" si="7"/>
        <v>_23.PiècesderechangepourlesnouveauxSDDsanscomp.congélateur</v>
      </c>
    </row>
    <row r="27" spans="1:36" s="145" customFormat="1" ht="40.5" customHeight="1" x14ac:dyDescent="0.25">
      <c r="A27" s="148">
        <f t="shared" si="2"/>
        <v>24</v>
      </c>
      <c r="B27" s="14" t="s">
        <v>435</v>
      </c>
      <c r="C27" s="148" t="s">
        <v>129</v>
      </c>
      <c r="D27" s="153" t="s">
        <v>108</v>
      </c>
      <c r="E27" s="148" t="s">
        <v>139</v>
      </c>
      <c r="F27" s="147">
        <v>25000</v>
      </c>
      <c r="G27" s="147">
        <v>15000</v>
      </c>
      <c r="H27" s="143" t="s">
        <v>106</v>
      </c>
      <c r="I27" s="203">
        <v>27500</v>
      </c>
      <c r="J27" s="156">
        <v>26000</v>
      </c>
      <c r="K27" s="157">
        <v>38000</v>
      </c>
      <c r="L27" s="134" t="s">
        <v>107</v>
      </c>
      <c r="M27" s="136" t="s">
        <v>107</v>
      </c>
      <c r="N27" s="134">
        <f t="shared" si="0"/>
        <v>53500</v>
      </c>
      <c r="O27" s="4">
        <f t="shared" si="1"/>
        <v>65500</v>
      </c>
      <c r="P27" s="144"/>
      <c r="Q27" s="144"/>
      <c r="R27" s="144"/>
      <c r="S27" s="144"/>
      <c r="T27" s="144"/>
      <c r="U27" s="144"/>
      <c r="V27" s="144"/>
      <c r="W27" s="144"/>
      <c r="X27" s="144"/>
      <c r="Y27" s="144"/>
      <c r="Z27" s="144"/>
      <c r="AB27" s="3" t="s">
        <v>439</v>
      </c>
      <c r="AC27" s="3"/>
      <c r="AD27" s="3" t="str">
        <f t="shared" si="7"/>
        <v>_24.NouveauxcongélateursSDDpiècesderechange</v>
      </c>
    </row>
    <row r="28" spans="1:36" s="145" customFormat="1" ht="40.5" customHeight="1" x14ac:dyDescent="0.25">
      <c r="A28" s="148">
        <f t="shared" si="2"/>
        <v>25</v>
      </c>
      <c r="B28" s="14" t="s">
        <v>435</v>
      </c>
      <c r="C28" s="148" t="s">
        <v>129</v>
      </c>
      <c r="D28" s="153" t="s">
        <v>108</v>
      </c>
      <c r="E28" s="148" t="s">
        <v>140</v>
      </c>
      <c r="F28" s="147">
        <v>25000</v>
      </c>
      <c r="G28" s="147">
        <v>15000</v>
      </c>
      <c r="H28" s="143" t="s">
        <v>106</v>
      </c>
      <c r="I28" s="203">
        <v>36500</v>
      </c>
      <c r="J28" s="156">
        <v>26000</v>
      </c>
      <c r="K28" s="157">
        <v>38000</v>
      </c>
      <c r="L28" s="134" t="s">
        <v>107</v>
      </c>
      <c r="M28" s="136" t="s">
        <v>107</v>
      </c>
      <c r="N28" s="134">
        <f t="shared" si="0"/>
        <v>62500</v>
      </c>
      <c r="O28" s="4">
        <f t="shared" si="1"/>
        <v>74500</v>
      </c>
      <c r="P28" s="144"/>
      <c r="Q28" s="144"/>
      <c r="R28" s="144"/>
      <c r="S28" s="144"/>
      <c r="T28" s="144"/>
      <c r="U28" s="144"/>
      <c r="V28" s="144"/>
      <c r="W28" s="144"/>
      <c r="X28" s="144"/>
      <c r="Y28" s="144"/>
      <c r="Z28" s="144"/>
      <c r="AB28" s="146"/>
    </row>
    <row r="29" spans="1:36" s="145" customFormat="1" ht="40.5" customHeight="1" x14ac:dyDescent="0.25">
      <c r="A29" s="148">
        <f t="shared" si="2"/>
        <v>26</v>
      </c>
      <c r="B29" s="14" t="s">
        <v>435</v>
      </c>
      <c r="C29" s="148" t="s">
        <v>129</v>
      </c>
      <c r="D29" s="153" t="s">
        <v>110</v>
      </c>
      <c r="E29" s="148" t="s">
        <v>141</v>
      </c>
      <c r="F29" s="147">
        <v>25000</v>
      </c>
      <c r="G29" s="147">
        <v>15000</v>
      </c>
      <c r="H29" s="143" t="s">
        <v>106</v>
      </c>
      <c r="I29" s="203">
        <v>34596</v>
      </c>
      <c r="J29" s="156">
        <v>26000</v>
      </c>
      <c r="K29" s="157">
        <v>38000</v>
      </c>
      <c r="L29" s="134" t="s">
        <v>107</v>
      </c>
      <c r="M29" s="136" t="s">
        <v>107</v>
      </c>
      <c r="N29" s="134">
        <f t="shared" si="0"/>
        <v>60596</v>
      </c>
      <c r="O29" s="4">
        <f t="shared" si="1"/>
        <v>72596</v>
      </c>
      <c r="P29" s="144"/>
      <c r="Q29" s="144"/>
      <c r="R29" s="144"/>
      <c r="S29" s="144"/>
      <c r="T29" s="144"/>
      <c r="U29" s="144"/>
      <c r="V29" s="144"/>
      <c r="W29" s="144"/>
      <c r="X29" s="144"/>
      <c r="Y29" s="144"/>
      <c r="Z29" s="144"/>
      <c r="AB29" s="146"/>
    </row>
    <row r="30" spans="1:36" s="145" customFormat="1" ht="40.5" customHeight="1" x14ac:dyDescent="0.25">
      <c r="A30" s="148">
        <f t="shared" si="2"/>
        <v>27</v>
      </c>
      <c r="B30" s="14" t="s">
        <v>435</v>
      </c>
      <c r="C30" s="148" t="s">
        <v>129</v>
      </c>
      <c r="D30" s="153" t="s">
        <v>110</v>
      </c>
      <c r="E30" s="148" t="s">
        <v>142</v>
      </c>
      <c r="F30" s="147">
        <v>25000</v>
      </c>
      <c r="G30" s="147">
        <v>15000</v>
      </c>
      <c r="H30" s="143" t="s">
        <v>106</v>
      </c>
      <c r="I30" s="203">
        <v>43099</v>
      </c>
      <c r="J30" s="156">
        <v>26000</v>
      </c>
      <c r="K30" s="157">
        <v>38000</v>
      </c>
      <c r="L30" s="134" t="s">
        <v>107</v>
      </c>
      <c r="M30" s="136" t="s">
        <v>107</v>
      </c>
      <c r="N30" s="134">
        <f t="shared" si="0"/>
        <v>69099</v>
      </c>
      <c r="O30" s="4">
        <f t="shared" si="1"/>
        <v>81099</v>
      </c>
      <c r="P30" s="144"/>
      <c r="Q30" s="144"/>
      <c r="R30" s="144"/>
      <c r="S30" s="144"/>
      <c r="T30" s="144"/>
      <c r="U30" s="144"/>
      <c r="V30" s="144"/>
      <c r="W30" s="144"/>
      <c r="X30" s="144"/>
      <c r="Y30" s="144"/>
      <c r="Z30" s="144"/>
      <c r="AB30" s="146"/>
    </row>
    <row r="31" spans="1:36" s="145" customFormat="1" ht="40.5" customHeight="1" x14ac:dyDescent="0.25">
      <c r="A31" s="148">
        <f t="shared" si="2"/>
        <v>28</v>
      </c>
      <c r="B31" s="14" t="s">
        <v>435</v>
      </c>
      <c r="C31" s="148" t="s">
        <v>129</v>
      </c>
      <c r="D31" s="153" t="s">
        <v>112</v>
      </c>
      <c r="E31" s="148" t="s">
        <v>143</v>
      </c>
      <c r="F31" s="147">
        <v>25000</v>
      </c>
      <c r="G31" s="147">
        <v>15000</v>
      </c>
      <c r="H31" s="143" t="s">
        <v>106</v>
      </c>
      <c r="I31" s="203">
        <v>45439</v>
      </c>
      <c r="J31" s="156">
        <v>26000</v>
      </c>
      <c r="K31" s="157">
        <v>38000</v>
      </c>
      <c r="L31" s="134" t="s">
        <v>107</v>
      </c>
      <c r="M31" s="136" t="s">
        <v>107</v>
      </c>
      <c r="N31" s="134">
        <f t="shared" si="0"/>
        <v>71439</v>
      </c>
      <c r="O31" s="4">
        <f t="shared" si="1"/>
        <v>83439</v>
      </c>
      <c r="P31" s="144"/>
      <c r="Q31" s="144"/>
      <c r="R31" s="144"/>
      <c r="S31" s="144"/>
      <c r="T31" s="144"/>
      <c r="U31" s="144"/>
      <c r="V31" s="144"/>
      <c r="W31" s="144"/>
      <c r="X31" s="144"/>
      <c r="Y31" s="144"/>
      <c r="Z31" s="144"/>
      <c r="AB31" s="146"/>
    </row>
    <row r="32" spans="1:36" s="145" customFormat="1" ht="40.5" customHeight="1" x14ac:dyDescent="0.25">
      <c r="A32" s="148">
        <f t="shared" si="2"/>
        <v>29</v>
      </c>
      <c r="B32" s="14" t="s">
        <v>435</v>
      </c>
      <c r="C32" s="148" t="s">
        <v>129</v>
      </c>
      <c r="D32" s="153" t="s">
        <v>112</v>
      </c>
      <c r="E32" s="148" t="s">
        <v>144</v>
      </c>
      <c r="F32" s="147">
        <v>25000</v>
      </c>
      <c r="G32" s="147">
        <v>15000</v>
      </c>
      <c r="H32" s="143" t="s">
        <v>106</v>
      </c>
      <c r="I32" s="203">
        <v>48339</v>
      </c>
      <c r="J32" s="156">
        <v>26000</v>
      </c>
      <c r="K32" s="157">
        <v>38000</v>
      </c>
      <c r="L32" s="134" t="s">
        <v>107</v>
      </c>
      <c r="M32" s="136" t="s">
        <v>107</v>
      </c>
      <c r="N32" s="134">
        <f t="shared" si="0"/>
        <v>74339</v>
      </c>
      <c r="O32" s="4">
        <f t="shared" si="1"/>
        <v>86339</v>
      </c>
      <c r="P32" s="144"/>
      <c r="Q32" s="144"/>
      <c r="R32" s="144"/>
      <c r="S32" s="144"/>
      <c r="T32" s="144"/>
      <c r="U32" s="144"/>
      <c r="V32" s="144"/>
      <c r="W32" s="144"/>
      <c r="X32" s="144"/>
      <c r="Y32" s="144"/>
      <c r="Z32" s="144"/>
      <c r="AB32" s="146"/>
    </row>
    <row r="33" spans="1:30" s="145" customFormat="1" ht="40.5" customHeight="1" x14ac:dyDescent="0.25">
      <c r="A33" s="148">
        <f t="shared" si="2"/>
        <v>30</v>
      </c>
      <c r="B33" s="14" t="s">
        <v>435</v>
      </c>
      <c r="C33" s="148" t="s">
        <v>129</v>
      </c>
      <c r="D33" s="153" t="s">
        <v>115</v>
      </c>
      <c r="E33" s="148" t="s">
        <v>145</v>
      </c>
      <c r="F33" s="147">
        <v>25000</v>
      </c>
      <c r="G33" s="147">
        <v>15000</v>
      </c>
      <c r="H33" s="143" t="s">
        <v>106</v>
      </c>
      <c r="I33" s="203">
        <v>38626</v>
      </c>
      <c r="J33" s="156">
        <v>26000</v>
      </c>
      <c r="K33" s="157">
        <v>38000</v>
      </c>
      <c r="L33" s="134" t="s">
        <v>107</v>
      </c>
      <c r="M33" s="136" t="s">
        <v>107</v>
      </c>
      <c r="N33" s="134">
        <f t="shared" si="0"/>
        <v>64626</v>
      </c>
      <c r="O33" s="4">
        <f t="shared" si="1"/>
        <v>76626</v>
      </c>
      <c r="P33" s="144"/>
      <c r="Q33" s="144"/>
      <c r="R33" s="144"/>
      <c r="S33" s="144"/>
      <c r="T33" s="144"/>
      <c r="U33" s="144"/>
      <c r="V33" s="144"/>
      <c r="W33" s="144"/>
      <c r="X33" s="144"/>
      <c r="Y33" s="144"/>
      <c r="Z33" s="144"/>
      <c r="AB33" s="146"/>
    </row>
    <row r="34" spans="1:30" s="145" customFormat="1" ht="40.5" customHeight="1" x14ac:dyDescent="0.25">
      <c r="A34" s="148">
        <f t="shared" si="2"/>
        <v>31</v>
      </c>
      <c r="B34" s="14" t="s">
        <v>435</v>
      </c>
      <c r="C34" s="148" t="s">
        <v>129</v>
      </c>
      <c r="D34" s="153" t="s">
        <v>115</v>
      </c>
      <c r="E34" s="148" t="s">
        <v>146</v>
      </c>
      <c r="F34" s="147">
        <v>25000</v>
      </c>
      <c r="G34" s="147">
        <v>15000</v>
      </c>
      <c r="H34" s="143" t="s">
        <v>106</v>
      </c>
      <c r="I34" s="203">
        <v>45680</v>
      </c>
      <c r="J34" s="156">
        <v>26000</v>
      </c>
      <c r="K34" s="157">
        <v>38000</v>
      </c>
      <c r="L34" s="134" t="s">
        <v>107</v>
      </c>
      <c r="M34" s="136" t="s">
        <v>107</v>
      </c>
      <c r="N34" s="134">
        <f t="shared" si="0"/>
        <v>71680</v>
      </c>
      <c r="O34" s="4">
        <f t="shared" si="1"/>
        <v>83680</v>
      </c>
      <c r="P34" s="144"/>
      <c r="Q34" s="144"/>
      <c r="R34" s="144"/>
      <c r="S34" s="144"/>
      <c r="T34" s="144"/>
      <c r="U34" s="144"/>
      <c r="V34" s="144"/>
      <c r="W34" s="144"/>
      <c r="X34" s="144"/>
      <c r="Y34" s="144"/>
      <c r="Z34" s="144"/>
      <c r="AB34" s="146"/>
    </row>
    <row r="35" spans="1:30" s="145" customFormat="1" ht="40.5" customHeight="1" x14ac:dyDescent="0.25">
      <c r="A35" s="148">
        <f t="shared" si="2"/>
        <v>32</v>
      </c>
      <c r="B35" s="14" t="s">
        <v>147</v>
      </c>
      <c r="C35" s="148" t="s">
        <v>103</v>
      </c>
      <c r="D35" s="153" t="s">
        <v>106</v>
      </c>
      <c r="E35" s="148" t="s">
        <v>103</v>
      </c>
      <c r="F35" s="147">
        <v>10000</v>
      </c>
      <c r="G35" s="143" t="s">
        <v>106</v>
      </c>
      <c r="H35" s="143" t="s">
        <v>106</v>
      </c>
      <c r="I35" s="151">
        <v>5500</v>
      </c>
      <c r="J35" s="156" t="s">
        <v>107</v>
      </c>
      <c r="K35" s="157" t="s">
        <v>107</v>
      </c>
      <c r="L35" s="134" t="s">
        <v>107</v>
      </c>
      <c r="M35" s="136" t="s">
        <v>107</v>
      </c>
      <c r="N35" s="134">
        <f t="shared" ref="N35" si="8">I35</f>
        <v>5500</v>
      </c>
      <c r="O35" s="134">
        <f t="shared" ref="O35" si="9">I35</f>
        <v>5500</v>
      </c>
      <c r="P35" s="144"/>
      <c r="Q35" s="144"/>
      <c r="R35" s="144"/>
      <c r="S35" s="144"/>
      <c r="T35" s="144"/>
      <c r="U35" s="144"/>
      <c r="V35" s="144"/>
      <c r="W35" s="144"/>
      <c r="X35" s="144"/>
      <c r="Y35" s="144"/>
      <c r="Z35" s="144"/>
      <c r="AB35" s="146"/>
    </row>
    <row r="36" spans="1:30" s="145" customFormat="1" ht="40.5" customHeight="1" x14ac:dyDescent="0.25">
      <c r="A36" s="148">
        <f t="shared" si="2"/>
        <v>33</v>
      </c>
      <c r="B36" s="14" t="s">
        <v>147</v>
      </c>
      <c r="C36" s="148" t="s">
        <v>148</v>
      </c>
      <c r="D36" s="153" t="s">
        <v>106</v>
      </c>
      <c r="E36" s="148" t="s">
        <v>148</v>
      </c>
      <c r="F36" s="147">
        <v>20000</v>
      </c>
      <c r="G36" s="143" t="s">
        <v>106</v>
      </c>
      <c r="H36" s="143" t="s">
        <v>106</v>
      </c>
      <c r="I36" s="151">
        <v>8500</v>
      </c>
      <c r="J36" s="156" t="s">
        <v>107</v>
      </c>
      <c r="K36" s="157" t="s">
        <v>107</v>
      </c>
      <c r="L36" s="134" t="s">
        <v>107</v>
      </c>
      <c r="M36" s="136" t="s">
        <v>107</v>
      </c>
      <c r="N36" s="134">
        <f t="shared" ref="N36:N38" si="10">I36</f>
        <v>8500</v>
      </c>
      <c r="O36" s="134">
        <f t="shared" ref="O36:O38" si="11">I36</f>
        <v>8500</v>
      </c>
      <c r="P36" s="144"/>
      <c r="Q36" s="144"/>
      <c r="R36" s="144"/>
      <c r="S36" s="144"/>
      <c r="T36" s="144"/>
      <c r="U36" s="144"/>
      <c r="V36" s="144"/>
      <c r="W36" s="144"/>
      <c r="X36" s="144"/>
      <c r="Y36" s="144"/>
      <c r="Z36" s="144"/>
      <c r="AB36" s="146"/>
    </row>
    <row r="37" spans="1:30" s="145" customFormat="1" ht="40.5" customHeight="1" x14ac:dyDescent="0.25">
      <c r="A37" s="148">
        <f t="shared" si="2"/>
        <v>34</v>
      </c>
      <c r="B37" s="14" t="s">
        <v>147</v>
      </c>
      <c r="C37" s="148" t="s">
        <v>118</v>
      </c>
      <c r="D37" s="153" t="s">
        <v>106</v>
      </c>
      <c r="E37" s="148" t="s">
        <v>118</v>
      </c>
      <c r="F37" s="147">
        <v>30000</v>
      </c>
      <c r="G37" s="143" t="s">
        <v>106</v>
      </c>
      <c r="H37" s="143" t="s">
        <v>106</v>
      </c>
      <c r="I37" s="151">
        <v>8500</v>
      </c>
      <c r="J37" s="174" t="s">
        <v>107</v>
      </c>
      <c r="K37" s="175" t="s">
        <v>107</v>
      </c>
      <c r="L37" s="134" t="s">
        <v>107</v>
      </c>
      <c r="M37" s="136" t="s">
        <v>107</v>
      </c>
      <c r="N37" s="134">
        <f t="shared" si="10"/>
        <v>8500</v>
      </c>
      <c r="O37" s="134">
        <f t="shared" si="11"/>
        <v>8500</v>
      </c>
      <c r="P37" s="144"/>
      <c r="Q37" s="144"/>
      <c r="R37" s="144"/>
      <c r="S37" s="144"/>
      <c r="T37" s="144"/>
      <c r="U37" s="144"/>
      <c r="V37" s="144"/>
      <c r="W37" s="144"/>
      <c r="X37" s="144"/>
      <c r="Y37" s="144"/>
      <c r="Z37" s="144"/>
      <c r="AB37" s="146"/>
    </row>
    <row r="38" spans="1:30" s="145" customFormat="1" ht="40.5" customHeight="1" x14ac:dyDescent="0.25">
      <c r="A38" s="148">
        <f t="shared" si="2"/>
        <v>35</v>
      </c>
      <c r="B38" s="14" t="s">
        <v>147</v>
      </c>
      <c r="C38" s="148" t="s">
        <v>129</v>
      </c>
      <c r="D38" s="153" t="s">
        <v>106</v>
      </c>
      <c r="E38" s="148" t="s">
        <v>129</v>
      </c>
      <c r="F38" s="147">
        <v>40000</v>
      </c>
      <c r="G38" s="143" t="s">
        <v>106</v>
      </c>
      <c r="H38" s="143" t="s">
        <v>106</v>
      </c>
      <c r="I38" s="151">
        <v>9500</v>
      </c>
      <c r="J38" s="174" t="s">
        <v>107</v>
      </c>
      <c r="K38" s="175" t="s">
        <v>107</v>
      </c>
      <c r="L38" s="134" t="s">
        <v>107</v>
      </c>
      <c r="M38" s="136" t="s">
        <v>107</v>
      </c>
      <c r="N38" s="134">
        <f t="shared" si="10"/>
        <v>9500</v>
      </c>
      <c r="O38" s="134">
        <f t="shared" si="11"/>
        <v>9500</v>
      </c>
      <c r="P38" s="144"/>
      <c r="Q38" s="144"/>
      <c r="R38" s="144"/>
      <c r="S38" s="144"/>
      <c r="T38" s="144"/>
      <c r="U38" s="144"/>
      <c r="V38" s="144"/>
      <c r="W38" s="144"/>
      <c r="X38" s="144"/>
      <c r="Y38" s="144"/>
      <c r="Z38" s="144"/>
      <c r="AB38" s="146"/>
    </row>
    <row r="39" spans="1:30" s="145" customFormat="1" ht="40.5" customHeight="1" x14ac:dyDescent="0.25">
      <c r="A39" s="148">
        <f t="shared" si="2"/>
        <v>36</v>
      </c>
      <c r="B39" s="14" t="s">
        <v>63</v>
      </c>
      <c r="C39" s="148" t="s">
        <v>103</v>
      </c>
      <c r="D39" s="153" t="s">
        <v>106</v>
      </c>
      <c r="E39" s="148" t="s">
        <v>149</v>
      </c>
      <c r="F39" s="147">
        <v>10000</v>
      </c>
      <c r="G39" s="147" t="s">
        <v>106</v>
      </c>
      <c r="H39" s="143" t="s">
        <v>106</v>
      </c>
      <c r="I39" s="151">
        <v>16550</v>
      </c>
      <c r="J39" s="174" t="s">
        <v>107</v>
      </c>
      <c r="K39" s="175" t="s">
        <v>107</v>
      </c>
      <c r="L39" s="134" t="s">
        <v>107</v>
      </c>
      <c r="M39" s="136" t="s">
        <v>107</v>
      </c>
      <c r="N39" s="134">
        <f>I39</f>
        <v>16550</v>
      </c>
      <c r="O39" s="134">
        <f>I39</f>
        <v>16550</v>
      </c>
      <c r="P39" s="144"/>
      <c r="Q39" s="144"/>
      <c r="R39" s="144"/>
      <c r="S39" s="144"/>
      <c r="T39" s="144"/>
      <c r="U39" s="144"/>
      <c r="V39" s="144"/>
      <c r="W39" s="144"/>
      <c r="X39" s="144"/>
      <c r="Y39" s="144"/>
      <c r="Z39" s="144"/>
      <c r="AB39" s="146"/>
    </row>
    <row r="40" spans="1:30" s="145" customFormat="1" ht="40.5" customHeight="1" x14ac:dyDescent="0.25">
      <c r="A40" s="148">
        <f t="shared" si="2"/>
        <v>37</v>
      </c>
      <c r="B40" s="14" t="s">
        <v>63</v>
      </c>
      <c r="C40" s="148" t="s">
        <v>148</v>
      </c>
      <c r="D40" s="153" t="s">
        <v>106</v>
      </c>
      <c r="E40" s="148" t="s">
        <v>150</v>
      </c>
      <c r="F40" s="147">
        <v>20000</v>
      </c>
      <c r="G40" s="147" t="s">
        <v>106</v>
      </c>
      <c r="H40" s="143" t="s">
        <v>106</v>
      </c>
      <c r="I40" s="151">
        <v>26605.25</v>
      </c>
      <c r="J40" s="174" t="s">
        <v>107</v>
      </c>
      <c r="K40" s="175" t="s">
        <v>107</v>
      </c>
      <c r="L40" s="134" t="s">
        <v>107</v>
      </c>
      <c r="M40" s="136" t="s">
        <v>107</v>
      </c>
      <c r="N40" s="134">
        <f t="shared" ref="N40:N42" si="12">I40</f>
        <v>26605.25</v>
      </c>
      <c r="O40" s="134">
        <f t="shared" ref="O40:O42" si="13">I40</f>
        <v>26605.25</v>
      </c>
      <c r="P40" s="144"/>
      <c r="Q40" s="144"/>
      <c r="R40" s="144"/>
      <c r="S40" s="144"/>
      <c r="T40" s="144"/>
      <c r="U40" s="144"/>
      <c r="V40" s="144"/>
      <c r="W40" s="144"/>
      <c r="X40" s="144"/>
      <c r="Y40" s="144"/>
      <c r="Z40" s="144"/>
      <c r="AB40" s="146"/>
    </row>
    <row r="41" spans="1:30" s="145" customFormat="1" ht="40.5" customHeight="1" x14ac:dyDescent="0.25">
      <c r="A41" s="148">
        <f t="shared" si="2"/>
        <v>38</v>
      </c>
      <c r="B41" s="14" t="s">
        <v>63</v>
      </c>
      <c r="C41" s="148" t="s">
        <v>118</v>
      </c>
      <c r="D41" s="153" t="s">
        <v>106</v>
      </c>
      <c r="E41" s="148" t="s">
        <v>151</v>
      </c>
      <c r="F41" s="147">
        <v>30000</v>
      </c>
      <c r="G41" s="147" t="s">
        <v>106</v>
      </c>
      <c r="H41" s="143" t="s">
        <v>106</v>
      </c>
      <c r="I41" s="151">
        <v>25318.44</v>
      </c>
      <c r="J41" s="174" t="s">
        <v>107</v>
      </c>
      <c r="K41" s="175" t="s">
        <v>107</v>
      </c>
      <c r="L41" s="134" t="s">
        <v>107</v>
      </c>
      <c r="M41" s="136" t="s">
        <v>107</v>
      </c>
      <c r="N41" s="134">
        <f t="shared" si="12"/>
        <v>25318.44</v>
      </c>
      <c r="O41" s="134">
        <f t="shared" si="13"/>
        <v>25318.44</v>
      </c>
      <c r="P41" s="144"/>
      <c r="Q41" s="144"/>
      <c r="R41" s="144"/>
      <c r="S41" s="144"/>
      <c r="T41" s="144"/>
      <c r="U41" s="144"/>
      <c r="V41" s="144"/>
      <c r="W41" s="144"/>
      <c r="X41" s="144"/>
      <c r="Y41" s="144"/>
      <c r="Z41" s="144"/>
    </row>
    <row r="42" spans="1:30" s="145" customFormat="1" ht="40.5" customHeight="1" x14ac:dyDescent="0.25">
      <c r="A42" s="148">
        <f t="shared" si="2"/>
        <v>39</v>
      </c>
      <c r="B42" s="14" t="s">
        <v>63</v>
      </c>
      <c r="C42" s="148" t="s">
        <v>129</v>
      </c>
      <c r="D42" s="153" t="s">
        <v>106</v>
      </c>
      <c r="E42" s="148" t="s">
        <v>152</v>
      </c>
      <c r="F42" s="147">
        <v>40000</v>
      </c>
      <c r="G42" s="147" t="s">
        <v>106</v>
      </c>
      <c r="H42" s="143" t="s">
        <v>106</v>
      </c>
      <c r="I42" s="151">
        <v>28492.17</v>
      </c>
      <c r="J42" s="174" t="s">
        <v>107</v>
      </c>
      <c r="K42" s="175" t="s">
        <v>107</v>
      </c>
      <c r="L42" s="134" t="s">
        <v>107</v>
      </c>
      <c r="M42" s="136" t="s">
        <v>107</v>
      </c>
      <c r="N42" s="134">
        <f t="shared" si="12"/>
        <v>28492.17</v>
      </c>
      <c r="O42" s="134">
        <f t="shared" si="13"/>
        <v>28492.17</v>
      </c>
      <c r="P42" s="144"/>
      <c r="Q42" s="144"/>
      <c r="R42" s="144"/>
      <c r="S42" s="144"/>
      <c r="T42" s="144"/>
      <c r="U42" s="144"/>
      <c r="V42" s="144"/>
      <c r="W42" s="144"/>
      <c r="X42" s="144"/>
      <c r="Y42" s="144"/>
      <c r="Z42" s="144"/>
    </row>
    <row r="43" spans="1:30" s="3" customFormat="1" ht="27" customHeight="1" thickBot="1" x14ac:dyDescent="0.3">
      <c r="A43" s="148">
        <f t="shared" si="2"/>
        <v>40</v>
      </c>
      <c r="B43" s="14" t="s">
        <v>64</v>
      </c>
      <c r="C43" s="73" t="s">
        <v>153</v>
      </c>
      <c r="D43" s="74" t="s">
        <v>154</v>
      </c>
      <c r="E43" s="74" t="s">
        <v>155</v>
      </c>
      <c r="F43" s="34">
        <v>27</v>
      </c>
      <c r="G43" s="34" t="s">
        <v>106</v>
      </c>
      <c r="H43" s="34">
        <v>3.2166666666666668</v>
      </c>
      <c r="I43" s="131">
        <v>1250</v>
      </c>
      <c r="J43" s="135">
        <v>400</v>
      </c>
      <c r="K43" s="136">
        <v>1350</v>
      </c>
      <c r="L43" s="134" t="s">
        <v>107</v>
      </c>
      <c r="M43" s="136" t="s">
        <v>107</v>
      </c>
      <c r="N43" s="134">
        <f t="shared" ref="N43:N76" si="14">I43+J43</f>
        <v>1650</v>
      </c>
      <c r="O43" s="4">
        <f t="shared" ref="O43:O76" si="15">I43+K43</f>
        <v>2600</v>
      </c>
      <c r="P43" s="39"/>
      <c r="Q43" s="39"/>
      <c r="R43" s="39"/>
      <c r="S43" s="39"/>
      <c r="T43" s="39"/>
      <c r="U43" s="39"/>
      <c r="V43" s="39"/>
      <c r="W43" s="39"/>
      <c r="X43" s="39"/>
      <c r="Y43" s="39"/>
      <c r="Z43" s="39"/>
      <c r="AB43" s="145"/>
      <c r="AC43" s="145"/>
      <c r="AD43" s="145"/>
    </row>
    <row r="44" spans="1:30" s="3" customFormat="1" ht="27" customHeight="1" thickBot="1" x14ac:dyDescent="0.3">
      <c r="A44" s="148">
        <f t="shared" si="2"/>
        <v>41</v>
      </c>
      <c r="B44" s="14" t="s">
        <v>156</v>
      </c>
      <c r="C44" s="73" t="s">
        <v>153</v>
      </c>
      <c r="D44" s="74" t="s">
        <v>157</v>
      </c>
      <c r="E44" s="86" t="s">
        <v>158</v>
      </c>
      <c r="F44" s="34">
        <v>27.5</v>
      </c>
      <c r="G44" s="34" t="s">
        <v>106</v>
      </c>
      <c r="H44" s="34">
        <f>53/24</f>
        <v>2.2083333333333335</v>
      </c>
      <c r="I44" s="131">
        <v>800</v>
      </c>
      <c r="J44" s="135">
        <v>400</v>
      </c>
      <c r="K44" s="136">
        <v>1350</v>
      </c>
      <c r="L44" s="134" t="s">
        <v>107</v>
      </c>
      <c r="M44" s="136" t="s">
        <v>107</v>
      </c>
      <c r="N44" s="134">
        <f t="shared" si="14"/>
        <v>1200</v>
      </c>
      <c r="O44" s="4">
        <f t="shared" si="15"/>
        <v>2150</v>
      </c>
      <c r="P44" s="39"/>
      <c r="Q44" s="320" t="s">
        <v>159</v>
      </c>
      <c r="R44" s="321"/>
      <c r="S44" s="321"/>
      <c r="T44" s="321"/>
      <c r="U44" s="321"/>
      <c r="V44" s="321"/>
      <c r="W44" s="321"/>
      <c r="X44" s="321"/>
      <c r="Y44" s="321"/>
      <c r="Z44" s="322"/>
      <c r="AA44" s="12"/>
      <c r="AB44" s="145"/>
      <c r="AC44" s="145"/>
      <c r="AD44" s="145"/>
    </row>
    <row r="45" spans="1:30" s="3" customFormat="1" ht="27" customHeight="1" thickBot="1" x14ac:dyDescent="0.3">
      <c r="A45" s="148">
        <f t="shared" si="2"/>
        <v>42</v>
      </c>
      <c r="B45" s="14" t="s">
        <v>64</v>
      </c>
      <c r="C45" s="73" t="s">
        <v>160</v>
      </c>
      <c r="D45" s="74" t="s">
        <v>161</v>
      </c>
      <c r="E45" s="86" t="s">
        <v>162</v>
      </c>
      <c r="F45" s="34">
        <v>36.5</v>
      </c>
      <c r="G45" s="34" t="s">
        <v>106</v>
      </c>
      <c r="H45" s="34">
        <f>(121+54/60)/24</f>
        <v>5.0791666666666666</v>
      </c>
      <c r="I45" s="131">
        <v>3229.5454545454545</v>
      </c>
      <c r="J45" s="135">
        <v>400</v>
      </c>
      <c r="K45" s="136">
        <v>1350</v>
      </c>
      <c r="L45" s="134" t="s">
        <v>107</v>
      </c>
      <c r="M45" s="136" t="s">
        <v>107</v>
      </c>
      <c r="N45" s="134">
        <f t="shared" si="14"/>
        <v>3629.5454545454545</v>
      </c>
      <c r="O45" s="4">
        <f t="shared" si="15"/>
        <v>4579.545454545454</v>
      </c>
      <c r="P45" s="39"/>
      <c r="Q45" s="323" t="s">
        <v>163</v>
      </c>
      <c r="R45" s="324"/>
      <c r="S45" s="324"/>
      <c r="T45" s="324"/>
      <c r="U45" s="324"/>
      <c r="V45" s="324"/>
      <c r="W45" s="324"/>
      <c r="X45" s="324"/>
      <c r="Y45" s="324"/>
      <c r="Z45" s="325"/>
      <c r="AA45" s="12"/>
    </row>
    <row r="46" spans="1:30" s="3" customFormat="1" ht="27" customHeight="1" thickBot="1" x14ac:dyDescent="0.3">
      <c r="A46" s="148">
        <f t="shared" si="2"/>
        <v>43</v>
      </c>
      <c r="B46" s="14" t="s">
        <v>64</v>
      </c>
      <c r="C46" s="73" t="s">
        <v>160</v>
      </c>
      <c r="D46" s="74" t="s">
        <v>157</v>
      </c>
      <c r="E46" s="74" t="s">
        <v>164</v>
      </c>
      <c r="F46" s="34">
        <v>46.8</v>
      </c>
      <c r="G46" s="34" t="s">
        <v>106</v>
      </c>
      <c r="H46" s="34">
        <v>7.583333333333333</v>
      </c>
      <c r="I46" s="131">
        <v>1642</v>
      </c>
      <c r="J46" s="135">
        <v>400</v>
      </c>
      <c r="K46" s="136">
        <v>1350</v>
      </c>
      <c r="L46" s="134" t="s">
        <v>107</v>
      </c>
      <c r="M46" s="136" t="s">
        <v>107</v>
      </c>
      <c r="N46" s="134">
        <f t="shared" si="14"/>
        <v>2042</v>
      </c>
      <c r="O46" s="4">
        <f t="shared" si="15"/>
        <v>2992</v>
      </c>
      <c r="P46" s="39"/>
      <c r="Q46" s="326" t="s">
        <v>165</v>
      </c>
      <c r="R46" s="327"/>
      <c r="S46" s="327"/>
      <c r="T46" s="327"/>
      <c r="U46" s="327"/>
      <c r="V46" s="327"/>
      <c r="W46" s="327"/>
      <c r="X46" s="327"/>
      <c r="Y46" s="327"/>
      <c r="Z46" s="328"/>
      <c r="AA46" s="12"/>
    </row>
    <row r="47" spans="1:30" s="3" customFormat="1" ht="27" customHeight="1" thickBot="1" x14ac:dyDescent="0.3">
      <c r="A47" s="148">
        <f t="shared" si="2"/>
        <v>44</v>
      </c>
      <c r="B47" s="14" t="s">
        <v>64</v>
      </c>
      <c r="C47" s="73" t="s">
        <v>160</v>
      </c>
      <c r="D47" s="74" t="s">
        <v>166</v>
      </c>
      <c r="E47" s="74" t="s">
        <v>167</v>
      </c>
      <c r="F47" s="34">
        <v>50</v>
      </c>
      <c r="G47" s="34" t="s">
        <v>106</v>
      </c>
      <c r="H47" s="34">
        <v>5.625</v>
      </c>
      <c r="I47" s="131">
        <v>1400</v>
      </c>
      <c r="J47" s="135">
        <v>400</v>
      </c>
      <c r="K47" s="136">
        <v>1350</v>
      </c>
      <c r="L47" s="134" t="s">
        <v>107</v>
      </c>
      <c r="M47" s="136" t="s">
        <v>107</v>
      </c>
      <c r="N47" s="134">
        <f t="shared" si="14"/>
        <v>1800</v>
      </c>
      <c r="O47" s="4">
        <f t="shared" si="15"/>
        <v>2750</v>
      </c>
      <c r="P47" s="39"/>
      <c r="Q47" s="323" t="s">
        <v>168</v>
      </c>
      <c r="R47" s="324"/>
      <c r="S47" s="324"/>
      <c r="T47" s="324"/>
      <c r="U47" s="324"/>
      <c r="V47" s="324"/>
      <c r="W47" s="324"/>
      <c r="X47" s="324"/>
      <c r="Y47" s="324"/>
      <c r="Z47" s="325"/>
      <c r="AA47" s="12"/>
    </row>
    <row r="48" spans="1:30" s="3" customFormat="1" ht="27" customHeight="1" thickBot="1" x14ac:dyDescent="0.3">
      <c r="A48" s="148">
        <f t="shared" si="2"/>
        <v>45</v>
      </c>
      <c r="B48" s="14" t="s">
        <v>64</v>
      </c>
      <c r="C48" s="73" t="s">
        <v>160</v>
      </c>
      <c r="D48" s="74" t="s">
        <v>157</v>
      </c>
      <c r="E48" s="74" t="s">
        <v>169</v>
      </c>
      <c r="F48" s="34">
        <v>51</v>
      </c>
      <c r="G48" s="34" t="s">
        <v>106</v>
      </c>
      <c r="H48" s="34">
        <v>2.2916666666666665</v>
      </c>
      <c r="I48" s="131">
        <v>999</v>
      </c>
      <c r="J48" s="135">
        <v>400</v>
      </c>
      <c r="K48" s="136">
        <v>1350</v>
      </c>
      <c r="L48" s="134" t="s">
        <v>107</v>
      </c>
      <c r="M48" s="136" t="s">
        <v>107</v>
      </c>
      <c r="N48" s="134">
        <f t="shared" si="14"/>
        <v>1399</v>
      </c>
      <c r="O48" s="4">
        <f t="shared" si="15"/>
        <v>2349</v>
      </c>
      <c r="P48" s="39"/>
      <c r="Q48" s="329" t="s">
        <v>170</v>
      </c>
      <c r="R48" s="330"/>
      <c r="S48" s="330"/>
      <c r="T48" s="330"/>
      <c r="U48" s="330"/>
      <c r="V48" s="330"/>
      <c r="W48" s="330"/>
      <c r="X48" s="330"/>
      <c r="Y48" s="330"/>
      <c r="Z48" s="192"/>
    </row>
    <row r="49" spans="1:26" s="3" customFormat="1" ht="27" customHeight="1" x14ac:dyDescent="0.25">
      <c r="A49" s="148">
        <f t="shared" si="2"/>
        <v>46</v>
      </c>
      <c r="B49" s="14" t="s">
        <v>64</v>
      </c>
      <c r="C49" s="73" t="s">
        <v>171</v>
      </c>
      <c r="D49" s="74" t="s">
        <v>172</v>
      </c>
      <c r="E49" s="74" t="s">
        <v>173</v>
      </c>
      <c r="F49" s="34">
        <v>60</v>
      </c>
      <c r="G49" s="34" t="s">
        <v>106</v>
      </c>
      <c r="H49" s="34">
        <v>2.25</v>
      </c>
      <c r="I49" s="131">
        <v>911.36363636363637</v>
      </c>
      <c r="J49" s="135">
        <v>400</v>
      </c>
      <c r="K49" s="136">
        <v>1350</v>
      </c>
      <c r="L49" s="134" t="s">
        <v>107</v>
      </c>
      <c r="M49" s="136" t="s">
        <v>107</v>
      </c>
      <c r="N49" s="134">
        <f t="shared" si="14"/>
        <v>1311.3636363636365</v>
      </c>
      <c r="O49" s="4">
        <f t="shared" si="15"/>
        <v>2261.3636363636365</v>
      </c>
      <c r="P49" s="39"/>
      <c r="Q49" s="11" t="s">
        <v>174</v>
      </c>
      <c r="R49" s="72"/>
      <c r="S49" s="72"/>
      <c r="T49" s="72"/>
      <c r="U49" s="72"/>
      <c r="V49" s="72"/>
      <c r="W49" s="72"/>
      <c r="X49" s="72"/>
      <c r="Y49" s="72"/>
      <c r="Z49" s="11"/>
    </row>
    <row r="50" spans="1:26" s="3" customFormat="1" ht="27" customHeight="1" x14ac:dyDescent="0.25">
      <c r="A50" s="148">
        <f t="shared" si="2"/>
        <v>47</v>
      </c>
      <c r="B50" s="14" t="s">
        <v>156</v>
      </c>
      <c r="C50" s="73" t="s">
        <v>171</v>
      </c>
      <c r="D50" s="74" t="s">
        <v>108</v>
      </c>
      <c r="E50" s="74" t="s">
        <v>175</v>
      </c>
      <c r="F50" s="34">
        <v>61</v>
      </c>
      <c r="G50" s="34" t="s">
        <v>106</v>
      </c>
      <c r="H50" s="34">
        <v>1.325</v>
      </c>
      <c r="I50" s="131">
        <v>718</v>
      </c>
      <c r="J50" s="135">
        <v>400</v>
      </c>
      <c r="K50" s="136">
        <v>1350</v>
      </c>
      <c r="L50" s="134" t="s">
        <v>107</v>
      </c>
      <c r="M50" s="136" t="s">
        <v>107</v>
      </c>
      <c r="N50" s="134">
        <f t="shared" si="14"/>
        <v>1118</v>
      </c>
      <c r="O50" s="4">
        <f t="shared" si="15"/>
        <v>2068</v>
      </c>
      <c r="P50" s="39"/>
      <c r="Q50" s="331" t="s">
        <v>176</v>
      </c>
      <c r="R50" s="331"/>
      <c r="S50" s="331"/>
      <c r="T50" s="331"/>
      <c r="U50" s="331"/>
      <c r="V50" s="331"/>
      <c r="W50" s="331"/>
      <c r="X50" s="331"/>
      <c r="Y50" s="331"/>
      <c r="Z50" s="331"/>
    </row>
    <row r="51" spans="1:26" s="3" customFormat="1" ht="27" customHeight="1" x14ac:dyDescent="0.25">
      <c r="A51" s="148">
        <f t="shared" si="2"/>
        <v>48</v>
      </c>
      <c r="B51" s="14" t="s">
        <v>64</v>
      </c>
      <c r="C51" s="73" t="s">
        <v>171</v>
      </c>
      <c r="D51" s="74" t="s">
        <v>157</v>
      </c>
      <c r="E51" s="74" t="s">
        <v>177</v>
      </c>
      <c r="F51" s="34">
        <v>72.5</v>
      </c>
      <c r="G51" s="34" t="s">
        <v>106</v>
      </c>
      <c r="H51" s="34">
        <v>3.375</v>
      </c>
      <c r="I51" s="131">
        <v>1030</v>
      </c>
      <c r="J51" s="135">
        <v>400</v>
      </c>
      <c r="K51" s="136">
        <v>1350</v>
      </c>
      <c r="L51" s="134" t="s">
        <v>107</v>
      </c>
      <c r="M51" s="136" t="s">
        <v>107</v>
      </c>
      <c r="N51" s="134">
        <f t="shared" si="14"/>
        <v>1430</v>
      </c>
      <c r="O51" s="4">
        <f t="shared" si="15"/>
        <v>2380</v>
      </c>
      <c r="P51" s="39"/>
      <c r="Q51" s="39"/>
      <c r="R51" s="39"/>
      <c r="S51" s="39"/>
      <c r="T51" s="39"/>
      <c r="U51" s="39"/>
      <c r="V51" s="39"/>
      <c r="W51" s="39"/>
      <c r="X51" s="39"/>
      <c r="Y51" s="39"/>
      <c r="Z51" s="39"/>
    </row>
    <row r="52" spans="1:26" s="3" customFormat="1" ht="27" customHeight="1" x14ac:dyDescent="0.25">
      <c r="A52" s="148">
        <f t="shared" si="2"/>
        <v>49</v>
      </c>
      <c r="B52" s="14" t="s">
        <v>64</v>
      </c>
      <c r="C52" s="73" t="s">
        <v>171</v>
      </c>
      <c r="D52" s="74" t="s">
        <v>154</v>
      </c>
      <c r="E52" s="86" t="s">
        <v>178</v>
      </c>
      <c r="F52" s="34">
        <v>77</v>
      </c>
      <c r="G52" s="34" t="s">
        <v>106</v>
      </c>
      <c r="H52" s="34">
        <f>(105+17/60)/24</f>
        <v>4.3868055555555552</v>
      </c>
      <c r="I52" s="131">
        <v>1990</v>
      </c>
      <c r="J52" s="135">
        <v>400</v>
      </c>
      <c r="K52" s="136">
        <v>1350</v>
      </c>
      <c r="L52" s="134" t="s">
        <v>107</v>
      </c>
      <c r="M52" s="136" t="s">
        <v>107</v>
      </c>
      <c r="N52" s="134">
        <f t="shared" si="14"/>
        <v>2390</v>
      </c>
      <c r="O52" s="4">
        <f t="shared" si="15"/>
        <v>3340</v>
      </c>
      <c r="P52" s="39"/>
    </row>
    <row r="53" spans="1:26" s="3" customFormat="1" ht="27" customHeight="1" x14ac:dyDescent="0.25">
      <c r="A53" s="148">
        <f t="shared" si="2"/>
        <v>50</v>
      </c>
      <c r="B53" s="14" t="s">
        <v>64</v>
      </c>
      <c r="C53" s="73" t="s">
        <v>171</v>
      </c>
      <c r="D53" s="74" t="s">
        <v>161</v>
      </c>
      <c r="E53" s="86" t="s">
        <v>179</v>
      </c>
      <c r="F53" s="34">
        <v>80.5</v>
      </c>
      <c r="G53" s="34" t="s">
        <v>106</v>
      </c>
      <c r="H53" s="34">
        <f>(72+9/60)/24</f>
        <v>3.0062500000000001</v>
      </c>
      <c r="I53" s="131">
        <v>3481.818181818182</v>
      </c>
      <c r="J53" s="135">
        <v>400</v>
      </c>
      <c r="K53" s="136">
        <v>1350</v>
      </c>
      <c r="L53" s="134" t="s">
        <v>107</v>
      </c>
      <c r="M53" s="136" t="s">
        <v>107</v>
      </c>
      <c r="N53" s="134">
        <f t="shared" si="14"/>
        <v>3881.818181818182</v>
      </c>
      <c r="O53" s="4">
        <f t="shared" si="15"/>
        <v>4831.818181818182</v>
      </c>
      <c r="P53" s="39"/>
    </row>
    <row r="54" spans="1:26" s="3" customFormat="1" ht="27" customHeight="1" x14ac:dyDescent="0.25">
      <c r="A54" s="148">
        <f t="shared" si="2"/>
        <v>51</v>
      </c>
      <c r="B54" s="14" t="s">
        <v>64</v>
      </c>
      <c r="C54" s="73" t="s">
        <v>180</v>
      </c>
      <c r="D54" s="74" t="s">
        <v>172</v>
      </c>
      <c r="E54" s="86" t="s">
        <v>181</v>
      </c>
      <c r="F54" s="34">
        <v>98</v>
      </c>
      <c r="G54" s="34" t="s">
        <v>106</v>
      </c>
      <c r="H54" s="34">
        <f>54.5/24</f>
        <v>2.2708333333333335</v>
      </c>
      <c r="I54" s="131">
        <v>1085.2272727272727</v>
      </c>
      <c r="J54" s="135">
        <v>400</v>
      </c>
      <c r="K54" s="136">
        <v>1350</v>
      </c>
      <c r="L54" s="134" t="s">
        <v>107</v>
      </c>
      <c r="M54" s="136" t="s">
        <v>107</v>
      </c>
      <c r="N54" s="134">
        <f t="shared" si="14"/>
        <v>1485.2272727272727</v>
      </c>
      <c r="O54" s="4">
        <f t="shared" si="15"/>
        <v>2435.227272727273</v>
      </c>
      <c r="P54" s="39"/>
    </row>
    <row r="55" spans="1:26" s="3" customFormat="1" ht="27" customHeight="1" x14ac:dyDescent="0.25">
      <c r="A55" s="148">
        <f t="shared" si="2"/>
        <v>52</v>
      </c>
      <c r="B55" s="14" t="s">
        <v>64</v>
      </c>
      <c r="C55" s="73" t="s">
        <v>180</v>
      </c>
      <c r="D55" s="74" t="s">
        <v>157</v>
      </c>
      <c r="E55" s="74" t="s">
        <v>182</v>
      </c>
      <c r="F55" s="34">
        <v>98.5</v>
      </c>
      <c r="G55" s="34" t="s">
        <v>106</v>
      </c>
      <c r="H55" s="34">
        <v>2.4819444444444447</v>
      </c>
      <c r="I55" s="131">
        <v>1074</v>
      </c>
      <c r="J55" s="135">
        <v>400</v>
      </c>
      <c r="K55" s="136">
        <v>1350</v>
      </c>
      <c r="L55" s="134" t="s">
        <v>107</v>
      </c>
      <c r="M55" s="136" t="s">
        <v>107</v>
      </c>
      <c r="N55" s="134">
        <f t="shared" si="14"/>
        <v>1474</v>
      </c>
      <c r="O55" s="4">
        <f t="shared" si="15"/>
        <v>2424</v>
      </c>
      <c r="P55" s="39"/>
    </row>
    <row r="56" spans="1:26" s="3" customFormat="1" ht="27" customHeight="1" x14ac:dyDescent="0.25">
      <c r="A56" s="148">
        <f t="shared" si="2"/>
        <v>53</v>
      </c>
      <c r="B56" s="14" t="s">
        <v>64</v>
      </c>
      <c r="C56" s="73" t="s">
        <v>180</v>
      </c>
      <c r="D56" s="74" t="s">
        <v>154</v>
      </c>
      <c r="E56" s="74" t="s">
        <v>183</v>
      </c>
      <c r="F56" s="34">
        <v>99</v>
      </c>
      <c r="G56" s="34" t="s">
        <v>106</v>
      </c>
      <c r="H56" s="34">
        <v>4.7374999999999998</v>
      </c>
      <c r="I56" s="131">
        <v>1950</v>
      </c>
      <c r="J56" s="135">
        <v>400</v>
      </c>
      <c r="K56" s="136">
        <v>1350</v>
      </c>
      <c r="L56" s="134" t="s">
        <v>107</v>
      </c>
      <c r="M56" s="136" t="s">
        <v>107</v>
      </c>
      <c r="N56" s="134">
        <f t="shared" si="14"/>
        <v>2350</v>
      </c>
      <c r="O56" s="4">
        <f t="shared" si="15"/>
        <v>3300</v>
      </c>
      <c r="P56" s="39"/>
    </row>
    <row r="57" spans="1:26" s="3" customFormat="1" ht="27" customHeight="1" x14ac:dyDescent="0.25">
      <c r="A57" s="148">
        <f t="shared" si="2"/>
        <v>54</v>
      </c>
      <c r="B57" s="14" t="s">
        <v>64</v>
      </c>
      <c r="C57" s="73" t="s">
        <v>180</v>
      </c>
      <c r="D57" s="74" t="s">
        <v>157</v>
      </c>
      <c r="E57" s="74" t="s">
        <v>184</v>
      </c>
      <c r="F57" s="34">
        <v>99</v>
      </c>
      <c r="G57" s="34" t="s">
        <v>106</v>
      </c>
      <c r="H57" s="34">
        <v>12.512500000000001</v>
      </c>
      <c r="I57" s="131">
        <v>2355</v>
      </c>
      <c r="J57" s="135">
        <v>400</v>
      </c>
      <c r="K57" s="136">
        <v>1350</v>
      </c>
      <c r="L57" s="134" t="s">
        <v>107</v>
      </c>
      <c r="M57" s="136" t="s">
        <v>107</v>
      </c>
      <c r="N57" s="134">
        <f t="shared" si="14"/>
        <v>2755</v>
      </c>
      <c r="O57" s="4">
        <f t="shared" si="15"/>
        <v>3705</v>
      </c>
      <c r="P57" s="39"/>
    </row>
    <row r="58" spans="1:26" s="3" customFormat="1" ht="27" customHeight="1" x14ac:dyDescent="0.25">
      <c r="A58" s="148">
        <f t="shared" si="2"/>
        <v>55</v>
      </c>
      <c r="B58" s="14" t="s">
        <v>64</v>
      </c>
      <c r="C58" s="73" t="s">
        <v>180</v>
      </c>
      <c r="D58" s="74" t="s">
        <v>108</v>
      </c>
      <c r="E58" s="74" t="s">
        <v>185</v>
      </c>
      <c r="F58" s="34">
        <v>100</v>
      </c>
      <c r="G58" s="34" t="s">
        <v>106</v>
      </c>
      <c r="H58" s="34">
        <f>(128+48/60)/24</f>
        <v>5.3666666666666671</v>
      </c>
      <c r="I58" s="131">
        <v>1700</v>
      </c>
      <c r="J58" s="135">
        <v>400</v>
      </c>
      <c r="K58" s="136">
        <v>1350</v>
      </c>
      <c r="L58" s="134" t="s">
        <v>107</v>
      </c>
      <c r="M58" s="136" t="s">
        <v>107</v>
      </c>
      <c r="N58" s="134">
        <f t="shared" si="14"/>
        <v>2100</v>
      </c>
      <c r="O58" s="4">
        <f t="shared" si="15"/>
        <v>3050</v>
      </c>
      <c r="P58" s="39"/>
    </row>
    <row r="59" spans="1:26" s="3" customFormat="1" ht="27" customHeight="1" x14ac:dyDescent="0.25">
      <c r="A59" s="148">
        <f t="shared" si="2"/>
        <v>56</v>
      </c>
      <c r="B59" s="14" t="s">
        <v>64</v>
      </c>
      <c r="C59" s="73" t="s">
        <v>186</v>
      </c>
      <c r="D59" s="74" t="s">
        <v>108</v>
      </c>
      <c r="E59" s="74" t="s">
        <v>187</v>
      </c>
      <c r="F59" s="34">
        <v>122</v>
      </c>
      <c r="G59" s="34" t="s">
        <v>106</v>
      </c>
      <c r="H59" s="34">
        <v>1.2604166666666667</v>
      </c>
      <c r="I59" s="131">
        <v>918</v>
      </c>
      <c r="J59" s="135">
        <v>400</v>
      </c>
      <c r="K59" s="136">
        <v>1350</v>
      </c>
      <c r="L59" s="134" t="s">
        <v>107</v>
      </c>
      <c r="M59" s="136" t="s">
        <v>107</v>
      </c>
      <c r="N59" s="134">
        <f t="shared" si="14"/>
        <v>1318</v>
      </c>
      <c r="O59" s="4">
        <f t="shared" si="15"/>
        <v>2268</v>
      </c>
      <c r="P59" s="39"/>
    </row>
    <row r="60" spans="1:26" s="3" customFormat="1" ht="27" customHeight="1" x14ac:dyDescent="0.25">
      <c r="A60" s="148">
        <f t="shared" si="2"/>
        <v>57</v>
      </c>
      <c r="B60" s="14" t="s">
        <v>64</v>
      </c>
      <c r="C60" s="73" t="s">
        <v>186</v>
      </c>
      <c r="D60" s="74" t="s">
        <v>172</v>
      </c>
      <c r="E60" s="74" t="s">
        <v>188</v>
      </c>
      <c r="F60" s="34">
        <v>127</v>
      </c>
      <c r="G60" s="34" t="s">
        <v>106</v>
      </c>
      <c r="H60" s="34">
        <v>2.2791666666666668</v>
      </c>
      <c r="I60" s="131">
        <v>1201.1363636363637</v>
      </c>
      <c r="J60" s="135">
        <v>400</v>
      </c>
      <c r="K60" s="136">
        <v>1350</v>
      </c>
      <c r="L60" s="134" t="s">
        <v>107</v>
      </c>
      <c r="M60" s="136" t="s">
        <v>107</v>
      </c>
      <c r="N60" s="134">
        <f>I60+J60</f>
        <v>1601.1363636363637</v>
      </c>
      <c r="O60" s="4">
        <f>I60+K60</f>
        <v>2551.136363636364</v>
      </c>
      <c r="P60" s="39"/>
      <c r="Q60" s="184"/>
      <c r="R60" s="184"/>
      <c r="S60" s="184"/>
      <c r="T60" s="184"/>
      <c r="U60" s="184"/>
      <c r="V60" s="184"/>
      <c r="W60" s="184"/>
      <c r="X60" s="184"/>
      <c r="Y60" s="184"/>
      <c r="Z60" s="184"/>
    </row>
    <row r="61" spans="1:26" s="3" customFormat="1" ht="27" customHeight="1" x14ac:dyDescent="0.25">
      <c r="A61" s="148">
        <f t="shared" si="2"/>
        <v>58</v>
      </c>
      <c r="B61" s="14" t="s">
        <v>64</v>
      </c>
      <c r="C61" s="73" t="s">
        <v>186</v>
      </c>
      <c r="D61" s="74" t="s">
        <v>154</v>
      </c>
      <c r="E61" s="74" t="s">
        <v>189</v>
      </c>
      <c r="F61" s="34">
        <v>128</v>
      </c>
      <c r="G61" s="34" t="s">
        <v>106</v>
      </c>
      <c r="H61" s="34">
        <v>5.3416666666666659</v>
      </c>
      <c r="I61" s="131">
        <v>2300</v>
      </c>
      <c r="J61" s="135">
        <v>400</v>
      </c>
      <c r="K61" s="136">
        <v>1350</v>
      </c>
      <c r="L61" s="134" t="s">
        <v>107</v>
      </c>
      <c r="M61" s="136" t="s">
        <v>107</v>
      </c>
      <c r="N61" s="134">
        <f t="shared" si="14"/>
        <v>2700</v>
      </c>
      <c r="O61" s="4">
        <f t="shared" si="15"/>
        <v>3650</v>
      </c>
      <c r="P61" s="39"/>
      <c r="Q61" s="184"/>
      <c r="R61" s="184"/>
      <c r="S61" s="184"/>
      <c r="T61" s="184"/>
      <c r="U61" s="184"/>
      <c r="V61" s="184"/>
      <c r="W61" s="184"/>
      <c r="X61" s="184"/>
      <c r="Y61" s="184"/>
      <c r="Z61" s="184"/>
    </row>
    <row r="62" spans="1:26" s="3" customFormat="1" ht="27" customHeight="1" x14ac:dyDescent="0.25">
      <c r="A62" s="148">
        <f t="shared" si="2"/>
        <v>59</v>
      </c>
      <c r="B62" s="14" t="s">
        <v>64</v>
      </c>
      <c r="C62" s="73" t="s">
        <v>186</v>
      </c>
      <c r="D62" s="74" t="s">
        <v>172</v>
      </c>
      <c r="E62" s="74" t="s">
        <v>190</v>
      </c>
      <c r="F62" s="34">
        <v>145</v>
      </c>
      <c r="G62" s="34" t="s">
        <v>106</v>
      </c>
      <c r="H62" s="34">
        <v>2.2916666666666665</v>
      </c>
      <c r="I62" s="131">
        <v>1293.1818181818182</v>
      </c>
      <c r="J62" s="135">
        <v>400</v>
      </c>
      <c r="K62" s="136">
        <v>1350</v>
      </c>
      <c r="L62" s="134" t="s">
        <v>107</v>
      </c>
      <c r="M62" s="136" t="s">
        <v>107</v>
      </c>
      <c r="N62" s="134">
        <f t="shared" si="14"/>
        <v>1693.1818181818182</v>
      </c>
      <c r="O62" s="4">
        <f t="shared" si="15"/>
        <v>2643.181818181818</v>
      </c>
      <c r="P62" s="39"/>
      <c r="Q62" s="39"/>
      <c r="R62" s="39"/>
      <c r="S62" s="39"/>
      <c r="T62" s="39"/>
      <c r="U62" s="39"/>
      <c r="V62" s="39"/>
      <c r="W62" s="39"/>
      <c r="X62" s="39"/>
      <c r="Y62" s="39"/>
      <c r="Z62" s="39"/>
    </row>
    <row r="63" spans="1:26" s="3" customFormat="1" ht="27" customHeight="1" x14ac:dyDescent="0.25">
      <c r="A63" s="148">
        <f t="shared" si="2"/>
        <v>60</v>
      </c>
      <c r="B63" s="14" t="s">
        <v>64</v>
      </c>
      <c r="C63" s="73" t="s">
        <v>186</v>
      </c>
      <c r="D63" s="74" t="s">
        <v>108</v>
      </c>
      <c r="E63" s="74" t="s">
        <v>191</v>
      </c>
      <c r="F63" s="34">
        <v>200</v>
      </c>
      <c r="G63" s="34" t="s">
        <v>106</v>
      </c>
      <c r="H63" s="34">
        <f>(87+(14/60))/24</f>
        <v>3.6347222222222224</v>
      </c>
      <c r="I63" s="131">
        <v>1800</v>
      </c>
      <c r="J63" s="135">
        <v>400</v>
      </c>
      <c r="K63" s="136">
        <v>1350</v>
      </c>
      <c r="L63" s="134" t="s">
        <v>107</v>
      </c>
      <c r="M63" s="136" t="s">
        <v>107</v>
      </c>
      <c r="N63" s="134">
        <f>I63+J63</f>
        <v>2200</v>
      </c>
      <c r="O63" s="4">
        <f>I63+K63</f>
        <v>3150</v>
      </c>
      <c r="P63" s="39"/>
      <c r="Q63" s="39"/>
      <c r="R63" s="39"/>
      <c r="S63" s="39"/>
      <c r="T63" s="39"/>
      <c r="U63" s="39"/>
      <c r="V63" s="39"/>
      <c r="W63" s="39"/>
      <c r="X63" s="39"/>
      <c r="Y63" s="39"/>
      <c r="Z63" s="39"/>
    </row>
    <row r="64" spans="1:26" s="3" customFormat="1" ht="27" customHeight="1" x14ac:dyDescent="0.25">
      <c r="A64" s="148">
        <f t="shared" si="2"/>
        <v>61</v>
      </c>
      <c r="B64" s="14" t="s">
        <v>64</v>
      </c>
      <c r="C64" s="73" t="s">
        <v>186</v>
      </c>
      <c r="D64" s="74" t="s">
        <v>192</v>
      </c>
      <c r="E64" s="74" t="s">
        <v>193</v>
      </c>
      <c r="F64" s="34">
        <v>203.2</v>
      </c>
      <c r="G64" s="34" t="s">
        <v>106</v>
      </c>
      <c r="H64" s="34">
        <v>3.9166666666666665</v>
      </c>
      <c r="I64" s="131">
        <v>3181.818181818182</v>
      </c>
      <c r="J64" s="135">
        <v>400</v>
      </c>
      <c r="K64" s="136">
        <v>1350</v>
      </c>
      <c r="L64" s="134" t="s">
        <v>107</v>
      </c>
      <c r="M64" s="136" t="s">
        <v>107</v>
      </c>
      <c r="N64" s="134">
        <f t="shared" si="14"/>
        <v>3581.818181818182</v>
      </c>
      <c r="O64" s="4">
        <f t="shared" si="15"/>
        <v>4531.818181818182</v>
      </c>
      <c r="P64" s="39"/>
    </row>
    <row r="65" spans="1:26" s="3" customFormat="1" ht="27" customHeight="1" x14ac:dyDescent="0.25">
      <c r="A65" s="148">
        <f t="shared" si="2"/>
        <v>62</v>
      </c>
      <c r="B65" s="14" t="s">
        <v>64</v>
      </c>
      <c r="C65" s="73" t="s">
        <v>186</v>
      </c>
      <c r="D65" s="74" t="s">
        <v>108</v>
      </c>
      <c r="E65" s="74" t="s">
        <v>194</v>
      </c>
      <c r="F65" s="34">
        <v>211</v>
      </c>
      <c r="G65" s="34" t="s">
        <v>106</v>
      </c>
      <c r="H65" s="34">
        <v>1.4416666666666667</v>
      </c>
      <c r="I65" s="131">
        <v>1068</v>
      </c>
      <c r="J65" s="135">
        <v>400</v>
      </c>
      <c r="K65" s="136">
        <v>1350</v>
      </c>
      <c r="L65" s="134" t="s">
        <v>107</v>
      </c>
      <c r="M65" s="136" t="s">
        <v>107</v>
      </c>
      <c r="N65" s="134">
        <f t="shared" si="14"/>
        <v>1468</v>
      </c>
      <c r="O65" s="4">
        <f t="shared" si="15"/>
        <v>2418</v>
      </c>
      <c r="P65" s="39"/>
      <c r="Q65" s="39"/>
      <c r="R65" s="39"/>
      <c r="S65" s="39"/>
      <c r="T65" s="39"/>
      <c r="U65" s="39"/>
      <c r="V65" s="39"/>
      <c r="W65" s="39"/>
      <c r="X65" s="39"/>
      <c r="Y65" s="39"/>
      <c r="Z65" s="39"/>
    </row>
    <row r="66" spans="1:26" s="3" customFormat="1" ht="27" customHeight="1" x14ac:dyDescent="0.25">
      <c r="A66" s="148">
        <f t="shared" si="2"/>
        <v>63</v>
      </c>
      <c r="B66" s="14" t="s">
        <v>64</v>
      </c>
      <c r="C66" s="73" t="s">
        <v>186</v>
      </c>
      <c r="D66" s="74" t="s">
        <v>157</v>
      </c>
      <c r="E66" s="74" t="s">
        <v>195</v>
      </c>
      <c r="F66" s="34">
        <v>225</v>
      </c>
      <c r="G66" s="34" t="s">
        <v>106</v>
      </c>
      <c r="H66" s="34">
        <v>2.2916666666666665</v>
      </c>
      <c r="I66" s="131">
        <v>1910</v>
      </c>
      <c r="J66" s="135">
        <v>400</v>
      </c>
      <c r="K66" s="136">
        <v>1350</v>
      </c>
      <c r="L66" s="134" t="s">
        <v>107</v>
      </c>
      <c r="M66" s="136" t="s">
        <v>107</v>
      </c>
      <c r="N66" s="134">
        <f t="shared" si="14"/>
        <v>2310</v>
      </c>
      <c r="O66" s="4">
        <f t="shared" si="15"/>
        <v>3260</v>
      </c>
      <c r="P66" s="39"/>
      <c r="Q66" s="39"/>
      <c r="R66" s="39"/>
      <c r="S66" s="39"/>
      <c r="T66" s="39"/>
      <c r="U66" s="39"/>
      <c r="V66" s="39"/>
      <c r="W66" s="39"/>
      <c r="X66" s="39"/>
      <c r="Y66" s="39"/>
      <c r="Z66" s="39"/>
    </row>
    <row r="67" spans="1:26" s="3" customFormat="1" ht="27" customHeight="1" x14ac:dyDescent="0.25">
      <c r="A67" s="148">
        <f t="shared" si="2"/>
        <v>64</v>
      </c>
      <c r="B67" s="14" t="s">
        <v>64</v>
      </c>
      <c r="C67" s="73" t="s">
        <v>186</v>
      </c>
      <c r="D67" s="74" t="s">
        <v>161</v>
      </c>
      <c r="E67" s="86" t="s">
        <v>196</v>
      </c>
      <c r="F67" s="34">
        <v>240</v>
      </c>
      <c r="G67" s="34" t="s">
        <v>106</v>
      </c>
      <c r="H67" s="34">
        <f>77.3/24</f>
        <v>3.2208333333333332</v>
      </c>
      <c r="I67" s="131">
        <v>4500</v>
      </c>
      <c r="J67" s="135">
        <v>400</v>
      </c>
      <c r="K67" s="136">
        <v>1350</v>
      </c>
      <c r="L67" s="134" t="s">
        <v>107</v>
      </c>
      <c r="M67" s="136" t="s">
        <v>107</v>
      </c>
      <c r="N67" s="134">
        <f t="shared" si="14"/>
        <v>4900</v>
      </c>
      <c r="O67" s="4">
        <f t="shared" si="15"/>
        <v>5850</v>
      </c>
      <c r="P67" s="39"/>
      <c r="Q67" s="39"/>
      <c r="R67" s="39"/>
      <c r="S67" s="39"/>
      <c r="T67" s="39"/>
      <c r="U67" s="39"/>
      <c r="V67" s="39"/>
      <c r="W67" s="39"/>
      <c r="X67" s="39"/>
      <c r="Y67" s="39"/>
      <c r="Z67" s="39"/>
    </row>
    <row r="68" spans="1:26" s="3" customFormat="1" ht="27" customHeight="1" x14ac:dyDescent="0.25">
      <c r="A68" s="148">
        <f t="shared" si="2"/>
        <v>65</v>
      </c>
      <c r="B68" s="14" t="s">
        <v>64</v>
      </c>
      <c r="C68" s="73" t="s">
        <v>186</v>
      </c>
      <c r="D68" s="74" t="s">
        <v>172</v>
      </c>
      <c r="E68" s="74" t="s">
        <v>197</v>
      </c>
      <c r="F68" s="34">
        <v>242</v>
      </c>
      <c r="G68" s="34" t="s">
        <v>106</v>
      </c>
      <c r="H68" s="34">
        <v>2.3029166666666669</v>
      </c>
      <c r="I68" s="131">
        <v>2039.7727272727273</v>
      </c>
      <c r="J68" s="135">
        <v>400</v>
      </c>
      <c r="K68" s="136">
        <v>1350</v>
      </c>
      <c r="L68" s="134" t="s">
        <v>107</v>
      </c>
      <c r="M68" s="136" t="s">
        <v>107</v>
      </c>
      <c r="N68" s="134">
        <f>I68+J68</f>
        <v>2439.772727272727</v>
      </c>
      <c r="O68" s="4">
        <f t="shared" ref="O68" si="16">I68+K68</f>
        <v>3389.772727272727</v>
      </c>
      <c r="P68" s="39"/>
      <c r="Q68" s="39"/>
      <c r="R68" s="39"/>
      <c r="S68" s="39"/>
      <c r="T68" s="39"/>
      <c r="U68" s="39"/>
      <c r="V68" s="39"/>
      <c r="W68" s="39"/>
      <c r="X68" s="39"/>
      <c r="Y68" s="39"/>
      <c r="Z68" s="39"/>
    </row>
    <row r="69" spans="1:26" s="3" customFormat="1" ht="27" customHeight="1" x14ac:dyDescent="0.25">
      <c r="A69" s="148">
        <f t="shared" si="2"/>
        <v>66</v>
      </c>
      <c r="B69" s="85" t="s">
        <v>65</v>
      </c>
      <c r="C69" s="73" t="s">
        <v>160</v>
      </c>
      <c r="D69" s="74" t="s">
        <v>108</v>
      </c>
      <c r="E69" s="86" t="s">
        <v>198</v>
      </c>
      <c r="F69" s="34">
        <v>30</v>
      </c>
      <c r="G69" s="34">
        <v>32</v>
      </c>
      <c r="H69" s="34">
        <f>63.8/24</f>
        <v>2.6583333333333332</v>
      </c>
      <c r="I69" s="131">
        <v>1650</v>
      </c>
      <c r="J69" s="135">
        <v>400</v>
      </c>
      <c r="K69" s="136">
        <v>1350</v>
      </c>
      <c r="L69" s="134" t="s">
        <v>107</v>
      </c>
      <c r="M69" s="136" t="s">
        <v>107</v>
      </c>
      <c r="N69" s="134">
        <f t="shared" si="14"/>
        <v>2050</v>
      </c>
      <c r="O69" s="4">
        <f t="shared" si="15"/>
        <v>3000</v>
      </c>
      <c r="P69" s="39"/>
      <c r="Q69" s="39"/>
      <c r="R69" s="39"/>
      <c r="S69" s="39"/>
      <c r="T69" s="39"/>
      <c r="U69" s="39"/>
      <c r="V69" s="39"/>
      <c r="W69" s="39"/>
      <c r="X69" s="39"/>
      <c r="Y69" s="39"/>
      <c r="Z69" s="39"/>
    </row>
    <row r="70" spans="1:26" s="3" customFormat="1" ht="27" customHeight="1" x14ac:dyDescent="0.25">
      <c r="A70" s="148">
        <f t="shared" ref="A70:A134" si="17">A69+1</f>
        <v>67</v>
      </c>
      <c r="B70" s="85" t="s">
        <v>65</v>
      </c>
      <c r="C70" s="73" t="s">
        <v>160</v>
      </c>
      <c r="D70" s="74" t="s">
        <v>157</v>
      </c>
      <c r="E70" s="86" t="s">
        <v>199</v>
      </c>
      <c r="F70" s="34">
        <v>58</v>
      </c>
      <c r="G70" s="34">
        <v>44</v>
      </c>
      <c r="H70" s="34">
        <f>(113+37/60)/24</f>
        <v>4.7340277777777775</v>
      </c>
      <c r="I70" s="131">
        <v>1410</v>
      </c>
      <c r="J70" s="135">
        <v>400</v>
      </c>
      <c r="K70" s="136">
        <v>1350</v>
      </c>
      <c r="L70" s="134" t="s">
        <v>107</v>
      </c>
      <c r="M70" s="136" t="s">
        <v>107</v>
      </c>
      <c r="N70" s="134">
        <f t="shared" si="14"/>
        <v>1810</v>
      </c>
      <c r="O70" s="4">
        <f t="shared" si="15"/>
        <v>2760</v>
      </c>
      <c r="P70" s="39"/>
      <c r="Q70" s="39"/>
      <c r="R70" s="39"/>
      <c r="S70" s="39"/>
      <c r="T70" s="39"/>
      <c r="U70" s="39"/>
      <c r="V70" s="39"/>
      <c r="W70" s="39"/>
      <c r="X70" s="39"/>
      <c r="Y70" s="39"/>
      <c r="Z70" s="39"/>
    </row>
    <row r="71" spans="1:26" s="3" customFormat="1" ht="27" customHeight="1" x14ac:dyDescent="0.25">
      <c r="A71" s="148">
        <f t="shared" si="17"/>
        <v>68</v>
      </c>
      <c r="B71" s="85" t="s">
        <v>65</v>
      </c>
      <c r="C71" s="73" t="s">
        <v>160</v>
      </c>
      <c r="D71" s="74" t="s">
        <v>172</v>
      </c>
      <c r="E71" s="74" t="s">
        <v>200</v>
      </c>
      <c r="F71" s="34">
        <v>52.5</v>
      </c>
      <c r="G71" s="34">
        <v>5.0999999999999996</v>
      </c>
      <c r="H71" s="34">
        <v>1.1822660098522166</v>
      </c>
      <c r="I71" s="131">
        <v>1360.2272727272727</v>
      </c>
      <c r="J71" s="135">
        <v>400</v>
      </c>
      <c r="K71" s="136">
        <v>1350</v>
      </c>
      <c r="L71" s="134" t="s">
        <v>107</v>
      </c>
      <c r="M71" s="136" t="s">
        <v>107</v>
      </c>
      <c r="N71" s="134">
        <f>I71+J71</f>
        <v>1760.2272727272727</v>
      </c>
      <c r="O71" s="4">
        <f>I71+K71</f>
        <v>2710.227272727273</v>
      </c>
      <c r="P71" s="39"/>
      <c r="Q71" s="39"/>
      <c r="R71" s="39"/>
      <c r="S71" s="39"/>
      <c r="T71" s="39"/>
      <c r="U71" s="39"/>
      <c r="V71" s="39"/>
      <c r="W71" s="39"/>
      <c r="X71" s="39"/>
      <c r="Y71" s="39"/>
      <c r="Z71" s="39"/>
    </row>
    <row r="72" spans="1:26" s="3" customFormat="1" ht="27" customHeight="1" x14ac:dyDescent="0.25">
      <c r="A72" s="148">
        <f t="shared" si="17"/>
        <v>69</v>
      </c>
      <c r="B72" s="85" t="s">
        <v>65</v>
      </c>
      <c r="C72" s="73" t="s">
        <v>171</v>
      </c>
      <c r="D72" s="74" t="s">
        <v>161</v>
      </c>
      <c r="E72" s="86" t="s">
        <v>201</v>
      </c>
      <c r="F72" s="34">
        <v>60</v>
      </c>
      <c r="G72" s="34">
        <v>42</v>
      </c>
      <c r="H72" s="34">
        <f>39.4/24</f>
        <v>1.6416666666666666</v>
      </c>
      <c r="I72" s="131">
        <v>3710.2272727272725</v>
      </c>
      <c r="J72" s="135">
        <v>400</v>
      </c>
      <c r="K72" s="136">
        <v>1350</v>
      </c>
      <c r="L72" s="134" t="s">
        <v>107</v>
      </c>
      <c r="M72" s="136" t="s">
        <v>107</v>
      </c>
      <c r="N72" s="134">
        <f t="shared" si="14"/>
        <v>4110.2272727272721</v>
      </c>
      <c r="O72" s="4">
        <f t="shared" si="15"/>
        <v>5060.2272727272721</v>
      </c>
      <c r="P72" s="39"/>
      <c r="Q72" s="39"/>
      <c r="R72" s="39"/>
      <c r="S72" s="39"/>
      <c r="T72" s="39"/>
      <c r="U72" s="39"/>
      <c r="V72" s="39"/>
      <c r="W72" s="39"/>
      <c r="X72" s="39"/>
      <c r="Y72" s="39"/>
      <c r="Z72" s="39"/>
    </row>
    <row r="73" spans="1:26" s="3" customFormat="1" ht="27" customHeight="1" x14ac:dyDescent="0.25">
      <c r="A73" s="148">
        <f t="shared" si="17"/>
        <v>70</v>
      </c>
      <c r="B73" s="15" t="s">
        <v>66</v>
      </c>
      <c r="C73" s="73" t="s">
        <v>180</v>
      </c>
      <c r="D73" s="74" t="s">
        <v>166</v>
      </c>
      <c r="E73" s="86" t="s">
        <v>202</v>
      </c>
      <c r="F73" s="34" t="s">
        <v>106</v>
      </c>
      <c r="G73" s="34">
        <v>96</v>
      </c>
      <c r="H73" s="34">
        <v>0.28055555555555556</v>
      </c>
      <c r="I73" s="131">
        <v>450</v>
      </c>
      <c r="J73" s="135">
        <v>400</v>
      </c>
      <c r="K73" s="136">
        <v>1350</v>
      </c>
      <c r="L73" s="134" t="s">
        <v>107</v>
      </c>
      <c r="M73" s="136" t="s">
        <v>107</v>
      </c>
      <c r="N73" s="134">
        <f t="shared" si="14"/>
        <v>850</v>
      </c>
      <c r="O73" s="4">
        <f t="shared" si="15"/>
        <v>1800</v>
      </c>
      <c r="P73" s="39"/>
      <c r="Q73" s="39"/>
      <c r="R73" s="39"/>
      <c r="S73" s="39"/>
      <c r="T73" s="39"/>
      <c r="U73" s="39"/>
      <c r="V73" s="39"/>
      <c r="W73" s="39"/>
      <c r="X73" s="39"/>
      <c r="Y73" s="39"/>
      <c r="Z73" s="39"/>
    </row>
    <row r="74" spans="1:26" s="3" customFormat="1" ht="27" customHeight="1" x14ac:dyDescent="0.25">
      <c r="A74" s="148">
        <f t="shared" si="17"/>
        <v>71</v>
      </c>
      <c r="B74" s="15" t="s">
        <v>66</v>
      </c>
      <c r="C74" s="73" t="s">
        <v>180</v>
      </c>
      <c r="D74" s="74" t="s">
        <v>172</v>
      </c>
      <c r="E74" s="86" t="s">
        <v>203</v>
      </c>
      <c r="F74" s="34" t="s">
        <v>106</v>
      </c>
      <c r="G74" s="34">
        <v>105</v>
      </c>
      <c r="H74" s="34">
        <v>0.11666666666666665</v>
      </c>
      <c r="I74" s="131">
        <v>553.40909090909088</v>
      </c>
      <c r="J74" s="135">
        <v>400</v>
      </c>
      <c r="K74" s="136">
        <v>1350</v>
      </c>
      <c r="L74" s="134" t="s">
        <v>107</v>
      </c>
      <c r="M74" s="136" t="s">
        <v>107</v>
      </c>
      <c r="N74" s="134">
        <f t="shared" si="14"/>
        <v>953.40909090909088</v>
      </c>
      <c r="O74" s="4">
        <f t="shared" si="15"/>
        <v>1903.409090909091</v>
      </c>
      <c r="P74" s="39"/>
      <c r="Q74" s="39"/>
      <c r="R74" s="39"/>
      <c r="S74" s="39"/>
      <c r="T74" s="39"/>
      <c r="U74" s="39"/>
      <c r="V74" s="39"/>
      <c r="W74" s="39"/>
      <c r="X74" s="39"/>
      <c r="Y74" s="39"/>
      <c r="Z74" s="39"/>
    </row>
    <row r="75" spans="1:26" s="3" customFormat="1" ht="27" customHeight="1" x14ac:dyDescent="0.25">
      <c r="A75" s="148">
        <f t="shared" si="17"/>
        <v>72</v>
      </c>
      <c r="B75" s="15" t="s">
        <v>66</v>
      </c>
      <c r="C75" s="73" t="s">
        <v>186</v>
      </c>
      <c r="D75" s="74" t="s">
        <v>108</v>
      </c>
      <c r="E75" s="86" t="s">
        <v>204</v>
      </c>
      <c r="F75" s="34" t="s">
        <v>106</v>
      </c>
      <c r="G75" s="34">
        <v>121</v>
      </c>
      <c r="H75" s="34">
        <v>0.10416666666666667</v>
      </c>
      <c r="I75" s="131">
        <v>533</v>
      </c>
      <c r="J75" s="135">
        <v>400</v>
      </c>
      <c r="K75" s="136">
        <v>1350</v>
      </c>
      <c r="L75" s="134" t="s">
        <v>107</v>
      </c>
      <c r="M75" s="136" t="s">
        <v>107</v>
      </c>
      <c r="N75" s="134">
        <f t="shared" si="14"/>
        <v>933</v>
      </c>
      <c r="O75" s="4">
        <f t="shared" si="15"/>
        <v>1883</v>
      </c>
      <c r="P75" s="39"/>
      <c r="Q75" s="39"/>
      <c r="R75" s="39"/>
      <c r="S75" s="39"/>
      <c r="T75" s="39"/>
      <c r="U75" s="39"/>
      <c r="V75" s="39"/>
      <c r="W75" s="39"/>
      <c r="X75" s="39"/>
      <c r="Y75" s="39"/>
      <c r="Z75" s="39"/>
    </row>
    <row r="76" spans="1:26" s="3" customFormat="1" ht="27" customHeight="1" x14ac:dyDescent="0.25">
      <c r="A76" s="148">
        <f t="shared" si="17"/>
        <v>73</v>
      </c>
      <c r="B76" s="15" t="s">
        <v>66</v>
      </c>
      <c r="C76" s="73" t="s">
        <v>186</v>
      </c>
      <c r="D76" s="74" t="s">
        <v>172</v>
      </c>
      <c r="E76" s="86" t="s">
        <v>205</v>
      </c>
      <c r="F76" s="34" t="s">
        <v>106</v>
      </c>
      <c r="G76" s="34">
        <v>171</v>
      </c>
      <c r="H76" s="34">
        <v>0.12083333333333333</v>
      </c>
      <c r="I76" s="131">
        <v>632.9545454545455</v>
      </c>
      <c r="J76" s="135">
        <v>400</v>
      </c>
      <c r="K76" s="136">
        <v>1350</v>
      </c>
      <c r="L76" s="134" t="s">
        <v>107</v>
      </c>
      <c r="M76" s="136" t="s">
        <v>107</v>
      </c>
      <c r="N76" s="134">
        <f t="shared" si="14"/>
        <v>1032.9545454545455</v>
      </c>
      <c r="O76" s="4">
        <f t="shared" si="15"/>
        <v>1982.9545454545455</v>
      </c>
      <c r="P76" s="39"/>
      <c r="Q76" s="39"/>
      <c r="R76" s="39"/>
      <c r="S76" s="39"/>
      <c r="T76" s="39"/>
      <c r="U76" s="39"/>
      <c r="V76" s="39"/>
      <c r="W76" s="39"/>
      <c r="X76" s="39"/>
      <c r="Y76" s="39"/>
      <c r="Z76" s="39"/>
    </row>
    <row r="77" spans="1:26" s="3" customFormat="1" ht="27" customHeight="1" x14ac:dyDescent="0.25">
      <c r="A77" s="148">
        <f t="shared" si="17"/>
        <v>74</v>
      </c>
      <c r="B77" s="15" t="s">
        <v>66</v>
      </c>
      <c r="C77" s="73" t="s">
        <v>186</v>
      </c>
      <c r="D77" s="74" t="s">
        <v>161</v>
      </c>
      <c r="E77" s="86" t="s">
        <v>206</v>
      </c>
      <c r="F77" s="34" t="s">
        <v>106</v>
      </c>
      <c r="G77" s="34">
        <v>204</v>
      </c>
      <c r="H77" s="34">
        <v>2.2152777777777777</v>
      </c>
      <c r="I77" s="131">
        <v>3381.818181818182</v>
      </c>
      <c r="J77" s="135">
        <v>400</v>
      </c>
      <c r="K77" s="136">
        <v>1350</v>
      </c>
      <c r="L77" s="134" t="s">
        <v>107</v>
      </c>
      <c r="M77" s="136" t="s">
        <v>107</v>
      </c>
      <c r="N77" s="134">
        <f t="shared" ref="N77:N109" si="18">I77+J77</f>
        <v>3781.818181818182</v>
      </c>
      <c r="O77" s="4">
        <f t="shared" ref="O77:O109" si="19">I77+K77</f>
        <v>4731.818181818182</v>
      </c>
      <c r="P77" s="39"/>
      <c r="Q77" s="39"/>
      <c r="R77" s="39"/>
      <c r="S77" s="39"/>
      <c r="T77" s="39"/>
      <c r="U77" s="39"/>
      <c r="V77" s="39"/>
      <c r="W77" s="39"/>
      <c r="X77" s="39"/>
      <c r="Y77" s="39"/>
      <c r="Z77" s="39"/>
    </row>
    <row r="78" spans="1:26" s="3" customFormat="1" ht="27" customHeight="1" x14ac:dyDescent="0.25">
      <c r="A78" s="148">
        <f t="shared" si="17"/>
        <v>75</v>
      </c>
      <c r="B78" s="15" t="s">
        <v>66</v>
      </c>
      <c r="C78" s="73" t="s">
        <v>186</v>
      </c>
      <c r="D78" s="74" t="s">
        <v>166</v>
      </c>
      <c r="E78" s="86" t="s">
        <v>207</v>
      </c>
      <c r="F78" s="34" t="s">
        <v>106</v>
      </c>
      <c r="G78" s="34">
        <v>240</v>
      </c>
      <c r="H78" s="34">
        <v>2.4416666666666669</v>
      </c>
      <c r="I78" s="131">
        <v>540</v>
      </c>
      <c r="J78" s="135">
        <v>400</v>
      </c>
      <c r="K78" s="136">
        <v>1350</v>
      </c>
      <c r="L78" s="134" t="s">
        <v>107</v>
      </c>
      <c r="M78" s="136" t="s">
        <v>107</v>
      </c>
      <c r="N78" s="134">
        <f t="shared" si="18"/>
        <v>940</v>
      </c>
      <c r="O78" s="4">
        <f t="shared" si="19"/>
        <v>1890</v>
      </c>
      <c r="P78" s="39"/>
      <c r="Q78" s="39"/>
      <c r="R78" s="39"/>
      <c r="S78" s="39"/>
      <c r="T78" s="39"/>
      <c r="U78" s="39"/>
      <c r="V78" s="39"/>
      <c r="W78" s="39"/>
      <c r="X78" s="39"/>
      <c r="Y78" s="39"/>
      <c r="Z78" s="39"/>
    </row>
    <row r="79" spans="1:26" s="3" customFormat="1" ht="27" customHeight="1" x14ac:dyDescent="0.25">
      <c r="A79" s="148">
        <f t="shared" si="17"/>
        <v>76</v>
      </c>
      <c r="B79" s="15" t="s">
        <v>66</v>
      </c>
      <c r="C79" s="73" t="s">
        <v>186</v>
      </c>
      <c r="D79" s="74" t="s">
        <v>172</v>
      </c>
      <c r="E79" s="86" t="s">
        <v>208</v>
      </c>
      <c r="F79" s="34" t="s">
        <v>106</v>
      </c>
      <c r="G79" s="34">
        <v>281</v>
      </c>
      <c r="H79" s="34">
        <v>0.16666666666666666</v>
      </c>
      <c r="I79" s="131">
        <v>729.5454545454545</v>
      </c>
      <c r="J79" s="135">
        <v>400</v>
      </c>
      <c r="K79" s="136">
        <v>1350</v>
      </c>
      <c r="L79" s="134" t="s">
        <v>107</v>
      </c>
      <c r="M79" s="136" t="s">
        <v>107</v>
      </c>
      <c r="N79" s="134">
        <f t="shared" si="18"/>
        <v>1129.5454545454545</v>
      </c>
      <c r="O79" s="4">
        <f t="shared" si="19"/>
        <v>2079.5454545454545</v>
      </c>
      <c r="P79" s="39"/>
      <c r="Q79" s="39"/>
      <c r="R79" s="39"/>
      <c r="S79" s="39"/>
      <c r="T79" s="39"/>
      <c r="U79" s="39"/>
      <c r="V79" s="39"/>
      <c r="W79" s="39"/>
      <c r="X79" s="39"/>
      <c r="Y79" s="39"/>
      <c r="Z79" s="39"/>
    </row>
    <row r="80" spans="1:26" s="3" customFormat="1" ht="27" customHeight="1" x14ac:dyDescent="0.25">
      <c r="A80" s="148">
        <f t="shared" si="17"/>
        <v>77</v>
      </c>
      <c r="B80" s="15" t="s">
        <v>66</v>
      </c>
      <c r="C80" s="73" t="s">
        <v>186</v>
      </c>
      <c r="D80" s="74" t="s">
        <v>108</v>
      </c>
      <c r="E80" s="86" t="s">
        <v>209</v>
      </c>
      <c r="F80" s="34" t="s">
        <v>106</v>
      </c>
      <c r="G80" s="34">
        <v>298</v>
      </c>
      <c r="H80" s="34">
        <v>0.17083333333333331</v>
      </c>
      <c r="I80" s="131">
        <v>628</v>
      </c>
      <c r="J80" s="135">
        <v>400</v>
      </c>
      <c r="K80" s="136">
        <v>1350</v>
      </c>
      <c r="L80" s="134" t="s">
        <v>107</v>
      </c>
      <c r="M80" s="136" t="s">
        <v>107</v>
      </c>
      <c r="N80" s="134">
        <f t="shared" si="18"/>
        <v>1028</v>
      </c>
      <c r="O80" s="4">
        <f t="shared" si="19"/>
        <v>1978</v>
      </c>
      <c r="P80" s="39"/>
      <c r="Q80" s="39"/>
      <c r="R80" s="39"/>
      <c r="S80" s="39"/>
      <c r="T80" s="39"/>
      <c r="U80" s="39"/>
      <c r="V80" s="39"/>
      <c r="W80" s="39"/>
      <c r="X80" s="39"/>
      <c r="Y80" s="39"/>
      <c r="Z80" s="39"/>
    </row>
    <row r="81" spans="1:26" s="3" customFormat="1" ht="27" customHeight="1" x14ac:dyDescent="0.25">
      <c r="A81" s="148">
        <f t="shared" si="17"/>
        <v>78</v>
      </c>
      <c r="B81" s="16" t="s">
        <v>67</v>
      </c>
      <c r="C81" s="73" t="s">
        <v>153</v>
      </c>
      <c r="D81" s="74" t="s">
        <v>210</v>
      </c>
      <c r="E81" s="86" t="s">
        <v>211</v>
      </c>
      <c r="F81" s="34">
        <v>15</v>
      </c>
      <c r="G81" s="34" t="s">
        <v>106</v>
      </c>
      <c r="H81" s="34">
        <v>4.2212500000000004</v>
      </c>
      <c r="I81" s="131">
        <v>2420</v>
      </c>
      <c r="J81" s="135">
        <v>650</v>
      </c>
      <c r="K81" s="136">
        <v>2150</v>
      </c>
      <c r="L81" s="134">
        <v>1250</v>
      </c>
      <c r="M81" s="136">
        <v>4000</v>
      </c>
      <c r="N81" s="134">
        <f t="shared" si="18"/>
        <v>3070</v>
      </c>
      <c r="O81" s="4">
        <f t="shared" si="19"/>
        <v>4570</v>
      </c>
      <c r="P81" s="39"/>
      <c r="Q81" s="39"/>
      <c r="R81" s="39"/>
      <c r="S81" s="39"/>
      <c r="T81" s="39"/>
      <c r="U81" s="39"/>
      <c r="V81" s="39"/>
      <c r="W81" s="39"/>
      <c r="X81" s="39"/>
      <c r="Y81" s="39"/>
      <c r="Z81" s="39"/>
    </row>
    <row r="82" spans="1:26" s="3" customFormat="1" ht="27" customHeight="1" x14ac:dyDescent="0.25">
      <c r="A82" s="148">
        <f t="shared" si="17"/>
        <v>79</v>
      </c>
      <c r="B82" s="16" t="s">
        <v>67</v>
      </c>
      <c r="C82" s="73" t="s">
        <v>153</v>
      </c>
      <c r="D82" s="74" t="s">
        <v>161</v>
      </c>
      <c r="E82" s="86" t="s">
        <v>212</v>
      </c>
      <c r="F82" s="34">
        <v>16</v>
      </c>
      <c r="G82" s="34" t="s">
        <v>106</v>
      </c>
      <c r="H82" s="34">
        <v>3.4083333333333332</v>
      </c>
      <c r="I82" s="131">
        <v>4905.681818181818</v>
      </c>
      <c r="J82" s="135">
        <v>650</v>
      </c>
      <c r="K82" s="136">
        <v>2150</v>
      </c>
      <c r="L82" s="134">
        <v>1250</v>
      </c>
      <c r="M82" s="136">
        <v>4000</v>
      </c>
      <c r="N82" s="134">
        <f t="shared" si="18"/>
        <v>5555.681818181818</v>
      </c>
      <c r="O82" s="4">
        <f t="shared" si="19"/>
        <v>7055.681818181818</v>
      </c>
      <c r="P82" s="39"/>
      <c r="Q82" s="39"/>
      <c r="R82" s="39"/>
      <c r="S82" s="39"/>
      <c r="T82" s="39"/>
      <c r="U82" s="39"/>
      <c r="V82" s="39"/>
      <c r="W82" s="39"/>
      <c r="X82" s="39"/>
      <c r="Y82" s="39"/>
      <c r="Z82" s="39"/>
    </row>
    <row r="83" spans="1:26" s="3" customFormat="1" ht="27" customHeight="1" x14ac:dyDescent="0.25">
      <c r="A83" s="148">
        <f t="shared" si="17"/>
        <v>80</v>
      </c>
      <c r="B83" s="16" t="s">
        <v>67</v>
      </c>
      <c r="C83" s="73" t="s">
        <v>153</v>
      </c>
      <c r="D83" s="74" t="s">
        <v>161</v>
      </c>
      <c r="E83" s="86" t="s">
        <v>213</v>
      </c>
      <c r="F83" s="34">
        <v>16</v>
      </c>
      <c r="G83" s="34" t="s">
        <v>106</v>
      </c>
      <c r="H83" s="34">
        <v>19.916666666666668</v>
      </c>
      <c r="I83" s="131">
        <v>5946.590909090909</v>
      </c>
      <c r="J83" s="135">
        <v>650</v>
      </c>
      <c r="K83" s="136">
        <v>2150</v>
      </c>
      <c r="L83" s="134">
        <v>1250</v>
      </c>
      <c r="M83" s="136">
        <v>4000</v>
      </c>
      <c r="N83" s="134">
        <f t="shared" si="18"/>
        <v>6596.590909090909</v>
      </c>
      <c r="O83" s="4">
        <f t="shared" si="19"/>
        <v>8096.590909090909</v>
      </c>
      <c r="P83" s="39"/>
      <c r="Q83" s="39"/>
      <c r="R83" s="39"/>
      <c r="S83" s="39"/>
      <c r="T83" s="39"/>
      <c r="U83" s="39"/>
      <c r="V83" s="39"/>
      <c r="W83" s="39"/>
      <c r="X83" s="39"/>
      <c r="Y83" s="39"/>
      <c r="Z83" s="39"/>
    </row>
    <row r="84" spans="1:26" s="3" customFormat="1" ht="27" customHeight="1" x14ac:dyDescent="0.25">
      <c r="A84" s="148">
        <f t="shared" si="17"/>
        <v>81</v>
      </c>
      <c r="B84" s="16" t="s">
        <v>67</v>
      </c>
      <c r="C84" s="73" t="s">
        <v>153</v>
      </c>
      <c r="D84" s="74" t="s">
        <v>108</v>
      </c>
      <c r="E84" s="86" t="s">
        <v>214</v>
      </c>
      <c r="F84" s="34">
        <v>22.5</v>
      </c>
      <c r="G84" s="34" t="s">
        <v>106</v>
      </c>
      <c r="H84" s="34">
        <v>4.875</v>
      </c>
      <c r="I84" s="131">
        <v>2400</v>
      </c>
      <c r="J84" s="135">
        <v>650</v>
      </c>
      <c r="K84" s="136">
        <v>2150</v>
      </c>
      <c r="L84" s="134">
        <v>1250</v>
      </c>
      <c r="M84" s="136">
        <v>4000</v>
      </c>
      <c r="N84" s="134">
        <f t="shared" si="18"/>
        <v>3050</v>
      </c>
      <c r="O84" s="4">
        <f t="shared" si="19"/>
        <v>4550</v>
      </c>
      <c r="P84" s="39"/>
      <c r="Q84" s="39"/>
      <c r="R84" s="39"/>
      <c r="S84" s="39"/>
      <c r="T84" s="39"/>
      <c r="U84" s="39"/>
      <c r="V84" s="39"/>
      <c r="W84" s="39"/>
      <c r="X84" s="39"/>
      <c r="Y84" s="39"/>
      <c r="Z84" s="39"/>
    </row>
    <row r="85" spans="1:26" s="3" customFormat="1" ht="27" customHeight="1" x14ac:dyDescent="0.25">
      <c r="A85" s="148">
        <f t="shared" si="17"/>
        <v>82</v>
      </c>
      <c r="B85" s="16" t="s">
        <v>67</v>
      </c>
      <c r="C85" s="73" t="s">
        <v>153</v>
      </c>
      <c r="D85" s="74" t="s">
        <v>192</v>
      </c>
      <c r="E85" s="86" t="s">
        <v>215</v>
      </c>
      <c r="F85" s="34">
        <v>25.5</v>
      </c>
      <c r="G85" s="34" t="s">
        <v>106</v>
      </c>
      <c r="H85" s="34">
        <v>3.0062500000000001</v>
      </c>
      <c r="I85" s="131">
        <v>2897.7272727272725</v>
      </c>
      <c r="J85" s="135">
        <v>650</v>
      </c>
      <c r="K85" s="136">
        <v>2150</v>
      </c>
      <c r="L85" s="134">
        <v>1250</v>
      </c>
      <c r="M85" s="136">
        <v>4000</v>
      </c>
      <c r="N85" s="134">
        <f t="shared" si="18"/>
        <v>3547.7272727272725</v>
      </c>
      <c r="O85" s="4">
        <f t="shared" si="19"/>
        <v>5047.7272727272721</v>
      </c>
      <c r="P85" s="39"/>
      <c r="Q85" s="39"/>
      <c r="R85" s="39"/>
      <c r="S85" s="39"/>
      <c r="T85" s="39"/>
      <c r="U85" s="39"/>
      <c r="V85" s="39"/>
      <c r="W85" s="39"/>
      <c r="X85" s="39"/>
      <c r="Y85" s="39"/>
      <c r="Z85" s="39"/>
    </row>
    <row r="86" spans="1:26" s="3" customFormat="1" ht="27" customHeight="1" x14ac:dyDescent="0.25">
      <c r="A86" s="148">
        <f t="shared" si="17"/>
        <v>83</v>
      </c>
      <c r="B86" s="16" t="s">
        <v>67</v>
      </c>
      <c r="C86" s="73" t="s">
        <v>153</v>
      </c>
      <c r="D86" s="74" t="s">
        <v>172</v>
      </c>
      <c r="E86" s="86" t="s">
        <v>216</v>
      </c>
      <c r="F86" s="34">
        <v>25.5</v>
      </c>
      <c r="G86" s="34" t="s">
        <v>106</v>
      </c>
      <c r="H86" s="34">
        <v>3.4041666666666668</v>
      </c>
      <c r="I86" s="131">
        <v>3034.090909090909</v>
      </c>
      <c r="J86" s="135">
        <v>650</v>
      </c>
      <c r="K86" s="136">
        <v>2150</v>
      </c>
      <c r="L86" s="134">
        <v>1250</v>
      </c>
      <c r="M86" s="136">
        <v>4000</v>
      </c>
      <c r="N86" s="134">
        <f t="shared" si="18"/>
        <v>3684.090909090909</v>
      </c>
      <c r="O86" s="4">
        <f t="shared" si="19"/>
        <v>5184.090909090909</v>
      </c>
      <c r="P86" s="39"/>
      <c r="Q86" s="39"/>
      <c r="R86" s="39"/>
      <c r="S86" s="39"/>
      <c r="T86" s="39"/>
      <c r="U86" s="39"/>
      <c r="V86" s="39"/>
      <c r="W86" s="39"/>
      <c r="X86" s="39"/>
      <c r="Y86" s="39"/>
      <c r="Z86" s="39"/>
    </row>
    <row r="87" spans="1:26" s="3" customFormat="1" ht="27" customHeight="1" x14ac:dyDescent="0.25">
      <c r="A87" s="148">
        <f t="shared" si="17"/>
        <v>84</v>
      </c>
      <c r="B87" s="16" t="s">
        <v>67</v>
      </c>
      <c r="C87" s="73" t="s">
        <v>153</v>
      </c>
      <c r="D87" s="74" t="s">
        <v>154</v>
      </c>
      <c r="E87" s="86" t="s">
        <v>217</v>
      </c>
      <c r="F87" s="34">
        <v>27</v>
      </c>
      <c r="G87" s="34" t="s">
        <v>106</v>
      </c>
      <c r="H87" s="34">
        <v>3.2118055555555554</v>
      </c>
      <c r="I87" s="131">
        <v>2920</v>
      </c>
      <c r="J87" s="135">
        <v>650</v>
      </c>
      <c r="K87" s="136">
        <v>2150</v>
      </c>
      <c r="L87" s="134">
        <v>1250</v>
      </c>
      <c r="M87" s="136">
        <v>4000</v>
      </c>
      <c r="N87" s="134">
        <f t="shared" ref="N87" si="20">I87+J87</f>
        <v>3570</v>
      </c>
      <c r="O87" s="4">
        <f t="shared" ref="O87" si="21">I87+K87</f>
        <v>5070</v>
      </c>
      <c r="P87" s="39"/>
      <c r="Q87" s="39"/>
      <c r="R87" s="39"/>
      <c r="S87" s="39"/>
      <c r="T87" s="39"/>
      <c r="U87" s="39"/>
      <c r="V87" s="39"/>
      <c r="W87" s="39"/>
      <c r="X87" s="39"/>
      <c r="Y87" s="39"/>
      <c r="Z87" s="39"/>
    </row>
    <row r="88" spans="1:26" s="3" customFormat="1" ht="27" customHeight="1" x14ac:dyDescent="0.25">
      <c r="A88" s="148">
        <f t="shared" si="17"/>
        <v>85</v>
      </c>
      <c r="B88" s="16" t="s">
        <v>67</v>
      </c>
      <c r="C88" s="73" t="s">
        <v>153</v>
      </c>
      <c r="D88" s="74" t="s">
        <v>157</v>
      </c>
      <c r="E88" s="74" t="s">
        <v>449</v>
      </c>
      <c r="F88" s="34">
        <v>27.5</v>
      </c>
      <c r="G88" s="34" t="s">
        <v>106</v>
      </c>
      <c r="H88" s="34">
        <v>3.9791666666666665</v>
      </c>
      <c r="I88" s="131">
        <v>2562</v>
      </c>
      <c r="J88" s="135">
        <v>650</v>
      </c>
      <c r="K88" s="136">
        <v>2150</v>
      </c>
      <c r="L88" s="134">
        <v>1250</v>
      </c>
      <c r="M88" s="136">
        <v>4000</v>
      </c>
      <c r="N88" s="134">
        <f t="shared" si="18"/>
        <v>3212</v>
      </c>
      <c r="O88" s="4">
        <f t="shared" si="19"/>
        <v>4712</v>
      </c>
      <c r="P88" s="39"/>
      <c r="Q88" s="39"/>
      <c r="R88" s="39"/>
      <c r="S88" s="39"/>
      <c r="T88" s="39"/>
      <c r="U88" s="39"/>
      <c r="V88" s="39"/>
      <c r="W88" s="39"/>
      <c r="X88" s="39"/>
      <c r="Y88" s="39"/>
      <c r="Z88" s="39"/>
    </row>
    <row r="89" spans="1:26" s="3" customFormat="1" ht="27" customHeight="1" x14ac:dyDescent="0.25">
      <c r="A89" s="148">
        <f t="shared" si="17"/>
        <v>86</v>
      </c>
      <c r="B89" s="16" t="s">
        <v>67</v>
      </c>
      <c r="C89" s="73" t="s">
        <v>160</v>
      </c>
      <c r="D89" s="74" t="s">
        <v>161</v>
      </c>
      <c r="E89" s="86" t="s">
        <v>218</v>
      </c>
      <c r="F89" s="34">
        <v>36</v>
      </c>
      <c r="G89" s="34" t="s">
        <v>106</v>
      </c>
      <c r="H89" s="34">
        <f>(81+54/60)/24</f>
        <v>3.4125000000000001</v>
      </c>
      <c r="I89" s="131">
        <v>5806.818181818182</v>
      </c>
      <c r="J89" s="135">
        <v>650</v>
      </c>
      <c r="K89" s="136">
        <v>2150</v>
      </c>
      <c r="L89" s="134">
        <v>1250</v>
      </c>
      <c r="M89" s="136">
        <v>4000</v>
      </c>
      <c r="N89" s="134">
        <f t="shared" si="18"/>
        <v>6456.818181818182</v>
      </c>
      <c r="O89" s="4">
        <f t="shared" si="19"/>
        <v>7956.818181818182</v>
      </c>
      <c r="P89" s="39"/>
      <c r="Q89" s="39"/>
      <c r="R89" s="39"/>
      <c r="S89" s="39"/>
      <c r="T89" s="39"/>
      <c r="U89" s="39"/>
      <c r="V89" s="39"/>
      <c r="W89" s="39"/>
      <c r="X89" s="39"/>
      <c r="Y89" s="39"/>
      <c r="Z89" s="39"/>
    </row>
    <row r="90" spans="1:26" s="3" customFormat="1" ht="27" customHeight="1" x14ac:dyDescent="0.25">
      <c r="A90" s="148">
        <f t="shared" si="17"/>
        <v>87</v>
      </c>
      <c r="B90" s="16" t="s">
        <v>67</v>
      </c>
      <c r="C90" s="73" t="s">
        <v>160</v>
      </c>
      <c r="D90" s="74" t="s">
        <v>157</v>
      </c>
      <c r="E90" s="86" t="s">
        <v>219</v>
      </c>
      <c r="F90" s="34">
        <v>46.5</v>
      </c>
      <c r="G90" s="34" t="s">
        <v>106</v>
      </c>
      <c r="H90" s="34">
        <v>5.6166666666666671</v>
      </c>
      <c r="I90" s="131">
        <v>3450</v>
      </c>
      <c r="J90" s="135">
        <v>650</v>
      </c>
      <c r="K90" s="136">
        <v>2150</v>
      </c>
      <c r="L90" s="134">
        <v>1250</v>
      </c>
      <c r="M90" s="136">
        <v>4000</v>
      </c>
      <c r="N90" s="134">
        <f t="shared" si="18"/>
        <v>4100</v>
      </c>
      <c r="O90" s="4">
        <f t="shared" si="19"/>
        <v>5600</v>
      </c>
      <c r="P90" s="39"/>
      <c r="Q90" s="39"/>
      <c r="R90" s="39"/>
      <c r="S90" s="39"/>
      <c r="T90" s="39"/>
      <c r="U90" s="39"/>
      <c r="V90" s="39"/>
      <c r="W90" s="39"/>
      <c r="X90" s="39"/>
      <c r="Y90" s="39"/>
      <c r="Z90" s="39"/>
    </row>
    <row r="91" spans="1:26" s="3" customFormat="1" ht="27" customHeight="1" x14ac:dyDescent="0.25">
      <c r="A91" s="148">
        <f t="shared" si="17"/>
        <v>88</v>
      </c>
      <c r="B91" s="16" t="s">
        <v>67</v>
      </c>
      <c r="C91" s="73" t="s">
        <v>160</v>
      </c>
      <c r="D91" s="74" t="s">
        <v>166</v>
      </c>
      <c r="E91" s="86" t="s">
        <v>220</v>
      </c>
      <c r="F91" s="34">
        <v>50</v>
      </c>
      <c r="G91" s="34" t="s">
        <v>106</v>
      </c>
      <c r="H91" s="34">
        <f>120/24</f>
        <v>5</v>
      </c>
      <c r="I91" s="131">
        <v>2600</v>
      </c>
      <c r="J91" s="135">
        <v>650</v>
      </c>
      <c r="K91" s="136">
        <v>2150</v>
      </c>
      <c r="L91" s="134">
        <v>1250</v>
      </c>
      <c r="M91" s="136">
        <v>4000</v>
      </c>
      <c r="N91" s="134">
        <f t="shared" si="18"/>
        <v>3250</v>
      </c>
      <c r="O91" s="4">
        <f t="shared" si="19"/>
        <v>4750</v>
      </c>
      <c r="P91" s="39"/>
      <c r="Q91" s="39"/>
      <c r="R91" s="39"/>
      <c r="S91" s="39"/>
      <c r="T91" s="39"/>
      <c r="U91" s="39"/>
      <c r="V91" s="39"/>
      <c r="W91" s="39"/>
      <c r="X91" s="39"/>
      <c r="Y91" s="39"/>
      <c r="Z91" s="39"/>
    </row>
    <row r="92" spans="1:26" s="3" customFormat="1" ht="27" customHeight="1" x14ac:dyDescent="0.25">
      <c r="A92" s="148">
        <f t="shared" si="17"/>
        <v>89</v>
      </c>
      <c r="B92" s="16" t="s">
        <v>67</v>
      </c>
      <c r="C92" s="73" t="s">
        <v>160</v>
      </c>
      <c r="D92" s="74" t="s">
        <v>192</v>
      </c>
      <c r="E92" s="86" t="s">
        <v>221</v>
      </c>
      <c r="F92" s="34">
        <v>52.5</v>
      </c>
      <c r="G92" s="34" t="s">
        <v>106</v>
      </c>
      <c r="H92" s="34">
        <v>3.1</v>
      </c>
      <c r="I92" s="131">
        <v>3125</v>
      </c>
      <c r="J92" s="135">
        <v>650</v>
      </c>
      <c r="K92" s="136">
        <v>2150</v>
      </c>
      <c r="L92" s="134">
        <v>1250</v>
      </c>
      <c r="M92" s="136">
        <v>4000</v>
      </c>
      <c r="N92" s="134">
        <f t="shared" si="18"/>
        <v>3775</v>
      </c>
      <c r="O92" s="4">
        <f t="shared" si="19"/>
        <v>5275</v>
      </c>
      <c r="P92" s="39"/>
      <c r="Q92" s="39"/>
      <c r="R92" s="39"/>
      <c r="S92" s="39"/>
      <c r="T92" s="39"/>
      <c r="U92" s="39"/>
      <c r="V92" s="39"/>
      <c r="W92" s="39"/>
      <c r="X92" s="39"/>
      <c r="Y92" s="39"/>
      <c r="Z92" s="39"/>
    </row>
    <row r="93" spans="1:26" s="3" customFormat="1" ht="27" customHeight="1" x14ac:dyDescent="0.25">
      <c r="A93" s="148">
        <f t="shared" si="17"/>
        <v>90</v>
      </c>
      <c r="B93" s="16" t="s">
        <v>67</v>
      </c>
      <c r="C93" s="73" t="s">
        <v>160</v>
      </c>
      <c r="D93" s="74" t="s">
        <v>210</v>
      </c>
      <c r="E93" s="86" t="s">
        <v>222</v>
      </c>
      <c r="F93" s="34">
        <v>54.5</v>
      </c>
      <c r="G93" s="34" t="s">
        <v>106</v>
      </c>
      <c r="H93" s="34">
        <v>3.4784722222222224</v>
      </c>
      <c r="I93" s="131">
        <v>3165</v>
      </c>
      <c r="J93" s="135">
        <v>650</v>
      </c>
      <c r="K93" s="136">
        <v>2150</v>
      </c>
      <c r="L93" s="134">
        <v>1250</v>
      </c>
      <c r="M93" s="136">
        <v>4000</v>
      </c>
      <c r="N93" s="134">
        <f t="shared" si="18"/>
        <v>3815</v>
      </c>
      <c r="O93" s="4">
        <f t="shared" si="19"/>
        <v>5315</v>
      </c>
      <c r="P93" s="39"/>
      <c r="Q93" s="39"/>
      <c r="R93" s="39"/>
      <c r="S93" s="39"/>
      <c r="T93" s="39"/>
      <c r="U93" s="39"/>
      <c r="V93" s="39"/>
      <c r="W93" s="39"/>
      <c r="X93" s="39"/>
      <c r="Y93" s="39"/>
      <c r="Z93" s="39"/>
    </row>
    <row r="94" spans="1:26" s="3" customFormat="1" ht="27" customHeight="1" x14ac:dyDescent="0.25">
      <c r="A94" s="148">
        <f t="shared" si="17"/>
        <v>91</v>
      </c>
      <c r="B94" s="16" t="s">
        <v>67</v>
      </c>
      <c r="C94" s="73" t="s">
        <v>160</v>
      </c>
      <c r="D94" s="74" t="s">
        <v>172</v>
      </c>
      <c r="E94" s="86" t="s">
        <v>223</v>
      </c>
      <c r="F94" s="34">
        <v>55.5</v>
      </c>
      <c r="G94" s="34" t="s">
        <v>106</v>
      </c>
      <c r="H94" s="34">
        <v>3.0166666666666671</v>
      </c>
      <c r="I94" s="131">
        <v>3362.5</v>
      </c>
      <c r="J94" s="135">
        <v>650</v>
      </c>
      <c r="K94" s="136">
        <v>2150</v>
      </c>
      <c r="L94" s="134">
        <v>1250</v>
      </c>
      <c r="M94" s="136">
        <v>4000</v>
      </c>
      <c r="N94" s="134">
        <f>I94+J94</f>
        <v>4012.5</v>
      </c>
      <c r="O94" s="4">
        <f>I94+K94</f>
        <v>5512.5</v>
      </c>
      <c r="P94" s="39"/>
      <c r="Q94" s="39"/>
      <c r="R94" s="39"/>
      <c r="S94" s="39"/>
      <c r="T94" s="39"/>
      <c r="U94" s="39"/>
      <c r="V94" s="39"/>
      <c r="W94" s="39"/>
      <c r="X94" s="39"/>
      <c r="Y94" s="39"/>
      <c r="Z94" s="39"/>
    </row>
    <row r="95" spans="1:26" s="3" customFormat="1" ht="27" customHeight="1" x14ac:dyDescent="0.25">
      <c r="A95" s="148">
        <f t="shared" si="17"/>
        <v>92</v>
      </c>
      <c r="B95" s="16" t="s">
        <v>67</v>
      </c>
      <c r="C95" s="73" t="s">
        <v>160</v>
      </c>
      <c r="D95" s="74" t="s">
        <v>108</v>
      </c>
      <c r="E95" s="86" t="s">
        <v>224</v>
      </c>
      <c r="F95" s="34">
        <v>59</v>
      </c>
      <c r="G95" s="34" t="s">
        <v>106</v>
      </c>
      <c r="H95" s="34">
        <v>4</v>
      </c>
      <c r="I95" s="131">
        <v>2650</v>
      </c>
      <c r="J95" s="135">
        <v>650</v>
      </c>
      <c r="K95" s="136">
        <v>2150</v>
      </c>
      <c r="L95" s="134">
        <v>1250</v>
      </c>
      <c r="M95" s="136">
        <v>4000</v>
      </c>
      <c r="N95" s="134">
        <f t="shared" si="18"/>
        <v>3300</v>
      </c>
      <c r="O95" s="4">
        <f t="shared" si="19"/>
        <v>4800</v>
      </c>
      <c r="P95" s="39"/>
      <c r="Q95" s="39"/>
      <c r="R95" s="39"/>
      <c r="S95" s="39"/>
      <c r="T95" s="39"/>
      <c r="U95" s="39"/>
      <c r="V95" s="39"/>
      <c r="W95" s="39"/>
      <c r="X95" s="39"/>
      <c r="Y95" s="39"/>
      <c r="Z95" s="39"/>
    </row>
    <row r="96" spans="1:26" s="3" customFormat="1" ht="27" customHeight="1" x14ac:dyDescent="0.25">
      <c r="A96" s="148">
        <f t="shared" si="17"/>
        <v>93</v>
      </c>
      <c r="B96" s="16" t="s">
        <v>67</v>
      </c>
      <c r="C96" s="73" t="s">
        <v>171</v>
      </c>
      <c r="D96" s="74" t="s">
        <v>108</v>
      </c>
      <c r="E96" s="86" t="s">
        <v>225</v>
      </c>
      <c r="F96" s="34">
        <v>75</v>
      </c>
      <c r="G96" s="34" t="s">
        <v>106</v>
      </c>
      <c r="H96" s="34">
        <f>(92+46/60)/24</f>
        <v>3.8652777777777776</v>
      </c>
      <c r="I96" s="131">
        <v>2700</v>
      </c>
      <c r="J96" s="135">
        <v>650</v>
      </c>
      <c r="K96" s="136">
        <v>2150</v>
      </c>
      <c r="L96" s="134">
        <v>1250</v>
      </c>
      <c r="M96" s="136">
        <v>4000</v>
      </c>
      <c r="N96" s="134">
        <f t="shared" si="18"/>
        <v>3350</v>
      </c>
      <c r="O96" s="4">
        <f t="shared" si="19"/>
        <v>4850</v>
      </c>
      <c r="P96" s="39"/>
      <c r="Q96" s="39"/>
      <c r="R96" s="39"/>
      <c r="S96" s="39"/>
      <c r="T96" s="39"/>
      <c r="U96" s="39"/>
      <c r="V96" s="39"/>
      <c r="W96" s="39"/>
      <c r="X96" s="39"/>
      <c r="Y96" s="39"/>
      <c r="Z96" s="39"/>
    </row>
    <row r="97" spans="1:35" s="3" customFormat="1" ht="27" customHeight="1" x14ac:dyDescent="0.25">
      <c r="A97" s="148">
        <f t="shared" si="17"/>
        <v>94</v>
      </c>
      <c r="B97" s="16" t="s">
        <v>67</v>
      </c>
      <c r="C97" s="73" t="s">
        <v>171</v>
      </c>
      <c r="D97" s="74" t="s">
        <v>192</v>
      </c>
      <c r="E97" s="86" t="s">
        <v>226</v>
      </c>
      <c r="F97" s="34">
        <v>88</v>
      </c>
      <c r="G97" s="34" t="s">
        <v>106</v>
      </c>
      <c r="H97" s="34">
        <v>3.2562500000000001</v>
      </c>
      <c r="I97" s="131">
        <v>4205</v>
      </c>
      <c r="J97" s="135">
        <v>650</v>
      </c>
      <c r="K97" s="136">
        <v>2150</v>
      </c>
      <c r="L97" s="134">
        <v>1250</v>
      </c>
      <c r="M97" s="136">
        <v>4000</v>
      </c>
      <c r="N97" s="134">
        <f t="shared" si="18"/>
        <v>4855</v>
      </c>
      <c r="O97" s="4">
        <f t="shared" si="19"/>
        <v>6355</v>
      </c>
      <c r="P97" s="39"/>
      <c r="Q97" s="39"/>
      <c r="R97" s="39"/>
      <c r="S97" s="39"/>
      <c r="T97" s="39"/>
      <c r="U97" s="39"/>
      <c r="V97" s="39"/>
      <c r="W97" s="39"/>
      <c r="X97" s="39"/>
      <c r="Y97" s="39"/>
      <c r="Z97" s="39"/>
    </row>
    <row r="98" spans="1:35" s="3" customFormat="1" ht="27" customHeight="1" x14ac:dyDescent="0.25">
      <c r="A98" s="148">
        <f t="shared" si="17"/>
        <v>95</v>
      </c>
      <c r="B98" s="16" t="s">
        <v>67</v>
      </c>
      <c r="C98" s="73" t="s">
        <v>171</v>
      </c>
      <c r="D98" s="74" t="s">
        <v>161</v>
      </c>
      <c r="E98" s="86" t="s">
        <v>227</v>
      </c>
      <c r="F98" s="34">
        <v>89</v>
      </c>
      <c r="G98" s="34" t="s">
        <v>106</v>
      </c>
      <c r="H98" s="34">
        <v>4.8616666666666672</v>
      </c>
      <c r="I98" s="131">
        <v>7092.045454545455</v>
      </c>
      <c r="J98" s="135">
        <v>650</v>
      </c>
      <c r="K98" s="136">
        <v>2150</v>
      </c>
      <c r="L98" s="134">
        <v>1250</v>
      </c>
      <c r="M98" s="136">
        <v>4000</v>
      </c>
      <c r="N98" s="134">
        <f t="shared" si="18"/>
        <v>7742.045454545455</v>
      </c>
      <c r="O98" s="4">
        <f t="shared" si="19"/>
        <v>9242.0454545454559</v>
      </c>
      <c r="P98" s="39"/>
    </row>
    <row r="99" spans="1:35" s="3" customFormat="1" ht="27" customHeight="1" x14ac:dyDescent="0.25">
      <c r="A99" s="148">
        <f t="shared" si="17"/>
        <v>96</v>
      </c>
      <c r="B99" s="16" t="s">
        <v>67</v>
      </c>
      <c r="C99" s="73" t="s">
        <v>180</v>
      </c>
      <c r="D99" s="74" t="s">
        <v>172</v>
      </c>
      <c r="E99" s="86" t="s">
        <v>228</v>
      </c>
      <c r="F99" s="34">
        <v>92</v>
      </c>
      <c r="G99" s="34" t="s">
        <v>106</v>
      </c>
      <c r="H99" s="34">
        <v>3.0208333333333335</v>
      </c>
      <c r="I99" s="131">
        <v>3669.318181818182</v>
      </c>
      <c r="J99" s="135">
        <v>650</v>
      </c>
      <c r="K99" s="136">
        <v>2150</v>
      </c>
      <c r="L99" s="134">
        <v>1250</v>
      </c>
      <c r="M99" s="136">
        <v>4000</v>
      </c>
      <c r="N99" s="134">
        <f t="shared" si="18"/>
        <v>4319.318181818182</v>
      </c>
      <c r="O99" s="4">
        <f t="shared" si="19"/>
        <v>5819.318181818182</v>
      </c>
      <c r="P99" s="39"/>
    </row>
    <row r="100" spans="1:35" s="3" customFormat="1" ht="27" customHeight="1" x14ac:dyDescent="0.25">
      <c r="A100" s="148">
        <f t="shared" si="17"/>
        <v>97</v>
      </c>
      <c r="B100" s="16" t="s">
        <v>67</v>
      </c>
      <c r="C100" s="73" t="s">
        <v>180</v>
      </c>
      <c r="D100" s="74" t="s">
        <v>157</v>
      </c>
      <c r="E100" s="86" t="s">
        <v>229</v>
      </c>
      <c r="F100" s="34">
        <v>99</v>
      </c>
      <c r="G100" s="34" t="s">
        <v>106</v>
      </c>
      <c r="H100" s="34">
        <v>7.3312499999999998</v>
      </c>
      <c r="I100" s="131">
        <v>4750</v>
      </c>
      <c r="J100" s="135">
        <v>650</v>
      </c>
      <c r="K100" s="136">
        <v>2150</v>
      </c>
      <c r="L100" s="134">
        <v>1250</v>
      </c>
      <c r="M100" s="136">
        <v>4000</v>
      </c>
      <c r="N100" s="134">
        <f t="shared" si="18"/>
        <v>5400</v>
      </c>
      <c r="O100" s="4">
        <f t="shared" si="19"/>
        <v>6900</v>
      </c>
      <c r="P100" s="39"/>
    </row>
    <row r="101" spans="1:35" s="3" customFormat="1" ht="27" customHeight="1" x14ac:dyDescent="0.25">
      <c r="A101" s="148">
        <f t="shared" si="17"/>
        <v>98</v>
      </c>
      <c r="B101" s="16" t="s">
        <v>67</v>
      </c>
      <c r="C101" s="73" t="s">
        <v>180</v>
      </c>
      <c r="D101" s="74" t="s">
        <v>154</v>
      </c>
      <c r="E101" s="86" t="s">
        <v>230</v>
      </c>
      <c r="F101" s="34">
        <v>99</v>
      </c>
      <c r="G101" s="34" t="s">
        <v>106</v>
      </c>
      <c r="H101" s="34">
        <v>7.0874999999999995</v>
      </c>
      <c r="I101" s="131">
        <v>4847</v>
      </c>
      <c r="J101" s="135">
        <v>650</v>
      </c>
      <c r="K101" s="136">
        <v>2150</v>
      </c>
      <c r="L101" s="134">
        <v>1250</v>
      </c>
      <c r="M101" s="136">
        <v>4000</v>
      </c>
      <c r="N101" s="134">
        <f t="shared" si="18"/>
        <v>5497</v>
      </c>
      <c r="O101" s="4">
        <f t="shared" si="19"/>
        <v>6997</v>
      </c>
      <c r="P101" s="39"/>
    </row>
    <row r="102" spans="1:35" s="3" customFormat="1" ht="27" customHeight="1" x14ac:dyDescent="0.25">
      <c r="A102" s="148">
        <f t="shared" si="17"/>
        <v>99</v>
      </c>
      <c r="B102" s="16" t="s">
        <v>67</v>
      </c>
      <c r="C102" s="73" t="s">
        <v>180</v>
      </c>
      <c r="D102" s="74" t="s">
        <v>108</v>
      </c>
      <c r="E102" s="86" t="s">
        <v>231</v>
      </c>
      <c r="F102" s="34">
        <v>100</v>
      </c>
      <c r="G102" s="34" t="s">
        <v>106</v>
      </c>
      <c r="H102" s="34">
        <f>((112+24/60))/24</f>
        <v>4.6833333333333336</v>
      </c>
      <c r="I102" s="131">
        <v>3620</v>
      </c>
      <c r="J102" s="135">
        <v>650</v>
      </c>
      <c r="K102" s="136">
        <v>2150</v>
      </c>
      <c r="L102" s="134">
        <v>1250</v>
      </c>
      <c r="M102" s="136">
        <v>4000</v>
      </c>
      <c r="N102" s="134">
        <f>I102+J102</f>
        <v>4270</v>
      </c>
      <c r="O102" s="4">
        <f>I102+K102</f>
        <v>5770</v>
      </c>
      <c r="P102" s="39"/>
    </row>
    <row r="103" spans="1:35" s="3" customFormat="1" ht="27" customHeight="1" x14ac:dyDescent="0.25">
      <c r="A103" s="148">
        <f t="shared" si="17"/>
        <v>100</v>
      </c>
      <c r="B103" s="16" t="s">
        <v>67</v>
      </c>
      <c r="C103" s="73" t="s">
        <v>180</v>
      </c>
      <c r="D103" s="74" t="s">
        <v>192</v>
      </c>
      <c r="E103" s="86" t="s">
        <v>232</v>
      </c>
      <c r="F103" s="34">
        <v>110</v>
      </c>
      <c r="G103" s="34" t="s">
        <v>106</v>
      </c>
      <c r="H103" s="34">
        <v>3.2562500000000001</v>
      </c>
      <c r="I103" s="131">
        <v>4204.545454545455</v>
      </c>
      <c r="J103" s="135">
        <v>650</v>
      </c>
      <c r="K103" s="136">
        <v>2150</v>
      </c>
      <c r="L103" s="134">
        <v>1250</v>
      </c>
      <c r="M103" s="136">
        <v>4000</v>
      </c>
      <c r="N103" s="134">
        <f t="shared" si="18"/>
        <v>4854.545454545455</v>
      </c>
      <c r="O103" s="4">
        <f t="shared" si="19"/>
        <v>6354.545454545455</v>
      </c>
      <c r="P103" s="39"/>
    </row>
    <row r="104" spans="1:35" s="3" customFormat="1" ht="27" customHeight="1" x14ac:dyDescent="0.25">
      <c r="A104" s="148">
        <f t="shared" si="17"/>
        <v>101</v>
      </c>
      <c r="B104" s="16" t="s">
        <v>67</v>
      </c>
      <c r="C104" s="73" t="s">
        <v>186</v>
      </c>
      <c r="D104" s="74" t="s">
        <v>154</v>
      </c>
      <c r="E104" s="86" t="s">
        <v>233</v>
      </c>
      <c r="F104" s="34">
        <v>128</v>
      </c>
      <c r="G104" s="34" t="s">
        <v>106</v>
      </c>
      <c r="H104" s="34">
        <v>4.4958333333333336</v>
      </c>
      <c r="I104" s="131">
        <v>5330</v>
      </c>
      <c r="J104" s="135">
        <v>650</v>
      </c>
      <c r="K104" s="136">
        <v>2150</v>
      </c>
      <c r="L104" s="134">
        <v>1250</v>
      </c>
      <c r="M104" s="136">
        <v>4000</v>
      </c>
      <c r="N104" s="134">
        <f t="shared" si="18"/>
        <v>5980</v>
      </c>
      <c r="O104" s="4">
        <f t="shared" si="19"/>
        <v>7480</v>
      </c>
      <c r="P104" s="39"/>
    </row>
    <row r="105" spans="1:35" s="3" customFormat="1" ht="27" customHeight="1" x14ac:dyDescent="0.25">
      <c r="A105" s="148">
        <f t="shared" si="17"/>
        <v>102</v>
      </c>
      <c r="B105" s="16" t="s">
        <v>67</v>
      </c>
      <c r="C105" s="73" t="s">
        <v>186</v>
      </c>
      <c r="D105" s="74" t="s">
        <v>192</v>
      </c>
      <c r="E105" s="86" t="s">
        <v>234</v>
      </c>
      <c r="F105" s="34">
        <v>132</v>
      </c>
      <c r="G105" s="34" t="s">
        <v>106</v>
      </c>
      <c r="H105" s="34">
        <v>3.3118055555555554</v>
      </c>
      <c r="I105" s="131">
        <v>4431.818181818182</v>
      </c>
      <c r="J105" s="135">
        <v>650</v>
      </c>
      <c r="K105" s="136">
        <v>2150</v>
      </c>
      <c r="L105" s="134">
        <v>1250</v>
      </c>
      <c r="M105" s="136">
        <v>4000</v>
      </c>
      <c r="N105" s="134">
        <f t="shared" si="18"/>
        <v>5081.818181818182</v>
      </c>
      <c r="O105" s="4">
        <f t="shared" si="19"/>
        <v>6581.818181818182</v>
      </c>
      <c r="P105" s="39"/>
    </row>
    <row r="106" spans="1:35" s="3" customFormat="1" ht="27" customHeight="1" x14ac:dyDescent="0.25">
      <c r="A106" s="148">
        <f t="shared" si="17"/>
        <v>103</v>
      </c>
      <c r="B106" s="16" t="s">
        <v>67</v>
      </c>
      <c r="C106" s="73" t="s">
        <v>186</v>
      </c>
      <c r="D106" s="74" t="s">
        <v>172</v>
      </c>
      <c r="E106" s="86" t="s">
        <v>235</v>
      </c>
      <c r="F106" s="34">
        <v>170</v>
      </c>
      <c r="G106" s="34" t="s">
        <v>106</v>
      </c>
      <c r="H106" s="34">
        <v>3.0583333333333336</v>
      </c>
      <c r="I106" s="131">
        <v>4702.272727272727</v>
      </c>
      <c r="J106" s="135">
        <v>650</v>
      </c>
      <c r="K106" s="136">
        <v>2150</v>
      </c>
      <c r="L106" s="134">
        <v>1250</v>
      </c>
      <c r="M106" s="136">
        <v>4000</v>
      </c>
      <c r="N106" s="134">
        <f t="shared" si="18"/>
        <v>5352.272727272727</v>
      </c>
      <c r="O106" s="4">
        <f t="shared" si="19"/>
        <v>6852.272727272727</v>
      </c>
      <c r="P106" s="39"/>
    </row>
    <row r="107" spans="1:35" s="3" customFormat="1" ht="27" customHeight="1" x14ac:dyDescent="0.25">
      <c r="A107" s="148">
        <f t="shared" si="17"/>
        <v>104</v>
      </c>
      <c r="B107" s="16" t="s">
        <v>67</v>
      </c>
      <c r="C107" s="73" t="s">
        <v>186</v>
      </c>
      <c r="D107" s="74" t="s">
        <v>108</v>
      </c>
      <c r="E107" s="86" t="s">
        <v>236</v>
      </c>
      <c r="F107" s="34">
        <v>200</v>
      </c>
      <c r="G107" s="34" t="s">
        <v>106</v>
      </c>
      <c r="H107" s="34">
        <f>(93+(23/60))/24</f>
        <v>3.8909722222222225</v>
      </c>
      <c r="I107" s="131">
        <v>4150</v>
      </c>
      <c r="J107" s="135">
        <v>650</v>
      </c>
      <c r="K107" s="136">
        <v>2150</v>
      </c>
      <c r="L107" s="134">
        <v>1250</v>
      </c>
      <c r="M107" s="136">
        <v>4000</v>
      </c>
      <c r="N107" s="134">
        <f t="shared" si="18"/>
        <v>4800</v>
      </c>
      <c r="O107" s="4">
        <f t="shared" si="19"/>
        <v>6300</v>
      </c>
      <c r="P107" s="39"/>
    </row>
    <row r="108" spans="1:35" s="3" customFormat="1" ht="27" customHeight="1" x14ac:dyDescent="0.25">
      <c r="A108" s="148">
        <f t="shared" si="17"/>
        <v>105</v>
      </c>
      <c r="B108" s="16" t="s">
        <v>67</v>
      </c>
      <c r="C108" s="73" t="s">
        <v>186</v>
      </c>
      <c r="D108" s="74" t="s">
        <v>161</v>
      </c>
      <c r="E108" s="86" t="s">
        <v>237</v>
      </c>
      <c r="F108" s="34">
        <v>220</v>
      </c>
      <c r="G108" s="34" t="s">
        <v>106</v>
      </c>
      <c r="H108" s="34">
        <f>(91+16/60)/24</f>
        <v>3.8027777777777776</v>
      </c>
      <c r="I108" s="131">
        <v>7775</v>
      </c>
      <c r="J108" s="135">
        <v>650</v>
      </c>
      <c r="K108" s="136">
        <v>2150</v>
      </c>
      <c r="L108" s="134">
        <v>1250</v>
      </c>
      <c r="M108" s="136">
        <v>4000</v>
      </c>
      <c r="N108" s="134">
        <f t="shared" si="18"/>
        <v>8425</v>
      </c>
      <c r="O108" s="4">
        <f t="shared" si="19"/>
        <v>9925</v>
      </c>
      <c r="P108" s="39"/>
    </row>
    <row r="109" spans="1:35" s="3" customFormat="1" ht="27" customHeight="1" x14ac:dyDescent="0.25">
      <c r="A109" s="148">
        <f t="shared" si="17"/>
        <v>106</v>
      </c>
      <c r="B109" s="17" t="s">
        <v>68</v>
      </c>
      <c r="C109" s="73" t="s">
        <v>153</v>
      </c>
      <c r="D109" s="74" t="s">
        <v>161</v>
      </c>
      <c r="E109" s="86" t="s">
        <v>238</v>
      </c>
      <c r="F109" s="34">
        <v>16</v>
      </c>
      <c r="G109" s="35">
        <v>2.4</v>
      </c>
      <c r="H109" s="35">
        <v>3.5</v>
      </c>
      <c r="I109" s="131">
        <v>4944.318181818182</v>
      </c>
      <c r="J109" s="135">
        <v>650</v>
      </c>
      <c r="K109" s="136">
        <v>2150</v>
      </c>
      <c r="L109" s="134">
        <v>1250</v>
      </c>
      <c r="M109" s="136">
        <v>4000</v>
      </c>
      <c r="N109" s="134">
        <f t="shared" si="18"/>
        <v>5594.318181818182</v>
      </c>
      <c r="O109" s="4">
        <f t="shared" si="19"/>
        <v>7094.318181818182</v>
      </c>
      <c r="P109" s="39"/>
    </row>
    <row r="110" spans="1:35" s="3" customFormat="1" ht="27" customHeight="1" x14ac:dyDescent="0.25">
      <c r="A110" s="148">
        <f t="shared" si="17"/>
        <v>107</v>
      </c>
      <c r="B110" s="17" t="s">
        <v>68</v>
      </c>
      <c r="C110" s="73" t="s">
        <v>153</v>
      </c>
      <c r="D110" s="74" t="s">
        <v>172</v>
      </c>
      <c r="E110" s="74" t="s">
        <v>240</v>
      </c>
      <c r="F110" s="34">
        <v>20</v>
      </c>
      <c r="G110" s="34">
        <v>34.299999999999997</v>
      </c>
      <c r="H110" s="34">
        <v>3.0508333333333333</v>
      </c>
      <c r="I110" s="131">
        <v>5142.045454545455</v>
      </c>
      <c r="J110" s="135">
        <v>650</v>
      </c>
      <c r="K110" s="136">
        <v>2150</v>
      </c>
      <c r="L110" s="134">
        <v>1250</v>
      </c>
      <c r="M110" s="136">
        <v>4000</v>
      </c>
      <c r="N110" s="134">
        <f>I111+J110</f>
        <v>6768.181818181818</v>
      </c>
      <c r="O110" s="4">
        <f>I111+K110</f>
        <v>8268.181818181818</v>
      </c>
      <c r="P110" s="39"/>
      <c r="AB110" s="60"/>
      <c r="AC110" s="60"/>
      <c r="AD110" s="60"/>
      <c r="AE110" s="60"/>
    </row>
    <row r="111" spans="1:35" s="3" customFormat="1" ht="27" customHeight="1" x14ac:dyDescent="0.25">
      <c r="A111" s="148">
        <f t="shared" si="17"/>
        <v>108</v>
      </c>
      <c r="B111" s="17" t="s">
        <v>68</v>
      </c>
      <c r="C111" s="73" t="s">
        <v>160</v>
      </c>
      <c r="D111" s="74" t="s">
        <v>161</v>
      </c>
      <c r="E111" s="86" t="s">
        <v>239</v>
      </c>
      <c r="F111" s="34">
        <v>36</v>
      </c>
      <c r="G111" s="34">
        <v>4.8</v>
      </c>
      <c r="H111" s="34">
        <v>3.4125000000000001</v>
      </c>
      <c r="I111" s="131">
        <v>6118.181818181818</v>
      </c>
      <c r="J111" s="135">
        <v>650</v>
      </c>
      <c r="K111" s="136">
        <v>2150</v>
      </c>
      <c r="L111" s="134">
        <v>1250</v>
      </c>
      <c r="M111" s="136">
        <v>4000</v>
      </c>
      <c r="N111" s="134">
        <v>5746.0000000000009</v>
      </c>
      <c r="O111" s="4">
        <v>7246.0000000000009</v>
      </c>
      <c r="P111" s="39"/>
      <c r="Q111" s="184"/>
      <c r="R111" s="184"/>
      <c r="S111" s="184"/>
      <c r="T111" s="184"/>
      <c r="U111" s="184"/>
      <c r="V111" s="184"/>
      <c r="W111" s="184"/>
      <c r="X111" s="184"/>
      <c r="Y111" s="184"/>
      <c r="Z111" s="184"/>
      <c r="AB111" s="60"/>
      <c r="AC111" s="60"/>
      <c r="AD111" s="60"/>
      <c r="AE111" s="60"/>
    </row>
    <row r="112" spans="1:35" s="37" customFormat="1" ht="30" x14ac:dyDescent="0.25">
      <c r="A112" s="148">
        <f t="shared" si="17"/>
        <v>109</v>
      </c>
      <c r="B112" s="17" t="s">
        <v>68</v>
      </c>
      <c r="C112" s="73" t="s">
        <v>160</v>
      </c>
      <c r="D112" s="74" t="s">
        <v>108</v>
      </c>
      <c r="E112" s="86" t="s">
        <v>241</v>
      </c>
      <c r="F112" s="34">
        <v>37.5</v>
      </c>
      <c r="G112" s="34">
        <v>32</v>
      </c>
      <c r="H112" s="34">
        <v>4.7875000000000005</v>
      </c>
      <c r="I112" s="131">
        <v>3950</v>
      </c>
      <c r="J112" s="135">
        <v>650</v>
      </c>
      <c r="K112" s="136">
        <v>2150</v>
      </c>
      <c r="L112" s="134">
        <v>1250</v>
      </c>
      <c r="M112" s="136">
        <v>4000</v>
      </c>
      <c r="N112" s="134">
        <f>I112+J112</f>
        <v>4600</v>
      </c>
      <c r="O112" s="4">
        <f>I112+K112</f>
        <v>6100</v>
      </c>
      <c r="P112" s="39"/>
      <c r="Q112" s="60"/>
      <c r="R112" s="60"/>
      <c r="S112" s="60"/>
      <c r="T112" s="60"/>
      <c r="U112" s="60"/>
      <c r="V112" s="60"/>
      <c r="W112" s="60"/>
      <c r="X112" s="60"/>
      <c r="Y112" s="60"/>
      <c r="Z112" s="60"/>
      <c r="AA112" s="60"/>
      <c r="AB112" s="60"/>
      <c r="AC112" s="60"/>
      <c r="AD112" s="60"/>
      <c r="AE112" s="60"/>
      <c r="AF112" s="60"/>
      <c r="AG112" s="60"/>
      <c r="AH112" s="60"/>
      <c r="AI112" s="3"/>
    </row>
    <row r="113" spans="1:35" s="60" customFormat="1" ht="30" x14ac:dyDescent="0.25">
      <c r="A113" s="148">
        <f t="shared" si="17"/>
        <v>110</v>
      </c>
      <c r="B113" s="17" t="s">
        <v>68</v>
      </c>
      <c r="C113" s="73" t="s">
        <v>160</v>
      </c>
      <c r="D113" s="74" t="s">
        <v>172</v>
      </c>
      <c r="E113" s="74" t="s">
        <v>242</v>
      </c>
      <c r="F113" s="34">
        <v>36</v>
      </c>
      <c r="G113" s="34">
        <v>34.299999999999997</v>
      </c>
      <c r="H113" s="34">
        <v>3</v>
      </c>
      <c r="I113" s="131">
        <v>5465.909090909091</v>
      </c>
      <c r="J113" s="135">
        <v>650</v>
      </c>
      <c r="K113" s="136">
        <v>2150</v>
      </c>
      <c r="L113" s="134">
        <v>1250</v>
      </c>
      <c r="M113" s="136">
        <v>4000</v>
      </c>
      <c r="N113" s="134">
        <v>6065.2000000000007</v>
      </c>
      <c r="O113" s="4">
        <v>7565.2000000000007</v>
      </c>
      <c r="P113" s="39"/>
    </row>
    <row r="114" spans="1:35" s="60" customFormat="1" ht="30" x14ac:dyDescent="0.25">
      <c r="A114" s="148">
        <f t="shared" si="17"/>
        <v>111</v>
      </c>
      <c r="B114" s="17" t="s">
        <v>68</v>
      </c>
      <c r="C114" s="73" t="s">
        <v>160</v>
      </c>
      <c r="D114" s="74" t="s">
        <v>192</v>
      </c>
      <c r="E114" s="86" t="s">
        <v>243</v>
      </c>
      <c r="F114" s="34">
        <v>57</v>
      </c>
      <c r="G114" s="34">
        <v>24</v>
      </c>
      <c r="H114" s="34">
        <v>3.4583333333333335</v>
      </c>
      <c r="I114" s="131">
        <v>5284.090909090909</v>
      </c>
      <c r="J114" s="135">
        <v>650</v>
      </c>
      <c r="K114" s="136">
        <v>2150</v>
      </c>
      <c r="L114" s="134">
        <v>1250</v>
      </c>
      <c r="M114" s="136">
        <v>4000</v>
      </c>
      <c r="N114" s="134">
        <f>I114+J114</f>
        <v>5934.090909090909</v>
      </c>
      <c r="O114" s="4">
        <f>I114+K114</f>
        <v>7434.090909090909</v>
      </c>
      <c r="P114" s="39"/>
    </row>
    <row r="115" spans="1:35" s="60" customFormat="1" ht="30" x14ac:dyDescent="0.25">
      <c r="A115" s="148">
        <f t="shared" si="17"/>
        <v>112</v>
      </c>
      <c r="B115" s="17" t="s">
        <v>68</v>
      </c>
      <c r="C115" s="73" t="s">
        <v>160</v>
      </c>
      <c r="D115" s="74" t="s">
        <v>157</v>
      </c>
      <c r="E115" s="86" t="s">
        <v>244</v>
      </c>
      <c r="F115" s="34">
        <v>58</v>
      </c>
      <c r="G115" s="34">
        <v>44</v>
      </c>
      <c r="H115" s="34">
        <f>283.5/24</f>
        <v>11.8125</v>
      </c>
      <c r="I115" s="131">
        <v>5500</v>
      </c>
      <c r="J115" s="135">
        <v>650</v>
      </c>
      <c r="K115" s="136">
        <v>2150</v>
      </c>
      <c r="L115" s="134">
        <v>1250</v>
      </c>
      <c r="M115" s="136">
        <v>4000</v>
      </c>
      <c r="N115" s="134">
        <v>5746.0000000000009</v>
      </c>
      <c r="O115" s="4">
        <v>7246.0000000000009</v>
      </c>
      <c r="P115" s="39"/>
    </row>
    <row r="116" spans="1:35" s="60" customFormat="1" ht="30" x14ac:dyDescent="0.25">
      <c r="A116" s="148">
        <f t="shared" si="17"/>
        <v>113</v>
      </c>
      <c r="B116" s="17" t="s">
        <v>68</v>
      </c>
      <c r="C116" s="73" t="s">
        <v>171</v>
      </c>
      <c r="D116" s="74" t="s">
        <v>161</v>
      </c>
      <c r="E116" s="86" t="s">
        <v>245</v>
      </c>
      <c r="F116" s="34">
        <v>70</v>
      </c>
      <c r="G116" s="34">
        <v>42</v>
      </c>
      <c r="H116" s="34">
        <v>3.0791666666666671</v>
      </c>
      <c r="I116" s="131">
        <v>10298.863636363636</v>
      </c>
      <c r="J116" s="135">
        <v>650</v>
      </c>
      <c r="K116" s="136">
        <v>2150</v>
      </c>
      <c r="L116" s="134">
        <v>1250</v>
      </c>
      <c r="M116" s="136">
        <v>4000</v>
      </c>
      <c r="N116" s="134">
        <f>I116+J116</f>
        <v>10948.863636363636</v>
      </c>
      <c r="O116" s="4">
        <f>I116+K116</f>
        <v>12448.863636363636</v>
      </c>
      <c r="P116" s="39"/>
    </row>
    <row r="117" spans="1:35" ht="30" x14ac:dyDescent="0.25">
      <c r="A117" s="148">
        <f t="shared" si="17"/>
        <v>114</v>
      </c>
      <c r="B117" s="17" t="s">
        <v>68</v>
      </c>
      <c r="C117" s="73" t="s">
        <v>180</v>
      </c>
      <c r="D117" s="74" t="s">
        <v>108</v>
      </c>
      <c r="E117" s="86" t="s">
        <v>246</v>
      </c>
      <c r="F117" s="34">
        <v>100</v>
      </c>
      <c r="G117" s="34">
        <v>40</v>
      </c>
      <c r="H117" s="34">
        <v>5.0604166666666668</v>
      </c>
      <c r="I117" s="131">
        <v>5750</v>
      </c>
      <c r="J117" s="135">
        <v>650</v>
      </c>
      <c r="K117" s="136">
        <v>2150</v>
      </c>
      <c r="L117" s="134">
        <v>1250</v>
      </c>
      <c r="M117" s="136">
        <v>4000</v>
      </c>
      <c r="N117" s="134">
        <f>I117+J117</f>
        <v>6400</v>
      </c>
      <c r="O117" s="4">
        <f>I117+K117</f>
        <v>7900</v>
      </c>
      <c r="P117" s="39"/>
      <c r="Q117" s="60"/>
      <c r="R117" s="60"/>
      <c r="S117" s="60"/>
      <c r="T117" s="60"/>
      <c r="U117" s="60"/>
      <c r="V117" s="60"/>
      <c r="W117" s="60"/>
      <c r="X117" s="60"/>
      <c r="Y117" s="60"/>
      <c r="Z117" s="60"/>
      <c r="AA117" s="60"/>
      <c r="AI117" s="60"/>
    </row>
    <row r="118" spans="1:35" ht="30" x14ac:dyDescent="0.25">
      <c r="A118" s="148">
        <f t="shared" si="17"/>
        <v>115</v>
      </c>
      <c r="B118" s="17" t="s">
        <v>68</v>
      </c>
      <c r="C118" s="73" t="s">
        <v>180</v>
      </c>
      <c r="D118" s="74" t="s">
        <v>192</v>
      </c>
      <c r="E118" s="86" t="s">
        <v>247</v>
      </c>
      <c r="F118" s="34">
        <v>102</v>
      </c>
      <c r="G118" s="34">
        <v>42.9</v>
      </c>
      <c r="H118" s="34">
        <v>3.2495833333333333</v>
      </c>
      <c r="I118" s="131">
        <v>6250</v>
      </c>
      <c r="J118" s="135">
        <v>650</v>
      </c>
      <c r="K118" s="136">
        <v>2150</v>
      </c>
      <c r="L118" s="134">
        <v>1250</v>
      </c>
      <c r="M118" s="136">
        <v>4000</v>
      </c>
      <c r="N118" s="134">
        <f>I118+J118</f>
        <v>6900</v>
      </c>
      <c r="O118" s="4">
        <f>I118+K118</f>
        <v>8400</v>
      </c>
      <c r="P118" s="39"/>
    </row>
    <row r="119" spans="1:35" ht="30" x14ac:dyDescent="0.25">
      <c r="A119" s="148">
        <f t="shared" si="17"/>
        <v>116</v>
      </c>
      <c r="B119" s="18" t="s">
        <v>69</v>
      </c>
      <c r="C119" s="73" t="s">
        <v>160</v>
      </c>
      <c r="D119" s="74" t="s">
        <v>172</v>
      </c>
      <c r="E119" s="86" t="s">
        <v>248</v>
      </c>
      <c r="F119" s="34" t="s">
        <v>106</v>
      </c>
      <c r="G119" s="34">
        <v>34.299999999999997</v>
      </c>
      <c r="H119" s="34"/>
      <c r="I119" s="131">
        <v>2965.909090909091</v>
      </c>
      <c r="J119" s="135">
        <v>650</v>
      </c>
      <c r="K119" s="136">
        <v>2150</v>
      </c>
      <c r="L119" s="134">
        <v>1250</v>
      </c>
      <c r="M119" s="136">
        <v>4000</v>
      </c>
      <c r="N119" s="134">
        <f>I119+J119</f>
        <v>3615.909090909091</v>
      </c>
      <c r="O119" s="4">
        <f>I119+K119</f>
        <v>5115.909090909091</v>
      </c>
      <c r="P119" s="39"/>
    </row>
    <row r="120" spans="1:35" ht="30" x14ac:dyDescent="0.25">
      <c r="A120" s="148">
        <f t="shared" si="17"/>
        <v>117</v>
      </c>
      <c r="B120" s="18" t="s">
        <v>69</v>
      </c>
      <c r="C120" s="73" t="s">
        <v>160</v>
      </c>
      <c r="D120" s="74" t="s">
        <v>108</v>
      </c>
      <c r="E120" s="86" t="s">
        <v>249</v>
      </c>
      <c r="F120" s="34" t="s">
        <v>106</v>
      </c>
      <c r="G120" s="34">
        <v>48</v>
      </c>
      <c r="H120" s="34">
        <v>5</v>
      </c>
      <c r="I120" s="131">
        <v>2250</v>
      </c>
      <c r="J120" s="135">
        <v>650</v>
      </c>
      <c r="K120" s="136">
        <v>2150</v>
      </c>
      <c r="L120" s="134">
        <v>1250</v>
      </c>
      <c r="M120" s="136">
        <v>4000</v>
      </c>
      <c r="N120" s="134">
        <f>I120+J120</f>
        <v>2900</v>
      </c>
      <c r="O120" s="4">
        <f>I120+K120</f>
        <v>4400</v>
      </c>
      <c r="P120" s="39"/>
    </row>
    <row r="121" spans="1:35" ht="30" x14ac:dyDescent="0.25">
      <c r="A121" s="148">
        <f t="shared" si="17"/>
        <v>118</v>
      </c>
      <c r="B121" s="18" t="s">
        <v>69</v>
      </c>
      <c r="C121" s="73" t="s">
        <v>171</v>
      </c>
      <c r="D121" s="74" t="s">
        <v>161</v>
      </c>
      <c r="E121" s="86" t="s">
        <v>250</v>
      </c>
      <c r="F121" s="34" t="s">
        <v>106</v>
      </c>
      <c r="G121" s="34">
        <v>64</v>
      </c>
      <c r="H121" s="34">
        <v>5</v>
      </c>
      <c r="I121" s="131">
        <v>5402.272727272727</v>
      </c>
      <c r="J121" s="135">
        <v>650</v>
      </c>
      <c r="K121" s="136">
        <v>2150</v>
      </c>
      <c r="L121" s="134">
        <v>1250</v>
      </c>
      <c r="M121" s="136">
        <v>4000</v>
      </c>
      <c r="N121" s="134">
        <f>I121+J121</f>
        <v>6052.272727272727</v>
      </c>
      <c r="O121" s="4">
        <f>I121+K121</f>
        <v>7552.272727272727</v>
      </c>
      <c r="P121" s="39"/>
    </row>
    <row r="122" spans="1:35" ht="30" x14ac:dyDescent="0.25">
      <c r="A122" s="148">
        <f t="shared" si="17"/>
        <v>119</v>
      </c>
      <c r="B122" s="20" t="s">
        <v>70</v>
      </c>
      <c r="C122" s="73" t="s">
        <v>106</v>
      </c>
      <c r="D122" s="74" t="s">
        <v>108</v>
      </c>
      <c r="E122" s="86" t="s">
        <v>251</v>
      </c>
      <c r="F122" s="34" t="s">
        <v>106</v>
      </c>
      <c r="G122" s="34" t="s">
        <v>106</v>
      </c>
      <c r="H122" s="34" t="s">
        <v>106</v>
      </c>
      <c r="I122" s="131">
        <v>23</v>
      </c>
      <c r="J122" s="137">
        <v>0</v>
      </c>
      <c r="K122" s="136">
        <v>0</v>
      </c>
      <c r="L122" s="134" t="s">
        <v>107</v>
      </c>
      <c r="M122" s="136" t="s">
        <v>107</v>
      </c>
      <c r="N122" s="134">
        <f>I122+J122</f>
        <v>23</v>
      </c>
      <c r="O122" s="4">
        <f>I122+K122</f>
        <v>23</v>
      </c>
    </row>
    <row r="123" spans="1:35" ht="30" x14ac:dyDescent="0.25">
      <c r="A123" s="148">
        <f t="shared" si="17"/>
        <v>120</v>
      </c>
      <c r="B123" s="20" t="s">
        <v>70</v>
      </c>
      <c r="C123" s="73" t="s">
        <v>106</v>
      </c>
      <c r="D123" s="74" t="s">
        <v>252</v>
      </c>
      <c r="E123" s="86" t="s">
        <v>253</v>
      </c>
      <c r="F123" s="34" t="s">
        <v>106</v>
      </c>
      <c r="G123" s="34" t="s">
        <v>106</v>
      </c>
      <c r="H123" s="34" t="s">
        <v>106</v>
      </c>
      <c r="I123" s="131">
        <v>40.799999999999997</v>
      </c>
      <c r="J123" s="137">
        <v>0</v>
      </c>
      <c r="K123" s="136">
        <v>0</v>
      </c>
      <c r="L123" s="134" t="s">
        <v>107</v>
      </c>
      <c r="M123" s="136" t="s">
        <v>107</v>
      </c>
      <c r="N123" s="134">
        <f>I123+J123</f>
        <v>40.799999999999997</v>
      </c>
      <c r="O123" s="4">
        <f>I123+K123</f>
        <v>40.799999999999997</v>
      </c>
    </row>
    <row r="124" spans="1:35" ht="30" x14ac:dyDescent="0.25">
      <c r="A124" s="148">
        <f t="shared" si="17"/>
        <v>121</v>
      </c>
      <c r="B124" s="20" t="s">
        <v>70</v>
      </c>
      <c r="C124" s="73" t="s">
        <v>106</v>
      </c>
      <c r="D124" s="74" t="s">
        <v>254</v>
      </c>
      <c r="E124" s="86" t="s">
        <v>255</v>
      </c>
      <c r="F124" s="34" t="s">
        <v>106</v>
      </c>
      <c r="G124" s="34" t="s">
        <v>106</v>
      </c>
      <c r="H124" s="34" t="s">
        <v>106</v>
      </c>
      <c r="I124" s="131">
        <v>44</v>
      </c>
      <c r="J124" s="137">
        <v>0</v>
      </c>
      <c r="K124" s="136">
        <v>0</v>
      </c>
      <c r="L124" s="134" t="s">
        <v>107</v>
      </c>
      <c r="M124" s="136" t="s">
        <v>107</v>
      </c>
      <c r="N124" s="134">
        <f>I124+J124</f>
        <v>44</v>
      </c>
      <c r="O124" s="4">
        <f>I124+K124</f>
        <v>44</v>
      </c>
    </row>
    <row r="125" spans="1:35" s="3" customFormat="1" ht="27" customHeight="1" x14ac:dyDescent="0.25">
      <c r="A125" s="148">
        <f t="shared" si="17"/>
        <v>122</v>
      </c>
      <c r="B125" s="20" t="s">
        <v>70</v>
      </c>
      <c r="C125" s="73" t="s">
        <v>106</v>
      </c>
      <c r="D125" s="74" t="s">
        <v>254</v>
      </c>
      <c r="E125" s="86" t="s">
        <v>256</v>
      </c>
      <c r="F125" s="34" t="s">
        <v>106</v>
      </c>
      <c r="G125" s="34" t="s">
        <v>106</v>
      </c>
      <c r="H125" s="34" t="s">
        <v>106</v>
      </c>
      <c r="I125" s="131">
        <v>73</v>
      </c>
      <c r="J125" s="137">
        <v>0</v>
      </c>
      <c r="K125" s="136">
        <v>0</v>
      </c>
      <c r="L125" s="134" t="s">
        <v>107</v>
      </c>
      <c r="M125" s="136" t="s">
        <v>107</v>
      </c>
      <c r="N125" s="134">
        <f>I125+J125</f>
        <v>73</v>
      </c>
      <c r="O125" s="4">
        <f>I125+K125</f>
        <v>73</v>
      </c>
      <c r="P125" s="39"/>
      <c r="Q125" s="332"/>
      <c r="R125" s="332"/>
      <c r="S125" s="332"/>
      <c r="T125" s="332"/>
      <c r="U125" s="332"/>
      <c r="V125" s="332"/>
      <c r="W125" s="332"/>
      <c r="X125" s="332"/>
      <c r="Y125" s="332"/>
      <c r="Z125" s="332"/>
      <c r="AI125"/>
    </row>
    <row r="126" spans="1:35" s="3" customFormat="1" ht="27" customHeight="1" x14ac:dyDescent="0.25">
      <c r="A126" s="148">
        <f t="shared" si="17"/>
        <v>123</v>
      </c>
      <c r="B126" s="20" t="s">
        <v>70</v>
      </c>
      <c r="C126" s="73" t="s">
        <v>106</v>
      </c>
      <c r="D126" s="74" t="s">
        <v>257</v>
      </c>
      <c r="E126" s="86" t="s">
        <v>258</v>
      </c>
      <c r="F126" s="34" t="s">
        <v>106</v>
      </c>
      <c r="G126" s="34" t="s">
        <v>106</v>
      </c>
      <c r="H126" s="34" t="s">
        <v>106</v>
      </c>
      <c r="I126" s="131">
        <v>130</v>
      </c>
      <c r="J126" s="137">
        <v>0</v>
      </c>
      <c r="K126" s="136">
        <v>0</v>
      </c>
      <c r="L126" s="134" t="s">
        <v>107</v>
      </c>
      <c r="M126" s="136" t="s">
        <v>107</v>
      </c>
      <c r="N126" s="134">
        <f>I126+J126</f>
        <v>130</v>
      </c>
      <c r="O126" s="4">
        <f>I126+K126</f>
        <v>130</v>
      </c>
      <c r="P126" s="39"/>
      <c r="Q126" s="225"/>
      <c r="R126" s="225"/>
      <c r="S126" s="225"/>
      <c r="T126" s="225"/>
      <c r="U126" s="225"/>
      <c r="V126" s="225"/>
      <c r="W126" s="225"/>
      <c r="X126" s="225"/>
      <c r="Y126" s="225"/>
      <c r="Z126" s="225"/>
    </row>
    <row r="127" spans="1:35" s="3" customFormat="1" ht="27" customHeight="1" x14ac:dyDescent="0.25">
      <c r="A127" s="148">
        <f t="shared" si="17"/>
        <v>124</v>
      </c>
      <c r="B127" s="19" t="s">
        <v>259</v>
      </c>
      <c r="C127" s="73" t="s">
        <v>106</v>
      </c>
      <c r="D127" s="74" t="s">
        <v>260</v>
      </c>
      <c r="E127" s="86" t="s">
        <v>420</v>
      </c>
      <c r="F127" s="34" t="s">
        <v>106</v>
      </c>
      <c r="G127" s="34" t="s">
        <v>106</v>
      </c>
      <c r="H127" s="34" t="s">
        <v>106</v>
      </c>
      <c r="I127" s="131">
        <v>1595</v>
      </c>
      <c r="J127" s="135">
        <v>200</v>
      </c>
      <c r="K127" s="136">
        <v>400</v>
      </c>
      <c r="L127" s="134" t="s">
        <v>107</v>
      </c>
      <c r="M127" s="136" t="s">
        <v>107</v>
      </c>
      <c r="N127" s="134">
        <f>I127+J127</f>
        <v>1795</v>
      </c>
      <c r="O127" s="4">
        <f>I127+K127</f>
        <v>1995</v>
      </c>
      <c r="P127" s="39"/>
      <c r="Q127" s="225"/>
      <c r="R127" s="225"/>
      <c r="S127" s="225"/>
      <c r="T127" s="225"/>
      <c r="U127" s="225"/>
      <c r="V127" s="225"/>
      <c r="W127" s="225"/>
      <c r="X127" s="225"/>
      <c r="Y127" s="225"/>
      <c r="Z127" s="225"/>
    </row>
    <row r="128" spans="1:35" s="3" customFormat="1" ht="27" customHeight="1" x14ac:dyDescent="0.25">
      <c r="A128" s="148">
        <f t="shared" si="17"/>
        <v>125</v>
      </c>
      <c r="B128" s="19" t="s">
        <v>71</v>
      </c>
      <c r="C128" s="333" t="s">
        <v>106</v>
      </c>
      <c r="D128" s="86" t="s">
        <v>416</v>
      </c>
      <c r="E128" s="86" t="s">
        <v>421</v>
      </c>
      <c r="F128" s="334" t="s">
        <v>106</v>
      </c>
      <c r="G128" s="334" t="s">
        <v>106</v>
      </c>
      <c r="H128" s="334" t="s">
        <v>106</v>
      </c>
      <c r="I128" s="335">
        <v>1699.5</v>
      </c>
      <c r="J128" s="336">
        <v>200</v>
      </c>
      <c r="K128" s="337">
        <v>400</v>
      </c>
      <c r="L128" s="338" t="s">
        <v>417</v>
      </c>
      <c r="M128" s="337" t="s">
        <v>417</v>
      </c>
      <c r="N128" s="338">
        <f>I128+J128</f>
        <v>1899.5</v>
      </c>
      <c r="O128" s="339">
        <f>I128+K128</f>
        <v>2099.5</v>
      </c>
      <c r="P128" s="39"/>
      <c r="Q128" s="197"/>
      <c r="R128" s="197"/>
      <c r="S128" s="197"/>
      <c r="T128" s="197"/>
      <c r="U128" s="197"/>
      <c r="V128" s="197"/>
      <c r="W128" s="197"/>
      <c r="X128" s="197"/>
      <c r="Y128" s="197"/>
      <c r="Z128" s="197"/>
    </row>
    <row r="129" spans="1:26" s="3" customFormat="1" ht="27" customHeight="1" x14ac:dyDescent="0.25">
      <c r="A129" s="148">
        <f t="shared" si="17"/>
        <v>126</v>
      </c>
      <c r="B129" s="19" t="s">
        <v>71</v>
      </c>
      <c r="C129" s="333" t="s">
        <v>106</v>
      </c>
      <c r="D129" s="86" t="s">
        <v>418</v>
      </c>
      <c r="E129" s="86" t="s">
        <v>422</v>
      </c>
      <c r="F129" s="334" t="s">
        <v>106</v>
      </c>
      <c r="G129" s="334" t="s">
        <v>106</v>
      </c>
      <c r="H129" s="334" t="s">
        <v>106</v>
      </c>
      <c r="I129" s="335">
        <v>1196.8800000000001</v>
      </c>
      <c r="J129" s="336">
        <v>200</v>
      </c>
      <c r="K129" s="337">
        <v>400</v>
      </c>
      <c r="L129" s="338" t="s">
        <v>417</v>
      </c>
      <c r="M129" s="337" t="s">
        <v>417</v>
      </c>
      <c r="N129" s="338">
        <f>I129+J129</f>
        <v>1396.88</v>
      </c>
      <c r="O129" s="339">
        <f>I129+K129</f>
        <v>1596.88</v>
      </c>
      <c r="P129" s="39"/>
      <c r="Q129" s="197"/>
      <c r="R129" s="197"/>
      <c r="S129" s="197"/>
      <c r="T129" s="197"/>
      <c r="U129" s="197"/>
      <c r="V129" s="197"/>
      <c r="W129" s="197"/>
      <c r="X129" s="197"/>
      <c r="Y129" s="197"/>
      <c r="Z129" s="197"/>
    </row>
    <row r="130" spans="1:26" s="3" customFormat="1" ht="27" customHeight="1" x14ac:dyDescent="0.25">
      <c r="A130" s="148">
        <f t="shared" si="17"/>
        <v>127</v>
      </c>
      <c r="B130" s="19" t="s">
        <v>71</v>
      </c>
      <c r="C130" s="333" t="s">
        <v>106</v>
      </c>
      <c r="D130" s="86" t="s">
        <v>419</v>
      </c>
      <c r="E130" s="86" t="s">
        <v>423</v>
      </c>
      <c r="F130" s="334" t="s">
        <v>106</v>
      </c>
      <c r="G130" s="334" t="s">
        <v>106</v>
      </c>
      <c r="H130" s="334" t="s">
        <v>106</v>
      </c>
      <c r="I130" s="335">
        <v>2250</v>
      </c>
      <c r="J130" s="336">
        <v>200</v>
      </c>
      <c r="K130" s="337">
        <v>400</v>
      </c>
      <c r="L130" s="338" t="s">
        <v>417</v>
      </c>
      <c r="M130" s="337" t="s">
        <v>417</v>
      </c>
      <c r="N130" s="338">
        <f>I130+J130</f>
        <v>2450</v>
      </c>
      <c r="O130" s="339">
        <f>I130+K130</f>
        <v>2650</v>
      </c>
      <c r="P130" s="39"/>
      <c r="Q130" s="197"/>
      <c r="R130" s="197"/>
      <c r="S130" s="197"/>
      <c r="T130" s="197"/>
      <c r="U130" s="197"/>
      <c r="V130" s="197"/>
      <c r="W130" s="197"/>
      <c r="X130" s="197"/>
      <c r="Y130" s="197"/>
      <c r="Z130" s="197"/>
    </row>
    <row r="131" spans="1:26" s="3" customFormat="1" ht="27" customHeight="1" x14ac:dyDescent="0.25">
      <c r="A131" s="148">
        <f t="shared" si="17"/>
        <v>128</v>
      </c>
      <c r="B131" s="19" t="s">
        <v>71</v>
      </c>
      <c r="C131" s="333" t="s">
        <v>106</v>
      </c>
      <c r="D131" s="86" t="s">
        <v>416</v>
      </c>
      <c r="E131" s="86" t="s">
        <v>424</v>
      </c>
      <c r="F131" s="334" t="s">
        <v>106</v>
      </c>
      <c r="G131" s="334" t="s">
        <v>106</v>
      </c>
      <c r="H131" s="334" t="s">
        <v>106</v>
      </c>
      <c r="I131" s="335">
        <v>2158.5</v>
      </c>
      <c r="J131" s="336">
        <v>200</v>
      </c>
      <c r="K131" s="337">
        <v>400</v>
      </c>
      <c r="L131" s="338" t="s">
        <v>417</v>
      </c>
      <c r="M131" s="337" t="s">
        <v>417</v>
      </c>
      <c r="N131" s="338">
        <f>I131+J131</f>
        <v>2358.5</v>
      </c>
      <c r="O131" s="339">
        <f>I131+K131</f>
        <v>2558.5</v>
      </c>
      <c r="P131" s="39"/>
      <c r="Q131" s="197"/>
      <c r="R131" s="197"/>
      <c r="S131" s="197"/>
      <c r="T131" s="197"/>
      <c r="U131" s="197"/>
      <c r="V131" s="197"/>
      <c r="W131" s="197"/>
      <c r="X131" s="197"/>
      <c r="Y131" s="197"/>
      <c r="Z131" s="197"/>
    </row>
    <row r="132" spans="1:26" s="3" customFormat="1" ht="27" customHeight="1" x14ac:dyDescent="0.25">
      <c r="A132" s="148">
        <f t="shared" si="17"/>
        <v>129</v>
      </c>
      <c r="B132" s="19" t="s">
        <v>71</v>
      </c>
      <c r="C132" s="333" t="s">
        <v>106</v>
      </c>
      <c r="D132" s="86" t="s">
        <v>418</v>
      </c>
      <c r="E132" s="86" t="s">
        <v>425</v>
      </c>
      <c r="F132" s="334" t="s">
        <v>106</v>
      </c>
      <c r="G132" s="334" t="s">
        <v>106</v>
      </c>
      <c r="H132" s="334" t="s">
        <v>106</v>
      </c>
      <c r="I132" s="335">
        <v>1696.88</v>
      </c>
      <c r="J132" s="336">
        <v>200</v>
      </c>
      <c r="K132" s="337">
        <v>400</v>
      </c>
      <c r="L132" s="338" t="s">
        <v>417</v>
      </c>
      <c r="M132" s="337" t="s">
        <v>417</v>
      </c>
      <c r="N132" s="338">
        <f>I132+J132</f>
        <v>1896.88</v>
      </c>
      <c r="O132" s="339">
        <f>I132+K132</f>
        <v>2096.88</v>
      </c>
      <c r="P132" s="39"/>
      <c r="Q132" s="197"/>
      <c r="R132" s="197"/>
      <c r="S132" s="197"/>
      <c r="T132" s="197"/>
      <c r="U132" s="197"/>
      <c r="V132" s="197"/>
      <c r="W132" s="197"/>
      <c r="X132" s="197"/>
      <c r="Y132" s="197"/>
      <c r="Z132" s="197"/>
    </row>
    <row r="133" spans="1:26" s="3" customFormat="1" ht="27" customHeight="1" x14ac:dyDescent="0.25">
      <c r="A133" s="148">
        <f t="shared" si="17"/>
        <v>130</v>
      </c>
      <c r="B133" s="19" t="s">
        <v>71</v>
      </c>
      <c r="C133" s="333" t="s">
        <v>106</v>
      </c>
      <c r="D133" s="86" t="s">
        <v>419</v>
      </c>
      <c r="E133" s="86" t="s">
        <v>426</v>
      </c>
      <c r="F133" s="334" t="s">
        <v>106</v>
      </c>
      <c r="G133" s="334" t="s">
        <v>106</v>
      </c>
      <c r="H133" s="334" t="s">
        <v>106</v>
      </c>
      <c r="I133" s="335">
        <v>2805</v>
      </c>
      <c r="J133" s="336">
        <v>200</v>
      </c>
      <c r="K133" s="337">
        <v>400</v>
      </c>
      <c r="L133" s="338" t="s">
        <v>417</v>
      </c>
      <c r="M133" s="337" t="s">
        <v>417</v>
      </c>
      <c r="N133" s="338">
        <f>I133+J133</f>
        <v>3005</v>
      </c>
      <c r="O133" s="339">
        <f>I133+K133</f>
        <v>3205</v>
      </c>
      <c r="P133" s="39"/>
      <c r="Q133" s="197"/>
      <c r="R133" s="197"/>
      <c r="S133" s="197"/>
      <c r="T133" s="197"/>
      <c r="U133" s="197"/>
      <c r="V133" s="197"/>
      <c r="W133" s="197"/>
      <c r="X133" s="197"/>
      <c r="Y133" s="197"/>
      <c r="Z133" s="197"/>
    </row>
    <row r="134" spans="1:26" s="3" customFormat="1" ht="27" customHeight="1" x14ac:dyDescent="0.25">
      <c r="A134" s="148">
        <f t="shared" si="17"/>
        <v>131</v>
      </c>
      <c r="B134" s="19" t="s">
        <v>71</v>
      </c>
      <c r="C134" s="333" t="s">
        <v>106</v>
      </c>
      <c r="D134" s="86" t="s">
        <v>416</v>
      </c>
      <c r="E134" s="86" t="s">
        <v>427</v>
      </c>
      <c r="F134" s="334" t="s">
        <v>106</v>
      </c>
      <c r="G134" s="334" t="s">
        <v>106</v>
      </c>
      <c r="H134" s="334" t="s">
        <v>106</v>
      </c>
      <c r="I134" s="335">
        <v>2616.5</v>
      </c>
      <c r="J134" s="336">
        <v>200</v>
      </c>
      <c r="K134" s="337">
        <v>400</v>
      </c>
      <c r="L134" s="338" t="s">
        <v>417</v>
      </c>
      <c r="M134" s="337" t="s">
        <v>417</v>
      </c>
      <c r="N134" s="338">
        <f>I134+J134</f>
        <v>2816.5</v>
      </c>
      <c r="O134" s="339">
        <f>I134+K134</f>
        <v>3016.5</v>
      </c>
      <c r="P134" s="39"/>
      <c r="Q134" s="197"/>
      <c r="R134" s="197"/>
      <c r="S134" s="197"/>
      <c r="T134" s="197"/>
      <c r="U134" s="197"/>
      <c r="V134" s="197"/>
      <c r="W134" s="197"/>
      <c r="X134" s="197"/>
      <c r="Y134" s="197"/>
      <c r="Z134" s="197"/>
    </row>
    <row r="135" spans="1:26" s="3" customFormat="1" ht="27" customHeight="1" x14ac:dyDescent="0.25">
      <c r="A135" s="148">
        <f t="shared" ref="A135:A198" si="22">A134+1</f>
        <v>132</v>
      </c>
      <c r="B135" s="19" t="s">
        <v>71</v>
      </c>
      <c r="C135" s="333" t="s">
        <v>106</v>
      </c>
      <c r="D135" s="86" t="s">
        <v>418</v>
      </c>
      <c r="E135" s="86" t="s">
        <v>428</v>
      </c>
      <c r="F135" s="334" t="s">
        <v>106</v>
      </c>
      <c r="G135" s="334" t="s">
        <v>106</v>
      </c>
      <c r="H135" s="334" t="s">
        <v>106</v>
      </c>
      <c r="I135" s="335">
        <v>1117.8800000000001</v>
      </c>
      <c r="J135" s="336">
        <v>200</v>
      </c>
      <c r="K135" s="337">
        <v>400</v>
      </c>
      <c r="L135" s="338" t="s">
        <v>417</v>
      </c>
      <c r="M135" s="337" t="s">
        <v>417</v>
      </c>
      <c r="N135" s="338">
        <f>I135+J135</f>
        <v>1317.88</v>
      </c>
      <c r="O135" s="339">
        <f>I135+K135</f>
        <v>1517.88</v>
      </c>
      <c r="P135" s="39"/>
      <c r="Q135" s="197"/>
      <c r="R135" s="197"/>
      <c r="S135" s="197"/>
      <c r="T135" s="197"/>
      <c r="U135" s="197"/>
      <c r="V135" s="197"/>
      <c r="W135" s="197"/>
      <c r="X135" s="197"/>
      <c r="Y135" s="197"/>
      <c r="Z135" s="197"/>
    </row>
    <row r="136" spans="1:26" s="3" customFormat="1" ht="27" customHeight="1" x14ac:dyDescent="0.25">
      <c r="A136" s="148">
        <f t="shared" si="22"/>
        <v>133</v>
      </c>
      <c r="B136" s="19" t="s">
        <v>71</v>
      </c>
      <c r="C136" s="333" t="s">
        <v>106</v>
      </c>
      <c r="D136" s="86" t="s">
        <v>416</v>
      </c>
      <c r="E136" s="86" t="s">
        <v>429</v>
      </c>
      <c r="F136" s="334" t="s">
        <v>106</v>
      </c>
      <c r="G136" s="334" t="s">
        <v>106</v>
      </c>
      <c r="H136" s="334" t="s">
        <v>106</v>
      </c>
      <c r="I136" s="335">
        <v>1203.5</v>
      </c>
      <c r="J136" s="336">
        <v>200</v>
      </c>
      <c r="K136" s="337">
        <v>400</v>
      </c>
      <c r="L136" s="338" t="s">
        <v>417</v>
      </c>
      <c r="M136" s="337" t="s">
        <v>417</v>
      </c>
      <c r="N136" s="338">
        <f>I136+J136</f>
        <v>1403.5</v>
      </c>
      <c r="O136" s="339">
        <f>I136+K136</f>
        <v>1603.5</v>
      </c>
      <c r="P136" s="39"/>
      <c r="Q136" s="197"/>
      <c r="R136" s="197"/>
      <c r="S136" s="197"/>
      <c r="T136" s="197"/>
      <c r="U136" s="197"/>
      <c r="V136" s="197"/>
      <c r="W136" s="197"/>
      <c r="X136" s="197"/>
      <c r="Y136" s="197"/>
      <c r="Z136" s="197"/>
    </row>
    <row r="137" spans="1:26" s="3" customFormat="1" ht="27" customHeight="1" x14ac:dyDescent="0.25">
      <c r="A137" s="148">
        <f t="shared" si="22"/>
        <v>134</v>
      </c>
      <c r="B137" s="19" t="s">
        <v>71</v>
      </c>
      <c r="C137" s="73" t="s">
        <v>106</v>
      </c>
      <c r="D137" s="74" t="s">
        <v>261</v>
      </c>
      <c r="E137" s="86" t="s">
        <v>430</v>
      </c>
      <c r="F137" s="34" t="s">
        <v>106</v>
      </c>
      <c r="G137" s="34" t="s">
        <v>106</v>
      </c>
      <c r="H137" s="34" t="s">
        <v>106</v>
      </c>
      <c r="I137" s="335">
        <v>531</v>
      </c>
      <c r="J137" s="135">
        <v>200</v>
      </c>
      <c r="K137" s="136">
        <v>400</v>
      </c>
      <c r="L137" s="134" t="s">
        <v>107</v>
      </c>
      <c r="M137" s="136" t="s">
        <v>107</v>
      </c>
      <c r="N137" s="198">
        <f>I137+J137</f>
        <v>731</v>
      </c>
      <c r="O137" s="199">
        <f>I137+K137</f>
        <v>931</v>
      </c>
      <c r="P137" s="39"/>
      <c r="Q137" s="184"/>
      <c r="R137" s="184"/>
      <c r="S137" s="184"/>
      <c r="T137" s="184"/>
      <c r="U137" s="184"/>
      <c r="V137" s="184"/>
      <c r="W137" s="184"/>
      <c r="X137" s="184"/>
      <c r="Y137" s="184"/>
      <c r="Z137" s="184"/>
    </row>
    <row r="138" spans="1:26" s="3" customFormat="1" ht="27" customHeight="1" x14ac:dyDescent="0.25">
      <c r="A138" s="148">
        <f t="shared" si="22"/>
        <v>135</v>
      </c>
      <c r="B138" s="19" t="s">
        <v>71</v>
      </c>
      <c r="C138" s="73" t="s">
        <v>106</v>
      </c>
      <c r="D138" s="74" t="s">
        <v>254</v>
      </c>
      <c r="E138" s="86" t="s">
        <v>431</v>
      </c>
      <c r="F138" s="34" t="s">
        <v>106</v>
      </c>
      <c r="G138" s="34" t="s">
        <v>106</v>
      </c>
      <c r="H138" s="34" t="s">
        <v>106</v>
      </c>
      <c r="I138" s="335">
        <v>1077.27</v>
      </c>
      <c r="J138" s="135">
        <v>200</v>
      </c>
      <c r="K138" s="136">
        <v>400</v>
      </c>
      <c r="L138" s="134" t="s">
        <v>107</v>
      </c>
      <c r="M138" s="136" t="s">
        <v>107</v>
      </c>
      <c r="N138" s="198">
        <f>I138+J138</f>
        <v>1277.27</v>
      </c>
      <c r="O138" s="199">
        <f>I138+K138</f>
        <v>1477.27</v>
      </c>
      <c r="P138" s="39"/>
      <c r="Q138" s="225"/>
      <c r="R138" s="225"/>
      <c r="S138" s="225"/>
      <c r="T138" s="225"/>
      <c r="U138" s="225"/>
      <c r="V138" s="225"/>
      <c r="W138" s="225"/>
      <c r="X138" s="225"/>
      <c r="Y138" s="225"/>
      <c r="Z138" s="225"/>
    </row>
    <row r="139" spans="1:26" s="3" customFormat="1" ht="27" customHeight="1" x14ac:dyDescent="0.25">
      <c r="A139" s="148">
        <f t="shared" si="22"/>
        <v>136</v>
      </c>
      <c r="B139" s="19" t="s">
        <v>71</v>
      </c>
      <c r="C139" s="73" t="s">
        <v>106</v>
      </c>
      <c r="D139" s="74" t="s">
        <v>108</v>
      </c>
      <c r="E139" s="86" t="s">
        <v>432</v>
      </c>
      <c r="F139" s="34" t="s">
        <v>106</v>
      </c>
      <c r="G139" s="34" t="s">
        <v>106</v>
      </c>
      <c r="H139" s="34" t="s">
        <v>106</v>
      </c>
      <c r="I139" s="335">
        <v>460.1</v>
      </c>
      <c r="J139" s="135">
        <v>200</v>
      </c>
      <c r="K139" s="136">
        <v>400</v>
      </c>
      <c r="L139" s="134" t="s">
        <v>107</v>
      </c>
      <c r="M139" s="136" t="s">
        <v>107</v>
      </c>
      <c r="N139" s="198">
        <f>I139+J139</f>
        <v>660.1</v>
      </c>
      <c r="O139" s="199">
        <f>I139+K139</f>
        <v>860.1</v>
      </c>
      <c r="P139" s="39"/>
      <c r="Q139" s="184"/>
      <c r="R139" s="184"/>
      <c r="S139" s="184"/>
      <c r="T139" s="184"/>
      <c r="U139" s="184"/>
      <c r="V139" s="184"/>
      <c r="W139" s="184"/>
      <c r="X139" s="184"/>
      <c r="Y139" s="184"/>
      <c r="Z139" s="184"/>
    </row>
    <row r="140" spans="1:26" s="3" customFormat="1" ht="27" customHeight="1" x14ac:dyDescent="0.25">
      <c r="A140" s="148">
        <f t="shared" si="22"/>
        <v>137</v>
      </c>
      <c r="B140" s="19" t="s">
        <v>71</v>
      </c>
      <c r="C140" s="73" t="s">
        <v>106</v>
      </c>
      <c r="D140" s="74" t="s">
        <v>260</v>
      </c>
      <c r="E140" s="86" t="s">
        <v>433</v>
      </c>
      <c r="F140" s="34" t="s">
        <v>106</v>
      </c>
      <c r="G140" s="34" t="s">
        <v>106</v>
      </c>
      <c r="H140" s="34" t="s">
        <v>106</v>
      </c>
      <c r="I140" s="335">
        <v>1210</v>
      </c>
      <c r="J140" s="135">
        <v>200</v>
      </c>
      <c r="K140" s="136">
        <v>400</v>
      </c>
      <c r="L140" s="134" t="s">
        <v>107</v>
      </c>
      <c r="M140" s="136" t="s">
        <v>107</v>
      </c>
      <c r="N140" s="198">
        <f>I140+J140</f>
        <v>1410</v>
      </c>
      <c r="O140" s="199">
        <f>I140+K140</f>
        <v>1610</v>
      </c>
      <c r="P140" s="39"/>
      <c r="Q140" s="225"/>
      <c r="R140" s="225"/>
      <c r="S140" s="225"/>
      <c r="T140" s="225"/>
      <c r="U140" s="225"/>
      <c r="V140" s="225"/>
      <c r="W140" s="225"/>
      <c r="X140" s="225"/>
      <c r="Y140" s="225"/>
      <c r="Z140" s="225"/>
    </row>
    <row r="141" spans="1:26" s="3" customFormat="1" ht="27" customHeight="1" x14ac:dyDescent="0.25">
      <c r="A141" s="148">
        <f t="shared" si="22"/>
        <v>138</v>
      </c>
      <c r="B141" s="21" t="s">
        <v>437</v>
      </c>
      <c r="C141" s="73" t="s">
        <v>262</v>
      </c>
      <c r="D141" s="74" t="s">
        <v>263</v>
      </c>
      <c r="E141" s="86" t="s">
        <v>264</v>
      </c>
      <c r="F141" s="34">
        <v>0.8</v>
      </c>
      <c r="G141" s="34" t="s">
        <v>106</v>
      </c>
      <c r="H141" s="34">
        <f>20/24</f>
        <v>0.83333333333333337</v>
      </c>
      <c r="I141" s="131">
        <v>12.62</v>
      </c>
      <c r="J141" s="137">
        <v>0</v>
      </c>
      <c r="K141" s="136">
        <v>0</v>
      </c>
      <c r="L141" s="134" t="s">
        <v>107</v>
      </c>
      <c r="M141" s="136" t="s">
        <v>107</v>
      </c>
      <c r="N141" s="140" t="s">
        <v>106</v>
      </c>
      <c r="O141" s="34" t="s">
        <v>106</v>
      </c>
      <c r="P141" s="39"/>
      <c r="Q141" s="184"/>
      <c r="R141" s="184"/>
      <c r="S141" s="184"/>
      <c r="T141" s="184"/>
      <c r="U141" s="184"/>
      <c r="V141" s="184"/>
      <c r="W141" s="184"/>
      <c r="X141" s="184"/>
      <c r="Y141" s="184"/>
      <c r="Z141" s="184"/>
    </row>
    <row r="142" spans="1:26" s="3" customFormat="1" ht="27" customHeight="1" x14ac:dyDescent="0.25">
      <c r="A142" s="148">
        <f t="shared" si="22"/>
        <v>139</v>
      </c>
      <c r="B142" s="21" t="s">
        <v>437</v>
      </c>
      <c r="C142" s="73" t="s">
        <v>262</v>
      </c>
      <c r="D142" s="74" t="s">
        <v>265</v>
      </c>
      <c r="E142" s="86" t="s">
        <v>266</v>
      </c>
      <c r="F142" s="34">
        <v>0.9</v>
      </c>
      <c r="G142" s="34" t="s">
        <v>106</v>
      </c>
      <c r="H142" s="34">
        <f>21/24</f>
        <v>0.875</v>
      </c>
      <c r="I142" s="131">
        <v>5.99</v>
      </c>
      <c r="J142" s="137">
        <v>0</v>
      </c>
      <c r="K142" s="136">
        <v>0</v>
      </c>
      <c r="L142" s="134" t="s">
        <v>107</v>
      </c>
      <c r="M142" s="136" t="s">
        <v>107</v>
      </c>
      <c r="N142" s="131">
        <v>7.5</v>
      </c>
      <c r="O142" s="4">
        <v>7.5</v>
      </c>
      <c r="P142" s="39"/>
      <c r="Q142" s="195"/>
      <c r="R142" s="195"/>
      <c r="S142" s="195"/>
      <c r="T142" s="195"/>
      <c r="U142" s="195"/>
      <c r="V142" s="195"/>
      <c r="W142" s="195"/>
      <c r="X142" s="195"/>
      <c r="Y142" s="195"/>
      <c r="Z142" s="195"/>
    </row>
    <row r="143" spans="1:26" s="3" customFormat="1" ht="27" customHeight="1" x14ac:dyDescent="0.25">
      <c r="A143" s="148">
        <f t="shared" si="22"/>
        <v>140</v>
      </c>
      <c r="B143" s="21" t="s">
        <v>437</v>
      </c>
      <c r="C143" s="73" t="s">
        <v>262</v>
      </c>
      <c r="D143" s="74" t="s">
        <v>267</v>
      </c>
      <c r="E143" s="86" t="s">
        <v>268</v>
      </c>
      <c r="F143" s="34">
        <v>0.9</v>
      </c>
      <c r="G143" s="34" t="s">
        <v>106</v>
      </c>
      <c r="H143" s="34">
        <f>20/24</f>
        <v>0.83333333333333337</v>
      </c>
      <c r="I143" s="131">
        <v>6.4</v>
      </c>
      <c r="J143" s="137">
        <v>0</v>
      </c>
      <c r="K143" s="136">
        <v>0</v>
      </c>
      <c r="L143" s="134" t="s">
        <v>107</v>
      </c>
      <c r="M143" s="136" t="s">
        <v>107</v>
      </c>
      <c r="N143" s="131">
        <v>7.5</v>
      </c>
      <c r="O143" s="4">
        <v>7.5</v>
      </c>
      <c r="P143" s="39"/>
      <c r="Q143" s="195"/>
      <c r="R143" s="195"/>
      <c r="S143" s="195"/>
      <c r="T143" s="195"/>
      <c r="U143" s="195"/>
      <c r="V143" s="195"/>
      <c r="W143" s="195"/>
      <c r="X143" s="195"/>
      <c r="Y143" s="195"/>
      <c r="Z143" s="195"/>
    </row>
    <row r="144" spans="1:26" s="3" customFormat="1" ht="27" customHeight="1" x14ac:dyDescent="0.25">
      <c r="A144" s="148">
        <f t="shared" si="22"/>
        <v>141</v>
      </c>
      <c r="B144" s="21" t="s">
        <v>437</v>
      </c>
      <c r="C144" s="73" t="s">
        <v>262</v>
      </c>
      <c r="D144" s="74" t="s">
        <v>269</v>
      </c>
      <c r="E144" s="86" t="s">
        <v>270</v>
      </c>
      <c r="F144" s="34">
        <v>0.91</v>
      </c>
      <c r="G144" s="34" t="s">
        <v>106</v>
      </c>
      <c r="H144" s="34">
        <f>17/24</f>
        <v>0.70833333333333337</v>
      </c>
      <c r="I144" s="131">
        <v>4.78</v>
      </c>
      <c r="J144" s="137">
        <v>0</v>
      </c>
      <c r="K144" s="136">
        <v>0</v>
      </c>
      <c r="L144" s="134" t="s">
        <v>107</v>
      </c>
      <c r="M144" s="136" t="s">
        <v>107</v>
      </c>
      <c r="N144" s="131">
        <v>9</v>
      </c>
      <c r="O144" s="4">
        <v>9</v>
      </c>
      <c r="P144" s="39"/>
      <c r="Q144" s="195"/>
      <c r="R144" s="195"/>
      <c r="S144" s="195"/>
      <c r="T144" s="195"/>
      <c r="U144" s="195"/>
      <c r="V144" s="195"/>
      <c r="W144" s="195"/>
      <c r="X144" s="195"/>
      <c r="Y144" s="195"/>
      <c r="Z144" s="195"/>
    </row>
    <row r="145" spans="1:26" s="3" customFormat="1" ht="27" customHeight="1" x14ac:dyDescent="0.25">
      <c r="A145" s="148">
        <f t="shared" si="22"/>
        <v>142</v>
      </c>
      <c r="B145" s="21" t="s">
        <v>437</v>
      </c>
      <c r="C145" s="73" t="s">
        <v>262</v>
      </c>
      <c r="D145" s="74" t="s">
        <v>265</v>
      </c>
      <c r="E145" s="86" t="s">
        <v>271</v>
      </c>
      <c r="F145" s="34">
        <v>1.67</v>
      </c>
      <c r="G145" s="34" t="s">
        <v>106</v>
      </c>
      <c r="H145" s="34">
        <f>35/24</f>
        <v>1.4583333333333333</v>
      </c>
      <c r="I145" s="131">
        <v>9.4</v>
      </c>
      <c r="J145" s="137">
        <v>0</v>
      </c>
      <c r="K145" s="136">
        <v>0</v>
      </c>
      <c r="L145" s="134" t="s">
        <v>107</v>
      </c>
      <c r="M145" s="136" t="s">
        <v>107</v>
      </c>
      <c r="N145" s="131">
        <v>8.6999999999999993</v>
      </c>
      <c r="O145" s="4">
        <v>8.6999999999999993</v>
      </c>
      <c r="P145" s="39"/>
      <c r="Q145" s="195"/>
      <c r="R145" s="195"/>
      <c r="S145" s="195"/>
      <c r="T145" s="195"/>
      <c r="U145" s="195"/>
      <c r="V145" s="195"/>
      <c r="W145" s="195"/>
      <c r="X145" s="195"/>
      <c r="Y145" s="195"/>
      <c r="Z145" s="195"/>
    </row>
    <row r="146" spans="1:26" s="3" customFormat="1" ht="27" customHeight="1" x14ac:dyDescent="0.25">
      <c r="A146" s="148">
        <f t="shared" si="22"/>
        <v>143</v>
      </c>
      <c r="B146" s="21" t="s">
        <v>437</v>
      </c>
      <c r="C146" s="73" t="s">
        <v>262</v>
      </c>
      <c r="D146" s="74" t="s">
        <v>267</v>
      </c>
      <c r="E146" s="86" t="s">
        <v>272</v>
      </c>
      <c r="F146" s="34">
        <v>1.7</v>
      </c>
      <c r="G146" s="34" t="s">
        <v>106</v>
      </c>
      <c r="H146" s="34">
        <f>38/24</f>
        <v>1.5833333333333333</v>
      </c>
      <c r="I146" s="131">
        <v>7.99</v>
      </c>
      <c r="J146" s="137">
        <v>0</v>
      </c>
      <c r="K146" s="136">
        <v>0</v>
      </c>
      <c r="L146" s="134" t="s">
        <v>107</v>
      </c>
      <c r="M146" s="136" t="s">
        <v>107</v>
      </c>
      <c r="N146" s="131">
        <v>11.5</v>
      </c>
      <c r="O146" s="4">
        <v>11.5</v>
      </c>
      <c r="P146" s="39"/>
      <c r="Q146" s="195"/>
      <c r="R146" s="195"/>
      <c r="S146" s="195"/>
      <c r="T146" s="195"/>
      <c r="U146" s="195"/>
      <c r="V146" s="195"/>
      <c r="W146" s="195"/>
      <c r="X146" s="195"/>
      <c r="Y146" s="195"/>
      <c r="Z146" s="195"/>
    </row>
    <row r="147" spans="1:26" s="3" customFormat="1" ht="27" customHeight="1" x14ac:dyDescent="0.25">
      <c r="A147" s="148">
        <f t="shared" si="22"/>
        <v>144</v>
      </c>
      <c r="B147" s="21" t="s">
        <v>437</v>
      </c>
      <c r="C147" s="73" t="s">
        <v>262</v>
      </c>
      <c r="D147" s="74" t="s">
        <v>269</v>
      </c>
      <c r="E147" s="86" t="s">
        <v>273</v>
      </c>
      <c r="F147" s="34">
        <v>1.44</v>
      </c>
      <c r="G147" s="34" t="s">
        <v>106</v>
      </c>
      <c r="H147" s="34">
        <f>39/24</f>
        <v>1.625</v>
      </c>
      <c r="I147" s="131">
        <v>6.59</v>
      </c>
      <c r="J147" s="137">
        <v>0</v>
      </c>
      <c r="K147" s="136">
        <v>0</v>
      </c>
      <c r="L147" s="134" t="s">
        <v>107</v>
      </c>
      <c r="M147" s="136" t="s">
        <v>107</v>
      </c>
      <c r="N147" s="131">
        <v>14</v>
      </c>
      <c r="O147" s="4">
        <v>14</v>
      </c>
      <c r="P147" s="39"/>
      <c r="Q147" s="195"/>
      <c r="R147" s="195"/>
      <c r="S147" s="195"/>
      <c r="T147" s="195"/>
      <c r="U147" s="195"/>
      <c r="V147" s="195"/>
      <c r="W147" s="195"/>
      <c r="X147" s="195"/>
      <c r="Y147" s="195"/>
      <c r="Z147" s="195"/>
    </row>
    <row r="148" spans="1:26" s="3" customFormat="1" ht="27" customHeight="1" x14ac:dyDescent="0.25">
      <c r="A148" s="148">
        <f t="shared" si="22"/>
        <v>145</v>
      </c>
      <c r="B148" s="21" t="s">
        <v>437</v>
      </c>
      <c r="C148" s="73" t="s">
        <v>262</v>
      </c>
      <c r="D148" s="74" t="s">
        <v>161</v>
      </c>
      <c r="E148" s="86" t="s">
        <v>274</v>
      </c>
      <c r="F148" s="34">
        <v>1.18</v>
      </c>
      <c r="G148" s="34" t="s">
        <v>106</v>
      </c>
      <c r="H148" s="34">
        <f>34/24</f>
        <v>1.4166666666666667</v>
      </c>
      <c r="I148" s="131">
        <v>125</v>
      </c>
      <c r="J148" s="137">
        <v>0</v>
      </c>
      <c r="K148" s="136">
        <v>0</v>
      </c>
      <c r="L148" s="134" t="s">
        <v>107</v>
      </c>
      <c r="M148" s="136" t="s">
        <v>107</v>
      </c>
      <c r="N148" s="131">
        <v>11.5</v>
      </c>
      <c r="O148" s="4">
        <v>11.5</v>
      </c>
      <c r="P148" s="39"/>
      <c r="Q148" s="195"/>
      <c r="R148" s="195"/>
      <c r="S148" s="195"/>
      <c r="T148" s="195"/>
      <c r="U148" s="195"/>
      <c r="V148" s="195"/>
      <c r="W148" s="195"/>
      <c r="X148" s="195"/>
      <c r="Y148" s="195"/>
      <c r="Z148" s="195"/>
    </row>
    <row r="149" spans="1:26" s="3" customFormat="1" ht="27" customHeight="1" x14ac:dyDescent="0.25">
      <c r="A149" s="148">
        <f t="shared" si="22"/>
        <v>146</v>
      </c>
      <c r="B149" s="21" t="s">
        <v>437</v>
      </c>
      <c r="C149" s="73" t="s">
        <v>262</v>
      </c>
      <c r="D149" s="74" t="s">
        <v>263</v>
      </c>
      <c r="E149" s="86" t="s">
        <v>275</v>
      </c>
      <c r="F149" s="34">
        <v>2.46</v>
      </c>
      <c r="G149" s="34" t="s">
        <v>106</v>
      </c>
      <c r="H149" s="34">
        <f>50/24</f>
        <v>2.0833333333333335</v>
      </c>
      <c r="I149" s="131">
        <v>16.8</v>
      </c>
      <c r="J149" s="137">
        <v>0</v>
      </c>
      <c r="K149" s="136">
        <v>0</v>
      </c>
      <c r="L149" s="134" t="s">
        <v>107</v>
      </c>
      <c r="M149" s="136" t="s">
        <v>107</v>
      </c>
      <c r="N149" s="131">
        <f>102/0.855</f>
        <v>119.2982456140351</v>
      </c>
      <c r="O149" s="4">
        <f>102/0.855</f>
        <v>119.2982456140351</v>
      </c>
      <c r="P149" s="39"/>
      <c r="Q149" s="195"/>
      <c r="R149" s="195"/>
      <c r="S149" s="195"/>
      <c r="T149" s="195"/>
      <c r="U149" s="195"/>
      <c r="V149" s="195"/>
      <c r="W149" s="195"/>
      <c r="X149" s="195"/>
      <c r="Y149" s="195"/>
      <c r="Z149" s="195"/>
    </row>
    <row r="150" spans="1:26" s="3" customFormat="1" ht="27" customHeight="1" x14ac:dyDescent="0.25">
      <c r="A150" s="148">
        <f t="shared" si="22"/>
        <v>147</v>
      </c>
      <c r="B150" s="21" t="s">
        <v>437</v>
      </c>
      <c r="C150" s="73" t="s">
        <v>262</v>
      </c>
      <c r="D150" s="74" t="s">
        <v>265</v>
      </c>
      <c r="E150" s="86" t="s">
        <v>276</v>
      </c>
      <c r="F150" s="34">
        <v>2.9</v>
      </c>
      <c r="G150" s="34" t="s">
        <v>106</v>
      </c>
      <c r="H150" s="34">
        <f>51/24</f>
        <v>2.125</v>
      </c>
      <c r="I150" s="131">
        <v>12.05</v>
      </c>
      <c r="J150" s="137">
        <v>0</v>
      </c>
      <c r="K150" s="136">
        <v>0</v>
      </c>
      <c r="L150" s="134" t="s">
        <v>107</v>
      </c>
      <c r="M150" s="136" t="s">
        <v>107</v>
      </c>
      <c r="N150" s="131">
        <v>12</v>
      </c>
      <c r="O150" s="4">
        <v>12</v>
      </c>
      <c r="P150" s="39"/>
      <c r="Q150" s="195"/>
      <c r="R150" s="195"/>
      <c r="S150" s="195"/>
      <c r="T150" s="195"/>
      <c r="U150" s="195"/>
      <c r="V150" s="195"/>
      <c r="W150" s="195"/>
      <c r="X150" s="195"/>
      <c r="Y150" s="195"/>
      <c r="Z150" s="195"/>
    </row>
    <row r="151" spans="1:26" s="3" customFormat="1" ht="27" customHeight="1" x14ac:dyDescent="0.25">
      <c r="A151" s="148">
        <f t="shared" si="22"/>
        <v>148</v>
      </c>
      <c r="B151" s="21" t="s">
        <v>437</v>
      </c>
      <c r="C151" s="73" t="s">
        <v>262</v>
      </c>
      <c r="D151" s="74" t="s">
        <v>267</v>
      </c>
      <c r="E151" s="86" t="s">
        <v>277</v>
      </c>
      <c r="F151" s="34">
        <v>2.6</v>
      </c>
      <c r="G151" s="34" t="s">
        <v>106</v>
      </c>
      <c r="H151" s="34">
        <f>43/24</f>
        <v>1.7916666666666667</v>
      </c>
      <c r="I151" s="131">
        <v>15</v>
      </c>
      <c r="J151" s="137">
        <v>0</v>
      </c>
      <c r="K151" s="136">
        <v>0</v>
      </c>
      <c r="L151" s="134" t="s">
        <v>107</v>
      </c>
      <c r="M151" s="136" t="s">
        <v>107</v>
      </c>
      <c r="N151" s="131">
        <v>12.05</v>
      </c>
      <c r="O151" s="4">
        <v>12.05</v>
      </c>
      <c r="P151" s="39"/>
      <c r="Q151" s="195"/>
      <c r="R151" s="195"/>
      <c r="S151" s="195"/>
      <c r="T151" s="195"/>
      <c r="U151" s="195"/>
      <c r="V151" s="195"/>
      <c r="W151" s="195"/>
      <c r="X151" s="195"/>
      <c r="Y151" s="195"/>
      <c r="Z151" s="195"/>
    </row>
    <row r="152" spans="1:26" s="3" customFormat="1" ht="27" customHeight="1" x14ac:dyDescent="0.25">
      <c r="A152" s="148">
        <f t="shared" si="22"/>
        <v>149</v>
      </c>
      <c r="B152" s="21" t="s">
        <v>437</v>
      </c>
      <c r="C152" s="73" t="s">
        <v>262</v>
      </c>
      <c r="D152" s="74" t="s">
        <v>269</v>
      </c>
      <c r="E152" s="86" t="s">
        <v>278</v>
      </c>
      <c r="F152" s="34">
        <v>2.74</v>
      </c>
      <c r="G152" s="34" t="s">
        <v>106</v>
      </c>
      <c r="H152" s="34">
        <f>46/24</f>
        <v>1.9166666666666667</v>
      </c>
      <c r="I152" s="131">
        <v>8.7200000000000006</v>
      </c>
      <c r="J152" s="137">
        <v>0</v>
      </c>
      <c r="K152" s="136">
        <v>0</v>
      </c>
      <c r="L152" s="134" t="s">
        <v>107</v>
      </c>
      <c r="M152" s="136" t="s">
        <v>107</v>
      </c>
      <c r="N152" s="131">
        <v>16</v>
      </c>
      <c r="O152" s="4">
        <v>16</v>
      </c>
      <c r="P152" s="39"/>
      <c r="Q152" s="195"/>
      <c r="R152" s="195"/>
      <c r="S152" s="195"/>
      <c r="T152" s="195"/>
      <c r="U152" s="195"/>
      <c r="V152" s="195"/>
      <c r="W152" s="195"/>
      <c r="X152" s="195"/>
      <c r="Y152" s="195"/>
      <c r="Z152" s="195"/>
    </row>
    <row r="153" spans="1:26" s="3" customFormat="1" ht="27" customHeight="1" x14ac:dyDescent="0.25">
      <c r="A153" s="148">
        <f t="shared" si="22"/>
        <v>150</v>
      </c>
      <c r="B153" s="21" t="s">
        <v>437</v>
      </c>
      <c r="C153" s="73" t="s">
        <v>262</v>
      </c>
      <c r="D153" s="74" t="s">
        <v>161</v>
      </c>
      <c r="E153" s="86" t="s">
        <v>279</v>
      </c>
      <c r="F153" s="34">
        <v>3</v>
      </c>
      <c r="G153" s="34" t="s">
        <v>106</v>
      </c>
      <c r="H153" s="34">
        <f>30/24</f>
        <v>1.25</v>
      </c>
      <c r="I153" s="131">
        <v>268</v>
      </c>
      <c r="J153" s="137">
        <v>0</v>
      </c>
      <c r="K153" s="136">
        <v>0</v>
      </c>
      <c r="L153" s="134" t="s">
        <v>107</v>
      </c>
      <c r="M153" s="136" t="s">
        <v>107</v>
      </c>
      <c r="N153" s="131">
        <v>15.8</v>
      </c>
      <c r="O153" s="4">
        <v>15.8</v>
      </c>
      <c r="P153" s="39"/>
      <c r="Q153" s="184"/>
      <c r="R153" s="184"/>
      <c r="S153" s="184"/>
      <c r="T153" s="184"/>
      <c r="U153" s="184"/>
      <c r="V153" s="184"/>
      <c r="W153" s="184"/>
      <c r="X153" s="184"/>
      <c r="Y153" s="184"/>
      <c r="Z153" s="184"/>
    </row>
    <row r="154" spans="1:26" s="3" customFormat="1" ht="27" customHeight="1" x14ac:dyDescent="0.25">
      <c r="A154" s="148">
        <f t="shared" si="22"/>
        <v>151</v>
      </c>
      <c r="B154" s="21" t="s">
        <v>437</v>
      </c>
      <c r="C154" s="73" t="s">
        <v>262</v>
      </c>
      <c r="D154" s="74" t="s">
        <v>267</v>
      </c>
      <c r="E154" s="86" t="s">
        <v>280</v>
      </c>
      <c r="F154" s="34">
        <v>3.4</v>
      </c>
      <c r="G154" s="34" t="s">
        <v>106</v>
      </c>
      <c r="H154" s="34">
        <f>43/24</f>
        <v>1.7916666666666667</v>
      </c>
      <c r="I154" s="131">
        <v>15</v>
      </c>
      <c r="J154" s="137">
        <v>0</v>
      </c>
      <c r="K154" s="136">
        <v>0</v>
      </c>
      <c r="L154" s="134" t="s">
        <v>107</v>
      </c>
      <c r="M154" s="136" t="s">
        <v>107</v>
      </c>
      <c r="N154" s="131">
        <f>246/0.855</f>
        <v>287.71929824561403</v>
      </c>
      <c r="O154" s="4">
        <f>246/0.855</f>
        <v>287.71929824561403</v>
      </c>
      <c r="P154" s="39"/>
      <c r="Q154" s="184"/>
      <c r="R154" s="184"/>
      <c r="S154" s="184"/>
      <c r="T154" s="184"/>
      <c r="U154" s="184"/>
      <c r="V154" s="184"/>
      <c r="W154" s="184"/>
      <c r="X154" s="184"/>
      <c r="Y154" s="184"/>
      <c r="Z154" s="184"/>
    </row>
    <row r="155" spans="1:26" s="3" customFormat="1" ht="27" customHeight="1" x14ac:dyDescent="0.25">
      <c r="A155" s="148">
        <f t="shared" si="22"/>
        <v>152</v>
      </c>
      <c r="B155" s="21" t="s">
        <v>436</v>
      </c>
      <c r="C155" s="73" t="s">
        <v>262</v>
      </c>
      <c r="D155" s="74" t="s">
        <v>263</v>
      </c>
      <c r="E155" s="86" t="s">
        <v>281</v>
      </c>
      <c r="F155" s="34">
        <v>1.5</v>
      </c>
      <c r="G155" s="34" t="s">
        <v>106</v>
      </c>
      <c r="H155" s="34">
        <v>1.4166666666666667</v>
      </c>
      <c r="I155" s="131">
        <v>51</v>
      </c>
      <c r="J155" s="137">
        <v>0</v>
      </c>
      <c r="K155" s="136">
        <v>0</v>
      </c>
      <c r="L155" s="134" t="s">
        <v>107</v>
      </c>
      <c r="M155" s="136" t="s">
        <v>107</v>
      </c>
      <c r="N155" s="131">
        <v>21</v>
      </c>
      <c r="O155" s="4">
        <v>21</v>
      </c>
      <c r="P155" s="39"/>
      <c r="Q155" s="225"/>
      <c r="R155" s="225"/>
      <c r="S155" s="225"/>
      <c r="T155" s="225"/>
      <c r="U155" s="225"/>
      <c r="V155" s="225"/>
      <c r="W155" s="225"/>
      <c r="X155" s="225"/>
      <c r="Y155" s="225"/>
      <c r="Z155" s="225"/>
    </row>
    <row r="156" spans="1:26" s="3" customFormat="1" ht="27" customHeight="1" x14ac:dyDescent="0.25">
      <c r="A156" s="148">
        <f t="shared" si="22"/>
        <v>153</v>
      </c>
      <c r="B156" s="21" t="s">
        <v>436</v>
      </c>
      <c r="C156" s="73" t="s">
        <v>262</v>
      </c>
      <c r="D156" s="74" t="s">
        <v>282</v>
      </c>
      <c r="E156" s="86" t="s">
        <v>283</v>
      </c>
      <c r="F156" s="34">
        <v>1.6</v>
      </c>
      <c r="G156" s="34" t="s">
        <v>106</v>
      </c>
      <c r="H156" s="34">
        <v>1.25</v>
      </c>
      <c r="I156" s="131">
        <v>55</v>
      </c>
      <c r="J156" s="137">
        <v>0</v>
      </c>
      <c r="K156" s="136">
        <v>0</v>
      </c>
      <c r="L156" s="134" t="s">
        <v>107</v>
      </c>
      <c r="M156" s="136" t="s">
        <v>107</v>
      </c>
      <c r="N156" s="134">
        <v>51</v>
      </c>
      <c r="O156" s="4">
        <v>51</v>
      </c>
      <c r="P156" s="39"/>
      <c r="Q156" s="39"/>
      <c r="R156" s="39"/>
      <c r="S156" s="39"/>
      <c r="T156" s="39"/>
      <c r="U156" s="39"/>
      <c r="V156" s="39"/>
      <c r="W156" s="39"/>
      <c r="X156" s="39"/>
      <c r="Y156" s="39"/>
      <c r="Z156" s="39"/>
    </row>
    <row r="157" spans="1:26" s="3" customFormat="1" ht="27" customHeight="1" x14ac:dyDescent="0.25">
      <c r="A157" s="148">
        <f t="shared" si="22"/>
        <v>154</v>
      </c>
      <c r="B157" s="21" t="s">
        <v>436</v>
      </c>
      <c r="C157" s="73" t="s">
        <v>262</v>
      </c>
      <c r="D157" s="74" t="s">
        <v>284</v>
      </c>
      <c r="E157" s="86" t="s">
        <v>285</v>
      </c>
      <c r="F157" s="34">
        <v>1.7</v>
      </c>
      <c r="G157" s="34" t="s">
        <v>106</v>
      </c>
      <c r="H157" s="34">
        <f>33.7/24</f>
        <v>1.4041666666666668</v>
      </c>
      <c r="I157" s="131">
        <v>45</v>
      </c>
      <c r="J157" s="137">
        <v>0</v>
      </c>
      <c r="K157" s="136">
        <v>0</v>
      </c>
      <c r="L157" s="134" t="s">
        <v>107</v>
      </c>
      <c r="M157" s="136" t="s">
        <v>107</v>
      </c>
      <c r="N157" s="134">
        <v>45</v>
      </c>
      <c r="O157" s="4">
        <v>45</v>
      </c>
      <c r="P157" s="39"/>
      <c r="Q157" s="39"/>
      <c r="R157" s="39"/>
      <c r="S157" s="39"/>
      <c r="T157" s="39"/>
      <c r="U157" s="39"/>
      <c r="V157" s="39"/>
      <c r="W157" s="39"/>
      <c r="X157" s="39"/>
      <c r="Y157" s="39"/>
      <c r="Z157" s="39"/>
    </row>
    <row r="158" spans="1:26" s="3" customFormat="1" ht="27" customHeight="1" x14ac:dyDescent="0.25">
      <c r="A158" s="148">
        <f t="shared" si="22"/>
        <v>155</v>
      </c>
      <c r="B158" s="196" t="s">
        <v>286</v>
      </c>
      <c r="C158" s="73" t="s">
        <v>287</v>
      </c>
      <c r="D158" s="74" t="s">
        <v>265</v>
      </c>
      <c r="E158" s="86" t="s">
        <v>288</v>
      </c>
      <c r="F158" s="34">
        <v>8</v>
      </c>
      <c r="G158" s="34" t="s">
        <v>106</v>
      </c>
      <c r="H158" s="34">
        <f>84/24</f>
        <v>3.5</v>
      </c>
      <c r="I158" s="131">
        <v>74</v>
      </c>
      <c r="J158" s="137">
        <v>0</v>
      </c>
      <c r="K158" s="136">
        <v>0</v>
      </c>
      <c r="L158" s="134" t="s">
        <v>107</v>
      </c>
      <c r="M158" s="136" t="s">
        <v>107</v>
      </c>
      <c r="N158" s="131">
        <v>130</v>
      </c>
      <c r="O158" s="4">
        <v>130</v>
      </c>
      <c r="P158" s="39"/>
      <c r="Q158" s="39"/>
      <c r="R158" s="39"/>
      <c r="S158" s="39"/>
      <c r="T158" s="39"/>
      <c r="U158" s="39"/>
      <c r="V158" s="39"/>
      <c r="W158" s="39"/>
      <c r="X158" s="39"/>
      <c r="Y158" s="39"/>
      <c r="Z158" s="39"/>
    </row>
    <row r="159" spans="1:26" s="3" customFormat="1" ht="27" customHeight="1" x14ac:dyDescent="0.25">
      <c r="A159" s="148">
        <f t="shared" si="22"/>
        <v>156</v>
      </c>
      <c r="B159" s="196" t="s">
        <v>286</v>
      </c>
      <c r="C159" s="73" t="s">
        <v>287</v>
      </c>
      <c r="D159" s="74" t="s">
        <v>267</v>
      </c>
      <c r="E159" s="86" t="s">
        <v>289</v>
      </c>
      <c r="F159" s="34">
        <v>7</v>
      </c>
      <c r="G159" s="34" t="s">
        <v>106</v>
      </c>
      <c r="H159" s="34">
        <f>89/24</f>
        <v>3.7083333333333335</v>
      </c>
      <c r="I159" s="131">
        <v>67</v>
      </c>
      <c r="J159" s="137">
        <v>0</v>
      </c>
      <c r="K159" s="136">
        <v>0</v>
      </c>
      <c r="L159" s="134" t="s">
        <v>107</v>
      </c>
      <c r="M159" s="136" t="s">
        <v>107</v>
      </c>
      <c r="N159" s="131">
        <v>100</v>
      </c>
      <c r="O159" s="4">
        <v>100</v>
      </c>
      <c r="P159" s="39"/>
      <c r="Q159" s="39"/>
      <c r="R159" s="39"/>
      <c r="S159" s="39"/>
      <c r="T159" s="39"/>
      <c r="U159" s="39"/>
      <c r="V159" s="39"/>
      <c r="W159" s="39"/>
      <c r="X159" s="39"/>
      <c r="Y159" s="39"/>
      <c r="Z159" s="39"/>
    </row>
    <row r="160" spans="1:26" s="3" customFormat="1" ht="27" customHeight="1" x14ac:dyDescent="0.25">
      <c r="A160" s="148">
        <f t="shared" si="22"/>
        <v>157</v>
      </c>
      <c r="B160" s="196" t="s">
        <v>286</v>
      </c>
      <c r="C160" s="73" t="s">
        <v>287</v>
      </c>
      <c r="D160" s="74" t="s">
        <v>269</v>
      </c>
      <c r="E160" s="86" t="s">
        <v>290</v>
      </c>
      <c r="F160" s="34">
        <v>15</v>
      </c>
      <c r="G160" s="34" t="s">
        <v>106</v>
      </c>
      <c r="H160" s="34">
        <f>53/24</f>
        <v>2.2083333333333335</v>
      </c>
      <c r="I160" s="131">
        <v>48</v>
      </c>
      <c r="J160" s="137">
        <v>0</v>
      </c>
      <c r="K160" s="136">
        <v>0</v>
      </c>
      <c r="L160" s="134" t="s">
        <v>107</v>
      </c>
      <c r="M160" s="136" t="s">
        <v>107</v>
      </c>
      <c r="N160" s="131">
        <v>100</v>
      </c>
      <c r="O160" s="4">
        <v>100</v>
      </c>
      <c r="P160" s="39"/>
      <c r="Q160" s="39"/>
      <c r="R160" s="39"/>
      <c r="S160" s="39"/>
      <c r="T160" s="39"/>
      <c r="U160" s="39"/>
      <c r="V160" s="39"/>
      <c r="W160" s="39"/>
      <c r="X160" s="39"/>
      <c r="Y160" s="39"/>
      <c r="Z160" s="39"/>
    </row>
    <row r="161" spans="1:26" s="3" customFormat="1" ht="27" customHeight="1" x14ac:dyDescent="0.25">
      <c r="A161" s="148">
        <f t="shared" si="22"/>
        <v>158</v>
      </c>
      <c r="B161" s="196" t="s">
        <v>286</v>
      </c>
      <c r="C161" s="73" t="s">
        <v>287</v>
      </c>
      <c r="D161" s="74" t="s">
        <v>161</v>
      </c>
      <c r="E161" s="86" t="s">
        <v>291</v>
      </c>
      <c r="F161" s="34">
        <v>6</v>
      </c>
      <c r="G161" s="34" t="s">
        <v>106</v>
      </c>
      <c r="H161" s="34">
        <f>57/24</f>
        <v>2.375</v>
      </c>
      <c r="I161" s="131">
        <v>336</v>
      </c>
      <c r="J161" s="137">
        <v>0</v>
      </c>
      <c r="K161" s="136">
        <v>0</v>
      </c>
      <c r="L161" s="134" t="s">
        <v>107</v>
      </c>
      <c r="M161" s="136" t="s">
        <v>107</v>
      </c>
      <c r="N161" s="131">
        <f>280/0.855</f>
        <v>327.48538011695905</v>
      </c>
      <c r="O161" s="4">
        <f>280/0.855</f>
        <v>327.48538011695905</v>
      </c>
      <c r="P161" s="39"/>
      <c r="Q161" s="39"/>
      <c r="R161" s="39"/>
      <c r="S161" s="39"/>
      <c r="T161" s="39"/>
      <c r="U161" s="39"/>
      <c r="V161" s="39"/>
      <c r="W161" s="39"/>
      <c r="X161" s="39"/>
      <c r="Y161" s="39"/>
      <c r="Z161" s="39"/>
    </row>
    <row r="162" spans="1:26" s="3" customFormat="1" ht="27" customHeight="1" x14ac:dyDescent="0.25">
      <c r="A162" s="148">
        <f t="shared" si="22"/>
        <v>159</v>
      </c>
      <c r="B162" s="196" t="s">
        <v>286</v>
      </c>
      <c r="C162" s="73" t="s">
        <v>287</v>
      </c>
      <c r="D162" s="74" t="s">
        <v>263</v>
      </c>
      <c r="E162" s="86" t="s">
        <v>292</v>
      </c>
      <c r="F162" s="34">
        <v>6</v>
      </c>
      <c r="G162" s="34" t="s">
        <v>106</v>
      </c>
      <c r="H162" s="34">
        <f>132/24</f>
        <v>5.5</v>
      </c>
      <c r="I162" s="131">
        <v>81</v>
      </c>
      <c r="J162" s="137">
        <v>0</v>
      </c>
      <c r="K162" s="136">
        <v>0</v>
      </c>
      <c r="L162" s="134" t="s">
        <v>107</v>
      </c>
      <c r="M162" s="136" t="s">
        <v>107</v>
      </c>
      <c r="N162" s="131">
        <v>85</v>
      </c>
      <c r="O162" s="4">
        <v>85</v>
      </c>
      <c r="P162" s="39"/>
      <c r="Q162" s="39"/>
      <c r="R162" s="39"/>
      <c r="S162" s="39"/>
      <c r="T162" s="39"/>
      <c r="U162" s="39"/>
      <c r="V162" s="39"/>
      <c r="W162" s="39"/>
      <c r="X162" s="39"/>
      <c r="Y162" s="39"/>
      <c r="Z162" s="39"/>
    </row>
    <row r="163" spans="1:26" s="3" customFormat="1" ht="27" customHeight="1" x14ac:dyDescent="0.25">
      <c r="A163" s="148">
        <f t="shared" si="22"/>
        <v>160</v>
      </c>
      <c r="B163" s="196" t="s">
        <v>286</v>
      </c>
      <c r="C163" s="73" t="s">
        <v>287</v>
      </c>
      <c r="D163" s="74" t="s">
        <v>265</v>
      </c>
      <c r="E163" s="86" t="s">
        <v>293</v>
      </c>
      <c r="F163" s="34">
        <v>5.5</v>
      </c>
      <c r="G163" s="34" t="s">
        <v>106</v>
      </c>
      <c r="H163" s="34">
        <f>107/24</f>
        <v>4.458333333333333</v>
      </c>
      <c r="I163" s="131">
        <v>74</v>
      </c>
      <c r="J163" s="137">
        <v>0</v>
      </c>
      <c r="K163" s="136">
        <v>0</v>
      </c>
      <c r="L163" s="134" t="s">
        <v>107</v>
      </c>
      <c r="M163" s="136" t="s">
        <v>107</v>
      </c>
      <c r="N163" s="131">
        <v>130</v>
      </c>
      <c r="O163" s="4">
        <v>130</v>
      </c>
      <c r="P163" s="39"/>
      <c r="Q163" s="39"/>
      <c r="R163" s="39"/>
      <c r="S163" s="39"/>
      <c r="T163" s="39"/>
      <c r="U163" s="39"/>
      <c r="V163" s="39"/>
      <c r="W163" s="39"/>
      <c r="X163" s="39"/>
      <c r="Y163" s="39"/>
      <c r="Z163" s="39"/>
    </row>
    <row r="164" spans="1:26" s="3" customFormat="1" ht="27" customHeight="1" x14ac:dyDescent="0.25">
      <c r="A164" s="148">
        <f t="shared" si="22"/>
        <v>161</v>
      </c>
      <c r="B164" s="196" t="s">
        <v>286</v>
      </c>
      <c r="C164" s="73" t="s">
        <v>287</v>
      </c>
      <c r="D164" s="74" t="s">
        <v>267</v>
      </c>
      <c r="E164" s="86" t="s">
        <v>294</v>
      </c>
      <c r="F164" s="34">
        <v>12</v>
      </c>
      <c r="G164" s="34" t="s">
        <v>106</v>
      </c>
      <c r="H164" s="34">
        <f>156/24</f>
        <v>6.5</v>
      </c>
      <c r="I164" s="131">
        <v>83</v>
      </c>
      <c r="J164" s="137">
        <v>0</v>
      </c>
      <c r="K164" s="136">
        <v>0</v>
      </c>
      <c r="L164" s="134" t="s">
        <v>107</v>
      </c>
      <c r="M164" s="136" t="s">
        <v>107</v>
      </c>
      <c r="N164" s="131">
        <v>120</v>
      </c>
      <c r="O164" s="4">
        <v>120</v>
      </c>
      <c r="P164" s="39"/>
      <c r="Q164" s="39"/>
      <c r="R164" s="39"/>
      <c r="S164" s="39"/>
      <c r="T164" s="39"/>
      <c r="U164" s="39"/>
      <c r="V164" s="39"/>
      <c r="W164" s="39"/>
      <c r="X164" s="39"/>
      <c r="Y164" s="39"/>
      <c r="Z164" s="39"/>
    </row>
    <row r="165" spans="1:26" s="3" customFormat="1" ht="27" customHeight="1" x14ac:dyDescent="0.25">
      <c r="A165" s="148">
        <f t="shared" si="22"/>
        <v>162</v>
      </c>
      <c r="B165" s="196" t="s">
        <v>286</v>
      </c>
      <c r="C165" s="73" t="s">
        <v>287</v>
      </c>
      <c r="D165" s="74" t="s">
        <v>269</v>
      </c>
      <c r="E165" s="86" t="s">
        <v>295</v>
      </c>
      <c r="F165" s="34">
        <v>6</v>
      </c>
      <c r="G165" s="34" t="s">
        <v>106</v>
      </c>
      <c r="H165" s="34">
        <f>106/24</f>
        <v>4.416666666666667</v>
      </c>
      <c r="I165" s="131">
        <v>62</v>
      </c>
      <c r="J165" s="137">
        <v>0</v>
      </c>
      <c r="K165" s="136">
        <v>0</v>
      </c>
      <c r="L165" s="134" t="s">
        <v>107</v>
      </c>
      <c r="M165" s="136" t="s">
        <v>107</v>
      </c>
      <c r="N165" s="131">
        <v>99</v>
      </c>
      <c r="O165" s="4">
        <v>99</v>
      </c>
      <c r="P165" s="39"/>
      <c r="Q165" s="39"/>
      <c r="R165" s="39"/>
      <c r="S165" s="39"/>
      <c r="T165" s="39"/>
      <c r="U165" s="39"/>
      <c r="V165" s="39"/>
      <c r="W165" s="39"/>
      <c r="X165" s="39"/>
      <c r="Y165" s="39"/>
      <c r="Z165" s="39"/>
    </row>
    <row r="166" spans="1:26" s="3" customFormat="1" ht="27" customHeight="1" x14ac:dyDescent="0.25">
      <c r="A166" s="148">
        <f t="shared" si="22"/>
        <v>163</v>
      </c>
      <c r="B166" s="196" t="s">
        <v>286</v>
      </c>
      <c r="C166" s="73" t="s">
        <v>287</v>
      </c>
      <c r="D166" s="74" t="s">
        <v>161</v>
      </c>
      <c r="E166" s="86" t="s">
        <v>296</v>
      </c>
      <c r="F166" s="34">
        <v>7</v>
      </c>
      <c r="G166" s="34" t="s">
        <v>106</v>
      </c>
      <c r="H166" s="34">
        <f>114/24</f>
        <v>4.75</v>
      </c>
      <c r="I166" s="131">
        <v>585</v>
      </c>
      <c r="J166" s="137">
        <v>0</v>
      </c>
      <c r="K166" s="136">
        <v>0</v>
      </c>
      <c r="L166" s="134" t="s">
        <v>107</v>
      </c>
      <c r="M166" s="136" t="s">
        <v>107</v>
      </c>
      <c r="N166" s="131">
        <f>539/0.855</f>
        <v>630.40935672514627</v>
      </c>
      <c r="O166" s="4">
        <f>539/0.855</f>
        <v>630.40935672514627</v>
      </c>
      <c r="P166" s="39"/>
      <c r="Q166" s="39"/>
      <c r="R166" s="39"/>
      <c r="S166" s="39"/>
      <c r="T166" s="39"/>
      <c r="U166" s="39"/>
      <c r="V166" s="39"/>
      <c r="W166" s="39"/>
      <c r="X166" s="39"/>
      <c r="Y166" s="39"/>
      <c r="Z166" s="39"/>
    </row>
    <row r="167" spans="1:26" s="3" customFormat="1" ht="27" customHeight="1" x14ac:dyDescent="0.25">
      <c r="A167" s="148">
        <f t="shared" si="22"/>
        <v>164</v>
      </c>
      <c r="B167" s="196" t="s">
        <v>286</v>
      </c>
      <c r="C167" s="73" t="s">
        <v>297</v>
      </c>
      <c r="D167" s="74" t="s">
        <v>265</v>
      </c>
      <c r="E167" s="86" t="s">
        <v>298</v>
      </c>
      <c r="F167" s="34">
        <v>18</v>
      </c>
      <c r="G167" s="34" t="s">
        <v>106</v>
      </c>
      <c r="H167" s="34">
        <f>140/24</f>
        <v>5.833333333333333</v>
      </c>
      <c r="I167" s="131">
        <v>95</v>
      </c>
      <c r="J167" s="137">
        <v>0</v>
      </c>
      <c r="K167" s="136">
        <v>0</v>
      </c>
      <c r="L167" s="134" t="s">
        <v>107</v>
      </c>
      <c r="M167" s="136" t="s">
        <v>107</v>
      </c>
      <c r="N167" s="131">
        <v>122</v>
      </c>
      <c r="O167" s="4">
        <v>122</v>
      </c>
      <c r="P167" s="39"/>
      <c r="Q167" s="39"/>
      <c r="R167" s="39"/>
      <c r="S167" s="39"/>
      <c r="T167" s="39"/>
      <c r="U167" s="39"/>
      <c r="V167" s="39"/>
      <c r="W167" s="39"/>
      <c r="X167" s="39"/>
      <c r="Y167" s="39"/>
      <c r="Z167" s="39"/>
    </row>
    <row r="168" spans="1:26" s="3" customFormat="1" ht="27" customHeight="1" x14ac:dyDescent="0.25">
      <c r="A168" s="148">
        <f t="shared" si="22"/>
        <v>165</v>
      </c>
      <c r="B168" s="196" t="s">
        <v>286</v>
      </c>
      <c r="C168" s="73" t="s">
        <v>297</v>
      </c>
      <c r="D168" s="74" t="s">
        <v>269</v>
      </c>
      <c r="E168" s="86" t="s">
        <v>299</v>
      </c>
      <c r="F168" s="34">
        <v>16</v>
      </c>
      <c r="G168" s="34" t="s">
        <v>106</v>
      </c>
      <c r="H168" s="34">
        <f>73/24</f>
        <v>3.0416666666666665</v>
      </c>
      <c r="I168" s="131">
        <v>62</v>
      </c>
      <c r="J168" s="137">
        <v>0</v>
      </c>
      <c r="K168" s="136">
        <v>0</v>
      </c>
      <c r="L168" s="134" t="s">
        <v>107</v>
      </c>
      <c r="M168" s="136" t="s">
        <v>107</v>
      </c>
      <c r="N168" s="131">
        <v>100</v>
      </c>
      <c r="O168" s="4">
        <v>100</v>
      </c>
      <c r="P168" s="39"/>
      <c r="Q168" s="39"/>
      <c r="R168" s="39"/>
      <c r="S168" s="39"/>
      <c r="T168" s="39"/>
      <c r="U168" s="39"/>
      <c r="V168" s="39"/>
      <c r="W168" s="39"/>
      <c r="X168" s="39"/>
      <c r="Y168" s="39"/>
      <c r="Z168" s="39"/>
    </row>
    <row r="169" spans="1:26" s="3" customFormat="1" ht="27" customHeight="1" x14ac:dyDescent="0.25">
      <c r="A169" s="148">
        <f t="shared" si="22"/>
        <v>166</v>
      </c>
      <c r="B169" s="196" t="s">
        <v>286</v>
      </c>
      <c r="C169" s="73" t="s">
        <v>297</v>
      </c>
      <c r="D169" s="74" t="s">
        <v>263</v>
      </c>
      <c r="E169" s="86" t="s">
        <v>300</v>
      </c>
      <c r="F169" s="34">
        <v>18</v>
      </c>
      <c r="G169" s="34" t="s">
        <v>106</v>
      </c>
      <c r="H169" s="34">
        <f>126/24</f>
        <v>5.25</v>
      </c>
      <c r="I169" s="131">
        <v>107</v>
      </c>
      <c r="J169" s="137">
        <v>0</v>
      </c>
      <c r="K169" s="136">
        <v>0</v>
      </c>
      <c r="L169" s="134" t="s">
        <v>107</v>
      </c>
      <c r="M169" s="136" t="s">
        <v>107</v>
      </c>
      <c r="N169" s="131">
        <v>115</v>
      </c>
      <c r="O169" s="4">
        <v>115</v>
      </c>
      <c r="P169" s="39"/>
      <c r="Q169" s="39"/>
      <c r="R169" s="39"/>
      <c r="S169" s="39"/>
      <c r="T169" s="39"/>
      <c r="U169" s="39"/>
      <c r="V169" s="39"/>
      <c r="W169" s="39"/>
      <c r="X169" s="39"/>
      <c r="Y169" s="39"/>
      <c r="Z169" s="39"/>
    </row>
    <row r="170" spans="1:26" s="3" customFormat="1" ht="27" customHeight="1" x14ac:dyDescent="0.25">
      <c r="A170" s="148">
        <f t="shared" si="22"/>
        <v>167</v>
      </c>
      <c r="B170" s="196" t="s">
        <v>286</v>
      </c>
      <c r="C170" s="73" t="s">
        <v>297</v>
      </c>
      <c r="D170" s="74" t="s">
        <v>265</v>
      </c>
      <c r="E170" s="86" t="s">
        <v>301</v>
      </c>
      <c r="F170" s="34">
        <v>22.5</v>
      </c>
      <c r="G170" s="34" t="s">
        <v>106</v>
      </c>
      <c r="H170" s="34">
        <f>128/24</f>
        <v>5.333333333333333</v>
      </c>
      <c r="I170" s="131">
        <v>95</v>
      </c>
      <c r="J170" s="137">
        <v>0</v>
      </c>
      <c r="K170" s="136">
        <v>0</v>
      </c>
      <c r="L170" s="134" t="s">
        <v>107</v>
      </c>
      <c r="M170" s="136" t="s">
        <v>107</v>
      </c>
      <c r="N170" s="131">
        <v>115</v>
      </c>
      <c r="O170" s="4">
        <v>115</v>
      </c>
      <c r="P170" s="39"/>
      <c r="Q170" s="39"/>
      <c r="R170" s="39"/>
      <c r="S170" s="39"/>
      <c r="T170" s="39"/>
      <c r="U170" s="39"/>
      <c r="V170" s="39"/>
      <c r="W170" s="39"/>
      <c r="X170" s="39"/>
      <c r="Y170" s="39"/>
      <c r="Z170" s="39"/>
    </row>
    <row r="171" spans="1:26" s="3" customFormat="1" ht="27" customHeight="1" x14ac:dyDescent="0.25">
      <c r="A171" s="148">
        <f t="shared" si="22"/>
        <v>168</v>
      </c>
      <c r="B171" s="196" t="s">
        <v>286</v>
      </c>
      <c r="C171" s="73" t="s">
        <v>297</v>
      </c>
      <c r="D171" s="74" t="s">
        <v>267</v>
      </c>
      <c r="E171" s="86" t="s">
        <v>302</v>
      </c>
      <c r="F171" s="34">
        <v>24</v>
      </c>
      <c r="G171" s="34" t="s">
        <v>106</v>
      </c>
      <c r="H171" s="34">
        <f>138/24</f>
        <v>5.75</v>
      </c>
      <c r="I171" s="131">
        <v>108</v>
      </c>
      <c r="J171" s="137">
        <v>0</v>
      </c>
      <c r="K171" s="136">
        <v>0</v>
      </c>
      <c r="L171" s="134" t="s">
        <v>107</v>
      </c>
      <c r="M171" s="136" t="s">
        <v>107</v>
      </c>
      <c r="N171" s="131">
        <v>160</v>
      </c>
      <c r="O171" s="4">
        <v>160</v>
      </c>
      <c r="P171" s="39"/>
      <c r="Q171" s="39"/>
      <c r="R171" s="39"/>
      <c r="S171" s="39"/>
      <c r="T171" s="39"/>
      <c r="U171" s="39"/>
      <c r="V171" s="39"/>
      <c r="W171" s="39"/>
      <c r="X171" s="39"/>
      <c r="Y171" s="39"/>
      <c r="Z171" s="39"/>
    </row>
    <row r="172" spans="1:26" s="3" customFormat="1" ht="27" customHeight="1" x14ac:dyDescent="0.25">
      <c r="A172" s="148">
        <f t="shared" si="22"/>
        <v>169</v>
      </c>
      <c r="B172" s="196" t="s">
        <v>286</v>
      </c>
      <c r="C172" s="73" t="s">
        <v>297</v>
      </c>
      <c r="D172" s="74" t="s">
        <v>269</v>
      </c>
      <c r="E172" s="86" t="s">
        <v>303</v>
      </c>
      <c r="F172" s="34">
        <v>20.25</v>
      </c>
      <c r="G172" s="34" t="s">
        <v>106</v>
      </c>
      <c r="H172" s="34">
        <f>152/24</f>
        <v>6.333333333333333</v>
      </c>
      <c r="I172" s="131">
        <v>83</v>
      </c>
      <c r="J172" s="137">
        <v>0</v>
      </c>
      <c r="K172" s="136">
        <v>0</v>
      </c>
      <c r="L172" s="134" t="s">
        <v>107</v>
      </c>
      <c r="M172" s="136" t="s">
        <v>107</v>
      </c>
      <c r="N172" s="131">
        <v>130</v>
      </c>
      <c r="O172" s="4">
        <v>130</v>
      </c>
      <c r="P172" s="39"/>
      <c r="Q172" s="39"/>
      <c r="R172" s="39"/>
      <c r="S172" s="39"/>
      <c r="T172" s="39"/>
      <c r="U172" s="39"/>
      <c r="V172" s="39"/>
      <c r="W172" s="39"/>
      <c r="X172" s="39"/>
      <c r="Y172" s="39"/>
      <c r="Z172" s="39"/>
    </row>
    <row r="173" spans="1:26" s="3" customFormat="1" ht="27" customHeight="1" x14ac:dyDescent="0.25">
      <c r="A173" s="148">
        <f t="shared" si="22"/>
        <v>170</v>
      </c>
      <c r="B173" s="196" t="s">
        <v>286</v>
      </c>
      <c r="C173" s="73" t="s">
        <v>297</v>
      </c>
      <c r="D173" s="74" t="s">
        <v>161</v>
      </c>
      <c r="E173" s="86" t="s">
        <v>304</v>
      </c>
      <c r="F173" s="34">
        <v>20</v>
      </c>
      <c r="G173" s="34" t="s">
        <v>106</v>
      </c>
      <c r="H173" s="34">
        <f>134/24</f>
        <v>5.583333333333333</v>
      </c>
      <c r="I173" s="131">
        <v>487</v>
      </c>
      <c r="J173" s="137">
        <v>0</v>
      </c>
      <c r="K173" s="136">
        <v>0</v>
      </c>
      <c r="L173" s="134" t="s">
        <v>107</v>
      </c>
      <c r="M173" s="136" t="s">
        <v>107</v>
      </c>
      <c r="N173" s="131">
        <f>703/0.855</f>
        <v>822.22222222222229</v>
      </c>
      <c r="O173" s="4">
        <f>703/0.855</f>
        <v>822.22222222222229</v>
      </c>
      <c r="P173" s="39"/>
      <c r="Q173" s="39"/>
      <c r="R173" s="39"/>
      <c r="S173" s="39"/>
      <c r="T173" s="39"/>
      <c r="U173" s="39"/>
      <c r="V173" s="39"/>
      <c r="W173" s="39"/>
      <c r="X173" s="39"/>
      <c r="Y173" s="39"/>
      <c r="Z173" s="39"/>
    </row>
    <row r="174" spans="1:26" s="3" customFormat="1" ht="27" customHeight="1" x14ac:dyDescent="0.25">
      <c r="A174" s="148">
        <f t="shared" si="22"/>
        <v>171</v>
      </c>
      <c r="B174" s="22" t="s">
        <v>438</v>
      </c>
      <c r="C174" s="73" t="s">
        <v>297</v>
      </c>
      <c r="D174" s="74" t="s">
        <v>284</v>
      </c>
      <c r="E174" s="86" t="s">
        <v>305</v>
      </c>
      <c r="F174" s="34">
        <v>15.4</v>
      </c>
      <c r="G174" s="34" t="s">
        <v>106</v>
      </c>
      <c r="H174" s="34">
        <f>(106+(9/60))/24</f>
        <v>4.4229166666666666</v>
      </c>
      <c r="I174" s="131">
        <v>258</v>
      </c>
      <c r="J174" s="137">
        <v>0</v>
      </c>
      <c r="K174" s="136">
        <v>0</v>
      </c>
      <c r="L174" s="134" t="s">
        <v>107</v>
      </c>
      <c r="M174" s="136" t="s">
        <v>107</v>
      </c>
      <c r="N174" s="134">
        <f>I174+J174</f>
        <v>258</v>
      </c>
      <c r="O174" s="4">
        <f>I174+K174</f>
        <v>258</v>
      </c>
      <c r="P174" s="39"/>
      <c r="Q174" s="39"/>
      <c r="R174" s="39"/>
      <c r="S174" s="39"/>
      <c r="T174" s="39"/>
      <c r="U174" s="39"/>
      <c r="V174" s="39"/>
      <c r="W174" s="39"/>
      <c r="X174" s="39"/>
      <c r="Y174" s="39"/>
      <c r="Z174" s="39"/>
    </row>
    <row r="175" spans="1:26" s="3" customFormat="1" ht="27" customHeight="1" x14ac:dyDescent="0.25">
      <c r="A175" s="148">
        <f t="shared" si="22"/>
        <v>172</v>
      </c>
      <c r="B175" s="87" t="s">
        <v>73</v>
      </c>
      <c r="C175" s="73" t="s">
        <v>106</v>
      </c>
      <c r="D175" s="73" t="s">
        <v>306</v>
      </c>
      <c r="E175" s="74" t="s">
        <v>307</v>
      </c>
      <c r="F175" s="34" t="s">
        <v>106</v>
      </c>
      <c r="G175" s="34" t="s">
        <v>106</v>
      </c>
      <c r="H175" s="34" t="s">
        <v>106</v>
      </c>
      <c r="I175" s="132">
        <v>95</v>
      </c>
      <c r="J175" s="137">
        <v>0</v>
      </c>
      <c r="K175" s="136">
        <v>0</v>
      </c>
      <c r="L175" s="134" t="s">
        <v>107</v>
      </c>
      <c r="M175" s="136" t="s">
        <v>107</v>
      </c>
      <c r="N175" s="134">
        <f>I175+J175</f>
        <v>95</v>
      </c>
      <c r="O175" s="4">
        <f>I175+K175</f>
        <v>95</v>
      </c>
      <c r="P175" s="39"/>
      <c r="Q175" s="39"/>
      <c r="R175" s="39"/>
      <c r="S175" s="39"/>
      <c r="T175" s="39"/>
      <c r="U175" s="39"/>
      <c r="V175" s="39"/>
      <c r="W175" s="39"/>
      <c r="X175" s="39"/>
      <c r="Y175" s="39"/>
      <c r="Z175" s="39"/>
    </row>
    <row r="176" spans="1:26" s="3" customFormat="1" ht="27" customHeight="1" x14ac:dyDescent="0.25">
      <c r="A176" s="148">
        <f t="shared" si="22"/>
        <v>173</v>
      </c>
      <c r="B176" s="87" t="s">
        <v>73</v>
      </c>
      <c r="C176" s="73" t="s">
        <v>106</v>
      </c>
      <c r="D176" s="73" t="s">
        <v>306</v>
      </c>
      <c r="E176" s="74" t="s">
        <v>308</v>
      </c>
      <c r="F176" s="34" t="s">
        <v>106</v>
      </c>
      <c r="G176" s="34" t="s">
        <v>106</v>
      </c>
      <c r="H176" s="34" t="s">
        <v>106</v>
      </c>
      <c r="I176" s="132">
        <v>65</v>
      </c>
      <c r="J176" s="137">
        <v>0</v>
      </c>
      <c r="K176" s="136">
        <v>0</v>
      </c>
      <c r="L176" s="134" t="s">
        <v>107</v>
      </c>
      <c r="M176" s="136" t="s">
        <v>107</v>
      </c>
      <c r="N176" s="134">
        <f>I176+J176</f>
        <v>65</v>
      </c>
      <c r="O176" s="4">
        <f>I176+K176</f>
        <v>65</v>
      </c>
      <c r="P176" s="39"/>
      <c r="Q176" s="39"/>
      <c r="R176" s="39"/>
      <c r="S176" s="39"/>
      <c r="T176" s="39"/>
      <c r="U176" s="39"/>
      <c r="V176" s="39"/>
      <c r="W176" s="39"/>
      <c r="X176" s="39"/>
      <c r="Y176" s="39"/>
      <c r="Z176" s="39"/>
    </row>
    <row r="177" spans="1:30" s="3" customFormat="1" ht="27" customHeight="1" x14ac:dyDescent="0.25">
      <c r="A177" s="148">
        <f t="shared" si="22"/>
        <v>174</v>
      </c>
      <c r="B177" s="87" t="s">
        <v>73</v>
      </c>
      <c r="C177" s="73" t="s">
        <v>106</v>
      </c>
      <c r="D177" s="73" t="s">
        <v>108</v>
      </c>
      <c r="E177" s="74" t="s">
        <v>309</v>
      </c>
      <c r="F177" s="34" t="s">
        <v>106</v>
      </c>
      <c r="G177" s="34" t="s">
        <v>106</v>
      </c>
      <c r="H177" s="34" t="s">
        <v>106</v>
      </c>
      <c r="I177" s="132">
        <v>68</v>
      </c>
      <c r="J177" s="137">
        <v>0</v>
      </c>
      <c r="K177" s="136">
        <v>0</v>
      </c>
      <c r="L177" s="134" t="s">
        <v>107</v>
      </c>
      <c r="M177" s="136" t="s">
        <v>107</v>
      </c>
      <c r="N177" s="134">
        <f>I177+J177</f>
        <v>68</v>
      </c>
      <c r="O177" s="4">
        <f>I177+K177</f>
        <v>68</v>
      </c>
      <c r="P177" s="39"/>
      <c r="Q177" s="39"/>
      <c r="R177" s="39"/>
      <c r="S177" s="39"/>
      <c r="T177" s="39"/>
      <c r="U177" s="39"/>
      <c r="V177" s="39"/>
      <c r="W177" s="39"/>
      <c r="X177" s="39"/>
      <c r="Y177" s="39"/>
      <c r="Z177" s="39"/>
      <c r="AB177"/>
      <c r="AC177"/>
      <c r="AD177"/>
    </row>
    <row r="178" spans="1:30" s="3" customFormat="1" ht="27" customHeight="1" x14ac:dyDescent="0.25">
      <c r="A178" s="148">
        <f t="shared" si="22"/>
        <v>175</v>
      </c>
      <c r="B178" s="87" t="s">
        <v>73</v>
      </c>
      <c r="C178" s="73" t="s">
        <v>106</v>
      </c>
      <c r="D178" s="73" t="s">
        <v>310</v>
      </c>
      <c r="E178" s="74" t="s">
        <v>311</v>
      </c>
      <c r="F178" s="34" t="s">
        <v>106</v>
      </c>
      <c r="G178" s="34" t="s">
        <v>106</v>
      </c>
      <c r="H178" s="34" t="s">
        <v>106</v>
      </c>
      <c r="I178" s="132">
        <v>550</v>
      </c>
      <c r="J178" s="137">
        <v>0</v>
      </c>
      <c r="K178" s="136">
        <v>0</v>
      </c>
      <c r="L178" s="134" t="s">
        <v>107</v>
      </c>
      <c r="M178" s="136" t="s">
        <v>107</v>
      </c>
      <c r="N178" s="134">
        <f>I178+J178</f>
        <v>550</v>
      </c>
      <c r="O178" s="4">
        <f>I178+K178</f>
        <v>550</v>
      </c>
      <c r="P178" s="39"/>
      <c r="Q178" s="39"/>
      <c r="R178" s="39"/>
      <c r="S178" s="39"/>
      <c r="T178" s="39"/>
      <c r="U178" s="39"/>
      <c r="V178" s="39"/>
      <c r="W178" s="39"/>
      <c r="X178" s="39"/>
      <c r="Y178" s="39"/>
      <c r="Z178" s="39"/>
      <c r="AB178"/>
      <c r="AC178"/>
      <c r="AD178"/>
    </row>
    <row r="179" spans="1:30" s="3" customFormat="1" ht="27" customHeight="1" x14ac:dyDescent="0.25">
      <c r="A179" s="148">
        <f t="shared" si="22"/>
        <v>176</v>
      </c>
      <c r="B179" s="87" t="s">
        <v>73</v>
      </c>
      <c r="C179" s="73" t="s">
        <v>106</v>
      </c>
      <c r="D179" s="73" t="s">
        <v>310</v>
      </c>
      <c r="E179" s="74" t="s">
        <v>312</v>
      </c>
      <c r="F179" s="34" t="s">
        <v>106</v>
      </c>
      <c r="G179" s="34" t="s">
        <v>106</v>
      </c>
      <c r="H179" s="34" t="s">
        <v>106</v>
      </c>
      <c r="I179" s="132">
        <v>950</v>
      </c>
      <c r="J179" s="137">
        <v>0</v>
      </c>
      <c r="K179" s="136">
        <v>0</v>
      </c>
      <c r="L179" s="134" t="s">
        <v>107</v>
      </c>
      <c r="M179" s="136" t="s">
        <v>107</v>
      </c>
      <c r="N179" s="134">
        <f>I179+J179</f>
        <v>950</v>
      </c>
      <c r="O179" s="4">
        <f>I179+K179</f>
        <v>950</v>
      </c>
      <c r="P179" s="39"/>
      <c r="Q179" s="39"/>
      <c r="R179" s="39"/>
      <c r="S179" s="39"/>
      <c r="T179" s="39"/>
      <c r="U179" s="39"/>
      <c r="V179" s="39"/>
      <c r="W179" s="39"/>
      <c r="X179" s="39"/>
      <c r="Y179" s="39"/>
      <c r="Z179" s="39"/>
      <c r="AB179"/>
      <c r="AC179"/>
      <c r="AD179"/>
    </row>
    <row r="180" spans="1:30" s="3" customFormat="1" ht="27" customHeight="1" x14ac:dyDescent="0.25">
      <c r="A180" s="148">
        <f t="shared" si="22"/>
        <v>177</v>
      </c>
      <c r="B180" s="87" t="s">
        <v>73</v>
      </c>
      <c r="C180" s="73" t="s">
        <v>106</v>
      </c>
      <c r="D180" s="73" t="s">
        <v>306</v>
      </c>
      <c r="E180" s="74" t="s">
        <v>313</v>
      </c>
      <c r="F180" s="34" t="s">
        <v>106</v>
      </c>
      <c r="G180" s="34" t="s">
        <v>106</v>
      </c>
      <c r="H180" s="34" t="s">
        <v>106</v>
      </c>
      <c r="I180" s="132">
        <v>1032</v>
      </c>
      <c r="J180" s="137">
        <v>0</v>
      </c>
      <c r="K180" s="136">
        <v>0</v>
      </c>
      <c r="L180" s="134" t="s">
        <v>107</v>
      </c>
      <c r="M180" s="136" t="s">
        <v>107</v>
      </c>
      <c r="N180" s="134">
        <f>I180+J180</f>
        <v>1032</v>
      </c>
      <c r="O180" s="4">
        <f>I180+K180</f>
        <v>1032</v>
      </c>
      <c r="P180" s="39"/>
      <c r="Q180" s="39"/>
      <c r="R180" s="39"/>
      <c r="S180" s="39"/>
      <c r="T180" s="39"/>
      <c r="U180" s="39"/>
      <c r="V180" s="39"/>
      <c r="W180" s="39"/>
      <c r="X180" s="39"/>
      <c r="Y180" s="39"/>
      <c r="Z180" s="39"/>
      <c r="AB180"/>
      <c r="AC180"/>
      <c r="AD180"/>
    </row>
    <row r="181" spans="1:30" s="3" customFormat="1" ht="27" customHeight="1" x14ac:dyDescent="0.25">
      <c r="A181" s="148">
        <f t="shared" si="22"/>
        <v>178</v>
      </c>
      <c r="B181" s="87" t="s">
        <v>73</v>
      </c>
      <c r="C181" s="73" t="s">
        <v>106</v>
      </c>
      <c r="D181" s="73" t="s">
        <v>310</v>
      </c>
      <c r="E181" s="74" t="s">
        <v>314</v>
      </c>
      <c r="F181" s="34" t="s">
        <v>106</v>
      </c>
      <c r="G181" s="34" t="s">
        <v>106</v>
      </c>
      <c r="H181" s="34" t="s">
        <v>106</v>
      </c>
      <c r="I181" s="132">
        <v>1085</v>
      </c>
      <c r="J181" s="137">
        <v>0</v>
      </c>
      <c r="K181" s="136">
        <v>0</v>
      </c>
      <c r="L181" s="134" t="s">
        <v>107</v>
      </c>
      <c r="M181" s="136" t="s">
        <v>107</v>
      </c>
      <c r="N181" s="134">
        <f>I181+J181</f>
        <v>1085</v>
      </c>
      <c r="O181" s="4">
        <f>I181+K181</f>
        <v>1085</v>
      </c>
      <c r="P181" s="39"/>
      <c r="Q181" s="39"/>
      <c r="R181" s="39"/>
      <c r="S181" s="39"/>
      <c r="T181" s="39"/>
      <c r="U181" s="39"/>
      <c r="V181" s="39"/>
      <c r="W181" s="39"/>
      <c r="X181" s="39"/>
      <c r="Y181" s="39"/>
      <c r="Z181" s="39"/>
      <c r="AB181"/>
      <c r="AC181"/>
      <c r="AD181"/>
    </row>
    <row r="182" spans="1:30" s="3" customFormat="1" ht="27" customHeight="1" x14ac:dyDescent="0.25">
      <c r="A182" s="148">
        <f t="shared" si="22"/>
        <v>179</v>
      </c>
      <c r="B182" s="87" t="s">
        <v>73</v>
      </c>
      <c r="C182" s="73" t="s">
        <v>106</v>
      </c>
      <c r="D182" s="73" t="s">
        <v>306</v>
      </c>
      <c r="E182" s="74" t="s">
        <v>315</v>
      </c>
      <c r="F182" s="34" t="s">
        <v>106</v>
      </c>
      <c r="G182" s="34" t="s">
        <v>106</v>
      </c>
      <c r="H182" s="34" t="s">
        <v>106</v>
      </c>
      <c r="I182" s="132">
        <v>1010.9</v>
      </c>
      <c r="J182" s="137">
        <v>0</v>
      </c>
      <c r="K182" s="136">
        <v>0</v>
      </c>
      <c r="L182" s="134" t="s">
        <v>107</v>
      </c>
      <c r="M182" s="136" t="s">
        <v>107</v>
      </c>
      <c r="N182" s="134">
        <f>I182+J182</f>
        <v>1010.9</v>
      </c>
      <c r="O182" s="4">
        <f>I182+K182</f>
        <v>1010.9</v>
      </c>
      <c r="P182" s="39"/>
      <c r="Q182" s="39"/>
      <c r="R182" s="39"/>
      <c r="S182" s="39"/>
      <c r="T182" s="39"/>
      <c r="U182" s="39"/>
      <c r="V182" s="39"/>
      <c r="W182" s="39"/>
      <c r="X182" s="39"/>
      <c r="Y182" s="39"/>
      <c r="Z182" s="39"/>
      <c r="AB182"/>
      <c r="AC182"/>
      <c r="AD182"/>
    </row>
    <row r="183" spans="1:30" s="3" customFormat="1" ht="27" customHeight="1" x14ac:dyDescent="0.25">
      <c r="A183" s="148">
        <f t="shared" si="22"/>
        <v>180</v>
      </c>
      <c r="B183" s="87" t="s">
        <v>73</v>
      </c>
      <c r="C183" s="73" t="s">
        <v>106</v>
      </c>
      <c r="D183" s="73" t="s">
        <v>310</v>
      </c>
      <c r="E183" s="74" t="s">
        <v>316</v>
      </c>
      <c r="F183" s="34" t="s">
        <v>106</v>
      </c>
      <c r="G183" s="34" t="s">
        <v>106</v>
      </c>
      <c r="H183" s="34" t="s">
        <v>106</v>
      </c>
      <c r="I183" s="132">
        <v>1340</v>
      </c>
      <c r="J183" s="137">
        <v>0</v>
      </c>
      <c r="K183" s="136">
        <v>0</v>
      </c>
      <c r="L183" s="134" t="s">
        <v>107</v>
      </c>
      <c r="M183" s="136" t="s">
        <v>107</v>
      </c>
      <c r="N183" s="134">
        <f>I183+J183</f>
        <v>1340</v>
      </c>
      <c r="O183" s="4">
        <f>I183+K183</f>
        <v>1340</v>
      </c>
      <c r="P183" s="39"/>
      <c r="Q183" s="39"/>
      <c r="R183" s="39"/>
      <c r="S183" s="39"/>
      <c r="T183" s="39"/>
      <c r="U183" s="39"/>
      <c r="V183" s="39"/>
      <c r="W183" s="39"/>
      <c r="X183" s="39"/>
      <c r="Y183" s="39"/>
      <c r="Z183" s="39"/>
      <c r="AB183"/>
      <c r="AC183"/>
      <c r="AD183"/>
    </row>
    <row r="184" spans="1:30" s="3" customFormat="1" ht="27" customHeight="1" x14ac:dyDescent="0.25">
      <c r="A184" s="148">
        <f t="shared" si="22"/>
        <v>181</v>
      </c>
      <c r="B184" s="87" t="s">
        <v>73</v>
      </c>
      <c r="C184" s="73" t="s">
        <v>106</v>
      </c>
      <c r="D184" s="73" t="s">
        <v>310</v>
      </c>
      <c r="E184" s="74" t="s">
        <v>317</v>
      </c>
      <c r="F184" s="34" t="s">
        <v>106</v>
      </c>
      <c r="G184" s="34" t="s">
        <v>106</v>
      </c>
      <c r="H184" s="34" t="s">
        <v>106</v>
      </c>
      <c r="I184" s="132">
        <v>1510</v>
      </c>
      <c r="J184" s="137">
        <v>0</v>
      </c>
      <c r="K184" s="136">
        <v>0</v>
      </c>
      <c r="L184" s="134" t="s">
        <v>107</v>
      </c>
      <c r="M184" s="136" t="s">
        <v>107</v>
      </c>
      <c r="N184" s="134">
        <f>I184+J184</f>
        <v>1510</v>
      </c>
      <c r="O184" s="4">
        <f>I184+K184</f>
        <v>1510</v>
      </c>
      <c r="P184" s="39"/>
      <c r="Q184" s="39"/>
      <c r="R184" s="39"/>
      <c r="S184" s="39"/>
      <c r="T184" s="39"/>
      <c r="U184" s="39"/>
      <c r="V184" s="39"/>
      <c r="W184" s="39"/>
      <c r="X184" s="39"/>
      <c r="Y184" s="39"/>
      <c r="Z184" s="39"/>
      <c r="AB184"/>
      <c r="AC184"/>
      <c r="AD184"/>
    </row>
    <row r="185" spans="1:30" s="3" customFormat="1" ht="27" customHeight="1" x14ac:dyDescent="0.25">
      <c r="A185" s="148">
        <f t="shared" si="22"/>
        <v>182</v>
      </c>
      <c r="B185" s="87" t="s">
        <v>73</v>
      </c>
      <c r="C185" s="73" t="s">
        <v>106</v>
      </c>
      <c r="D185" s="73" t="s">
        <v>306</v>
      </c>
      <c r="E185" s="74" t="s">
        <v>318</v>
      </c>
      <c r="F185" s="34" t="s">
        <v>106</v>
      </c>
      <c r="G185" s="34" t="s">
        <v>106</v>
      </c>
      <c r="H185" s="34" t="s">
        <v>106</v>
      </c>
      <c r="I185" s="132">
        <v>1547.7</v>
      </c>
      <c r="J185" s="137">
        <v>0</v>
      </c>
      <c r="K185" s="136">
        <v>0</v>
      </c>
      <c r="L185" s="134" t="s">
        <v>107</v>
      </c>
      <c r="M185" s="136" t="s">
        <v>107</v>
      </c>
      <c r="N185" s="134">
        <f>I185+J185</f>
        <v>1547.7</v>
      </c>
      <c r="O185" s="4">
        <f>I185+K185</f>
        <v>1547.7</v>
      </c>
      <c r="P185" s="39"/>
      <c r="Q185" s="39"/>
      <c r="R185" s="39"/>
      <c r="S185" s="39"/>
      <c r="T185" s="39"/>
      <c r="U185" s="39"/>
      <c r="V185" s="39"/>
      <c r="W185" s="39"/>
      <c r="X185" s="39"/>
      <c r="Y185" s="39"/>
      <c r="Z185" s="39"/>
      <c r="AB185"/>
      <c r="AC185"/>
      <c r="AD185"/>
    </row>
    <row r="186" spans="1:30" s="3" customFormat="1" ht="27" customHeight="1" x14ac:dyDescent="0.25">
      <c r="A186" s="148">
        <f t="shared" si="22"/>
        <v>183</v>
      </c>
      <c r="B186" s="87" t="s">
        <v>73</v>
      </c>
      <c r="C186" s="73" t="s">
        <v>106</v>
      </c>
      <c r="D186" s="73" t="s">
        <v>310</v>
      </c>
      <c r="E186" s="74" t="s">
        <v>319</v>
      </c>
      <c r="F186" s="34" t="s">
        <v>106</v>
      </c>
      <c r="G186" s="34" t="s">
        <v>106</v>
      </c>
      <c r="H186" s="34" t="s">
        <v>106</v>
      </c>
      <c r="I186" s="132">
        <v>1730</v>
      </c>
      <c r="J186" s="137">
        <v>0</v>
      </c>
      <c r="K186" s="136">
        <v>0</v>
      </c>
      <c r="L186" s="134" t="s">
        <v>107</v>
      </c>
      <c r="M186" s="136" t="s">
        <v>107</v>
      </c>
      <c r="N186" s="134">
        <f>I186+J186</f>
        <v>1730</v>
      </c>
      <c r="O186" s="4">
        <f>I186+K186</f>
        <v>1730</v>
      </c>
      <c r="P186" s="39"/>
      <c r="Q186" s="39"/>
      <c r="R186" s="39"/>
      <c r="S186" s="39"/>
      <c r="T186" s="39"/>
      <c r="U186" s="39"/>
      <c r="V186" s="39"/>
      <c r="W186" s="39"/>
      <c r="X186" s="39"/>
      <c r="Y186" s="39"/>
      <c r="Z186" s="39"/>
      <c r="AB186"/>
      <c r="AC186"/>
      <c r="AD186"/>
    </row>
    <row r="187" spans="1:30" s="3" customFormat="1" ht="27" customHeight="1" x14ac:dyDescent="0.25">
      <c r="A187" s="148">
        <f t="shared" si="22"/>
        <v>184</v>
      </c>
      <c r="B187" s="87" t="s">
        <v>73</v>
      </c>
      <c r="C187" s="73" t="s">
        <v>106</v>
      </c>
      <c r="D187" s="73" t="s">
        <v>306</v>
      </c>
      <c r="E187" s="74" t="s">
        <v>320</v>
      </c>
      <c r="F187" s="34" t="s">
        <v>106</v>
      </c>
      <c r="G187" s="34" t="s">
        <v>106</v>
      </c>
      <c r="H187" s="34" t="s">
        <v>106</v>
      </c>
      <c r="I187" s="132">
        <v>2836.9</v>
      </c>
      <c r="J187" s="137">
        <v>0</v>
      </c>
      <c r="K187" s="136">
        <v>0</v>
      </c>
      <c r="L187" s="134" t="s">
        <v>107</v>
      </c>
      <c r="M187" s="136" t="s">
        <v>107</v>
      </c>
      <c r="N187" s="134">
        <f>I187+J187</f>
        <v>2836.9</v>
      </c>
      <c r="O187" s="4">
        <f>I187+K187</f>
        <v>2836.9</v>
      </c>
      <c r="P187" s="39"/>
      <c r="Q187" s="39"/>
      <c r="R187" s="39"/>
      <c r="S187" s="39"/>
      <c r="T187" s="39"/>
      <c r="U187" s="39"/>
      <c r="V187" s="39"/>
      <c r="W187" s="39"/>
      <c r="X187" s="39"/>
      <c r="Y187" s="39"/>
      <c r="Z187" s="39"/>
      <c r="AB187"/>
      <c r="AC187"/>
      <c r="AD187"/>
    </row>
    <row r="188" spans="1:30" s="3" customFormat="1" ht="27" customHeight="1" x14ac:dyDescent="0.25">
      <c r="A188" s="148">
        <f t="shared" si="22"/>
        <v>185</v>
      </c>
      <c r="B188" s="193" t="s">
        <v>74</v>
      </c>
      <c r="C188" s="73" t="s">
        <v>321</v>
      </c>
      <c r="D188" s="74" t="s">
        <v>263</v>
      </c>
      <c r="E188" s="74" t="s">
        <v>322</v>
      </c>
      <c r="F188" s="34" t="s">
        <v>106</v>
      </c>
      <c r="G188" s="73" t="s">
        <v>321</v>
      </c>
      <c r="H188" s="34" t="s">
        <v>106</v>
      </c>
      <c r="I188" s="132">
        <v>0.87</v>
      </c>
      <c r="J188" s="137">
        <v>0</v>
      </c>
      <c r="K188" s="136">
        <v>0</v>
      </c>
      <c r="L188" s="134" t="s">
        <v>107</v>
      </c>
      <c r="M188" s="136" t="s">
        <v>107</v>
      </c>
      <c r="N188" s="132">
        <v>0.87</v>
      </c>
      <c r="O188" s="34">
        <v>0.87</v>
      </c>
      <c r="P188" s="39"/>
      <c r="Q188" s="39"/>
      <c r="R188" s="39"/>
      <c r="S188" s="39"/>
      <c r="T188" s="39"/>
      <c r="U188" s="39"/>
      <c r="V188" s="39"/>
      <c r="W188" s="39"/>
      <c r="X188" s="39"/>
      <c r="Y188" s="39"/>
      <c r="Z188" s="39"/>
      <c r="AB188"/>
      <c r="AC188"/>
      <c r="AD188"/>
    </row>
    <row r="189" spans="1:30" s="3" customFormat="1" ht="27" customHeight="1" x14ac:dyDescent="0.25">
      <c r="A189" s="148">
        <f t="shared" si="22"/>
        <v>186</v>
      </c>
      <c r="B189" s="193" t="s">
        <v>74</v>
      </c>
      <c r="C189" s="73" t="s">
        <v>321</v>
      </c>
      <c r="D189" s="74" t="s">
        <v>265</v>
      </c>
      <c r="E189" s="74" t="s">
        <v>323</v>
      </c>
      <c r="F189" s="34" t="s">
        <v>106</v>
      </c>
      <c r="G189" s="73" t="s">
        <v>321</v>
      </c>
      <c r="H189" s="34" t="s">
        <v>106</v>
      </c>
      <c r="I189" s="132">
        <v>0.3</v>
      </c>
      <c r="J189" s="137">
        <v>0</v>
      </c>
      <c r="K189" s="136">
        <v>0</v>
      </c>
      <c r="L189" s="134" t="s">
        <v>107</v>
      </c>
      <c r="M189" s="136" t="s">
        <v>107</v>
      </c>
      <c r="N189" s="132">
        <v>0.3</v>
      </c>
      <c r="O189" s="34">
        <v>0.3</v>
      </c>
      <c r="P189" s="39"/>
      <c r="Q189" s="39"/>
      <c r="R189" s="39"/>
      <c r="S189" s="39"/>
      <c r="T189" s="39"/>
      <c r="U189" s="39"/>
      <c r="V189" s="39"/>
      <c r="W189" s="39"/>
      <c r="X189" s="39"/>
      <c r="Y189" s="39"/>
      <c r="Z189" s="39"/>
      <c r="AB189"/>
      <c r="AC189"/>
      <c r="AD189"/>
    </row>
    <row r="190" spans="1:30" s="3" customFormat="1" ht="27" customHeight="1" x14ac:dyDescent="0.25">
      <c r="A190" s="148">
        <f t="shared" si="22"/>
        <v>187</v>
      </c>
      <c r="B190" s="193" t="s">
        <v>74</v>
      </c>
      <c r="C190" s="73" t="s">
        <v>321</v>
      </c>
      <c r="D190" s="74" t="s">
        <v>267</v>
      </c>
      <c r="E190" s="74" t="s">
        <v>324</v>
      </c>
      <c r="F190" s="34" t="s">
        <v>106</v>
      </c>
      <c r="G190" s="73" t="s">
        <v>321</v>
      </c>
      <c r="H190" s="34" t="s">
        <v>106</v>
      </c>
      <c r="I190" s="132">
        <v>0.3</v>
      </c>
      <c r="J190" s="137">
        <v>0</v>
      </c>
      <c r="K190" s="136">
        <v>0</v>
      </c>
      <c r="L190" s="134" t="s">
        <v>107</v>
      </c>
      <c r="M190" s="136" t="s">
        <v>107</v>
      </c>
      <c r="N190" s="132">
        <v>0.3</v>
      </c>
      <c r="O190" s="34">
        <v>0.3</v>
      </c>
      <c r="P190" s="39"/>
      <c r="Q190" s="39"/>
      <c r="R190" s="39"/>
      <c r="S190" s="39"/>
      <c r="T190" s="39"/>
      <c r="U190" s="39"/>
      <c r="V190" s="39"/>
      <c r="W190" s="39"/>
      <c r="X190" s="39"/>
      <c r="Y190" s="39"/>
      <c r="Z190" s="39"/>
      <c r="AB190"/>
      <c r="AC190"/>
      <c r="AD190"/>
    </row>
    <row r="191" spans="1:30" s="3" customFormat="1" ht="27" customHeight="1" x14ac:dyDescent="0.25">
      <c r="A191" s="148">
        <f t="shared" si="22"/>
        <v>188</v>
      </c>
      <c r="B191" s="193" t="s">
        <v>74</v>
      </c>
      <c r="C191" s="73" t="s">
        <v>321</v>
      </c>
      <c r="D191" s="74" t="s">
        <v>269</v>
      </c>
      <c r="E191" s="74" t="s">
        <v>325</v>
      </c>
      <c r="F191" s="34" t="s">
        <v>106</v>
      </c>
      <c r="G191" s="73" t="s">
        <v>321</v>
      </c>
      <c r="H191" s="34" t="s">
        <v>106</v>
      </c>
      <c r="I191" s="132">
        <v>0.2</v>
      </c>
      <c r="J191" s="137">
        <v>0</v>
      </c>
      <c r="K191" s="136">
        <v>0</v>
      </c>
      <c r="L191" s="134" t="s">
        <v>107</v>
      </c>
      <c r="M191" s="136" t="s">
        <v>107</v>
      </c>
      <c r="N191" s="132">
        <v>0.2</v>
      </c>
      <c r="O191" s="34">
        <v>0.2</v>
      </c>
      <c r="P191" s="39"/>
      <c r="Q191" s="39"/>
      <c r="R191" s="39"/>
      <c r="S191" s="39"/>
      <c r="T191" s="39"/>
      <c r="U191" s="39"/>
      <c r="V191" s="39"/>
      <c r="W191" s="39"/>
      <c r="X191" s="39"/>
      <c r="Y191" s="39"/>
      <c r="Z191" s="39"/>
      <c r="AB191"/>
      <c r="AC191"/>
      <c r="AD191"/>
    </row>
    <row r="192" spans="1:30" s="3" customFormat="1" ht="27" customHeight="1" x14ac:dyDescent="0.25">
      <c r="A192" s="148">
        <f t="shared" si="22"/>
        <v>189</v>
      </c>
      <c r="B192" s="193" t="s">
        <v>74</v>
      </c>
      <c r="C192" s="73" t="s">
        <v>321</v>
      </c>
      <c r="D192" s="74" t="s">
        <v>161</v>
      </c>
      <c r="E192" s="74" t="s">
        <v>326</v>
      </c>
      <c r="F192" s="34" t="s">
        <v>106</v>
      </c>
      <c r="G192" s="73" t="s">
        <v>321</v>
      </c>
      <c r="H192" s="34" t="s">
        <v>106</v>
      </c>
      <c r="I192" s="132">
        <v>46</v>
      </c>
      <c r="J192" s="137">
        <v>0</v>
      </c>
      <c r="K192" s="136">
        <v>0</v>
      </c>
      <c r="L192" s="134" t="s">
        <v>107</v>
      </c>
      <c r="M192" s="136" t="s">
        <v>107</v>
      </c>
      <c r="N192" s="132">
        <f>46/0.855</f>
        <v>53.801169590643276</v>
      </c>
      <c r="O192" s="34">
        <f>46/0.855</f>
        <v>53.801169590643276</v>
      </c>
      <c r="P192" s="39"/>
      <c r="Q192" s="39"/>
      <c r="R192" s="39"/>
      <c r="S192" s="39"/>
      <c r="T192" s="39"/>
      <c r="U192" s="39"/>
      <c r="V192" s="39"/>
      <c r="W192" s="39"/>
      <c r="X192" s="39"/>
      <c r="Y192" s="39"/>
      <c r="Z192" s="39"/>
      <c r="AB192"/>
      <c r="AC192"/>
      <c r="AD192"/>
    </row>
    <row r="193" spans="1:35" s="3" customFormat="1" ht="27" customHeight="1" x14ac:dyDescent="0.25">
      <c r="A193" s="148">
        <f t="shared" si="22"/>
        <v>190</v>
      </c>
      <c r="B193" s="193" t="s">
        <v>74</v>
      </c>
      <c r="C193" s="73" t="s">
        <v>327</v>
      </c>
      <c r="D193" s="74" t="s">
        <v>263</v>
      </c>
      <c r="E193" s="74" t="s">
        <v>328</v>
      </c>
      <c r="F193" s="34" t="s">
        <v>106</v>
      </c>
      <c r="G193" s="73" t="s">
        <v>327</v>
      </c>
      <c r="H193" s="34" t="s">
        <v>106</v>
      </c>
      <c r="I193" s="132">
        <v>0.87</v>
      </c>
      <c r="J193" s="137">
        <v>0</v>
      </c>
      <c r="K193" s="136">
        <v>0</v>
      </c>
      <c r="L193" s="134" t="s">
        <v>107</v>
      </c>
      <c r="M193" s="136" t="s">
        <v>107</v>
      </c>
      <c r="N193" s="132">
        <v>0.87</v>
      </c>
      <c r="O193" s="34">
        <v>0.87</v>
      </c>
      <c r="P193" s="39"/>
      <c r="Q193" s="39"/>
      <c r="R193" s="39"/>
      <c r="S193" s="39"/>
      <c r="T193" s="39"/>
      <c r="U193" s="39"/>
      <c r="V193" s="39"/>
      <c r="W193" s="39"/>
      <c r="X193" s="39"/>
      <c r="Y193" s="39"/>
      <c r="Z193" s="39"/>
      <c r="AB193"/>
      <c r="AC193"/>
      <c r="AD193"/>
    </row>
    <row r="194" spans="1:35" s="3" customFormat="1" ht="27" customHeight="1" x14ac:dyDescent="0.25">
      <c r="A194" s="148">
        <f t="shared" si="22"/>
        <v>191</v>
      </c>
      <c r="B194" s="193" t="s">
        <v>74</v>
      </c>
      <c r="C194" s="73" t="s">
        <v>327</v>
      </c>
      <c r="D194" s="74" t="s">
        <v>265</v>
      </c>
      <c r="E194" s="74" t="s">
        <v>329</v>
      </c>
      <c r="F194" s="34" t="s">
        <v>106</v>
      </c>
      <c r="G194" s="73" t="s">
        <v>327</v>
      </c>
      <c r="H194" s="34" t="s">
        <v>106</v>
      </c>
      <c r="I194" s="132">
        <v>0.31</v>
      </c>
      <c r="J194" s="137">
        <v>0</v>
      </c>
      <c r="K194" s="136">
        <v>0</v>
      </c>
      <c r="L194" s="134" t="s">
        <v>107</v>
      </c>
      <c r="M194" s="136" t="s">
        <v>107</v>
      </c>
      <c r="N194" s="132">
        <v>0.31</v>
      </c>
      <c r="O194" s="34">
        <v>0.31</v>
      </c>
      <c r="P194" s="39"/>
      <c r="Q194" s="39"/>
      <c r="R194" s="39"/>
      <c r="S194" s="39"/>
      <c r="T194" s="39"/>
      <c r="U194" s="39"/>
      <c r="V194" s="39"/>
      <c r="W194" s="39"/>
      <c r="X194" s="39"/>
      <c r="Y194" s="39"/>
      <c r="Z194" s="39"/>
      <c r="AB194"/>
      <c r="AC194"/>
      <c r="AD194"/>
    </row>
    <row r="195" spans="1:35" s="3" customFormat="1" ht="27" customHeight="1" x14ac:dyDescent="0.25">
      <c r="A195" s="148">
        <f t="shared" si="22"/>
        <v>192</v>
      </c>
      <c r="B195" s="193" t="s">
        <v>74</v>
      </c>
      <c r="C195" s="73" t="s">
        <v>327</v>
      </c>
      <c r="D195" s="74" t="s">
        <v>267</v>
      </c>
      <c r="E195" s="74" t="s">
        <v>330</v>
      </c>
      <c r="F195" s="34" t="s">
        <v>106</v>
      </c>
      <c r="G195" s="73" t="s">
        <v>327</v>
      </c>
      <c r="H195" s="34" t="s">
        <v>106</v>
      </c>
      <c r="I195" s="132">
        <v>0.3</v>
      </c>
      <c r="J195" s="137">
        <v>0</v>
      </c>
      <c r="K195" s="136">
        <v>0</v>
      </c>
      <c r="L195" s="134" t="s">
        <v>107</v>
      </c>
      <c r="M195" s="136" t="s">
        <v>107</v>
      </c>
      <c r="N195" s="132">
        <v>0.3</v>
      </c>
      <c r="O195" s="34">
        <v>0.3</v>
      </c>
      <c r="P195" s="39"/>
      <c r="Q195" s="39"/>
      <c r="R195" s="39"/>
      <c r="S195" s="39"/>
      <c r="T195" s="39"/>
      <c r="U195" s="39"/>
      <c r="V195" s="39"/>
      <c r="W195" s="39"/>
      <c r="X195" s="39"/>
      <c r="Y195" s="39"/>
      <c r="Z195" s="39"/>
      <c r="AB195"/>
      <c r="AC195"/>
      <c r="AD195"/>
    </row>
    <row r="196" spans="1:35" s="3" customFormat="1" ht="27" customHeight="1" x14ac:dyDescent="0.25">
      <c r="A196" s="148">
        <f t="shared" si="22"/>
        <v>193</v>
      </c>
      <c r="B196" s="193" t="s">
        <v>74</v>
      </c>
      <c r="C196" s="73" t="s">
        <v>327</v>
      </c>
      <c r="D196" s="74" t="s">
        <v>269</v>
      </c>
      <c r="E196" s="74" t="s">
        <v>331</v>
      </c>
      <c r="F196" s="34" t="s">
        <v>106</v>
      </c>
      <c r="G196" s="73" t="s">
        <v>327</v>
      </c>
      <c r="H196" s="34" t="s">
        <v>106</v>
      </c>
      <c r="I196" s="132">
        <v>0.2</v>
      </c>
      <c r="J196" s="137">
        <v>0</v>
      </c>
      <c r="K196" s="136">
        <v>0</v>
      </c>
      <c r="L196" s="134" t="s">
        <v>107</v>
      </c>
      <c r="M196" s="136" t="s">
        <v>107</v>
      </c>
      <c r="N196" s="132">
        <v>0.2</v>
      </c>
      <c r="O196" s="34">
        <v>0.2</v>
      </c>
      <c r="P196" s="39"/>
      <c r="Q196" s="39"/>
      <c r="R196" s="39"/>
      <c r="S196" s="39"/>
      <c r="T196" s="39"/>
      <c r="U196" s="39"/>
      <c r="V196" s="39"/>
      <c r="W196" s="39"/>
      <c r="X196" s="39"/>
      <c r="Y196" s="39"/>
      <c r="Z196" s="39"/>
      <c r="AB196"/>
      <c r="AC196"/>
      <c r="AD196"/>
    </row>
    <row r="197" spans="1:35" s="3" customFormat="1" ht="27" customHeight="1" x14ac:dyDescent="0.25">
      <c r="A197" s="148">
        <f t="shared" si="22"/>
        <v>194</v>
      </c>
      <c r="B197" s="193" t="s">
        <v>74</v>
      </c>
      <c r="C197" s="73" t="s">
        <v>332</v>
      </c>
      <c r="D197" s="74" t="s">
        <v>263</v>
      </c>
      <c r="E197" s="74" t="s">
        <v>333</v>
      </c>
      <c r="F197" s="34" t="s">
        <v>106</v>
      </c>
      <c r="G197" s="73" t="s">
        <v>332</v>
      </c>
      <c r="H197" s="34" t="s">
        <v>106</v>
      </c>
      <c r="I197" s="132">
        <v>1.23</v>
      </c>
      <c r="J197" s="137">
        <v>0</v>
      </c>
      <c r="K197" s="136">
        <v>0</v>
      </c>
      <c r="L197" s="134" t="s">
        <v>107</v>
      </c>
      <c r="M197" s="136" t="s">
        <v>107</v>
      </c>
      <c r="N197" s="132">
        <v>1.23</v>
      </c>
      <c r="O197" s="34">
        <v>1.23</v>
      </c>
      <c r="P197" s="39"/>
      <c r="Q197" s="39"/>
      <c r="R197" s="39"/>
      <c r="S197" s="39"/>
      <c r="T197" s="39"/>
      <c r="U197" s="39"/>
      <c r="V197" s="39"/>
      <c r="W197" s="39"/>
      <c r="X197" s="39"/>
      <c r="Y197" s="39"/>
      <c r="Z197" s="39"/>
      <c r="AB197"/>
      <c r="AC197"/>
      <c r="AD197"/>
    </row>
    <row r="198" spans="1:35" s="3" customFormat="1" ht="27" customHeight="1" x14ac:dyDescent="0.25">
      <c r="A198" s="148">
        <f t="shared" si="22"/>
        <v>195</v>
      </c>
      <c r="B198" s="193" t="s">
        <v>74</v>
      </c>
      <c r="C198" s="73" t="s">
        <v>332</v>
      </c>
      <c r="D198" s="74" t="s">
        <v>265</v>
      </c>
      <c r="E198" s="74" t="s">
        <v>334</v>
      </c>
      <c r="F198" s="34" t="s">
        <v>106</v>
      </c>
      <c r="G198" s="73" t="s">
        <v>332</v>
      </c>
      <c r="H198" s="34" t="s">
        <v>106</v>
      </c>
      <c r="I198" s="132">
        <v>0.42</v>
      </c>
      <c r="J198" s="137">
        <v>0</v>
      </c>
      <c r="K198" s="136">
        <v>0</v>
      </c>
      <c r="L198" s="134" t="s">
        <v>107</v>
      </c>
      <c r="M198" s="136" t="s">
        <v>107</v>
      </c>
      <c r="N198" s="132">
        <v>0.42</v>
      </c>
      <c r="O198" s="34">
        <v>0.42</v>
      </c>
      <c r="P198" s="39"/>
      <c r="Q198" s="39"/>
      <c r="R198" s="39"/>
      <c r="S198" s="39"/>
      <c r="T198" s="39"/>
      <c r="U198" s="39"/>
      <c r="V198" s="39"/>
      <c r="W198" s="39"/>
      <c r="X198" s="39"/>
      <c r="Y198" s="39"/>
      <c r="Z198" s="39"/>
      <c r="AB198"/>
      <c r="AC198"/>
      <c r="AD198"/>
    </row>
    <row r="199" spans="1:35" s="3" customFormat="1" ht="26.25" customHeight="1" x14ac:dyDescent="0.25">
      <c r="A199" s="148">
        <f t="shared" ref="A199:A262" si="23">A198+1</f>
        <v>196</v>
      </c>
      <c r="B199" s="193" t="s">
        <v>74</v>
      </c>
      <c r="C199" s="73" t="s">
        <v>332</v>
      </c>
      <c r="D199" s="74" t="s">
        <v>267</v>
      </c>
      <c r="E199" s="74" t="s">
        <v>335</v>
      </c>
      <c r="F199" s="34" t="s">
        <v>106</v>
      </c>
      <c r="G199" s="73" t="s">
        <v>332</v>
      </c>
      <c r="H199" s="34" t="s">
        <v>106</v>
      </c>
      <c r="I199" s="132">
        <v>0.49</v>
      </c>
      <c r="J199" s="137">
        <v>0</v>
      </c>
      <c r="K199" s="136">
        <v>0</v>
      </c>
      <c r="L199" s="134" t="s">
        <v>107</v>
      </c>
      <c r="M199" s="136" t="s">
        <v>107</v>
      </c>
      <c r="N199" s="132">
        <v>0.49</v>
      </c>
      <c r="O199" s="34">
        <v>0.49</v>
      </c>
      <c r="P199" s="39"/>
      <c r="Q199" s="39"/>
      <c r="R199" s="39"/>
      <c r="S199" s="39"/>
      <c r="T199" s="39"/>
      <c r="U199" s="39"/>
      <c r="V199" s="39"/>
      <c r="W199" s="39"/>
      <c r="X199" s="39"/>
      <c r="Y199" s="39"/>
      <c r="Z199" s="39"/>
      <c r="AB199"/>
      <c r="AC199"/>
      <c r="AD199"/>
    </row>
    <row r="200" spans="1:35" s="3" customFormat="1" ht="26.25" customHeight="1" x14ac:dyDescent="0.25">
      <c r="A200" s="148">
        <f t="shared" si="23"/>
        <v>197</v>
      </c>
      <c r="B200" s="193" t="s">
        <v>74</v>
      </c>
      <c r="C200" s="73" t="s">
        <v>332</v>
      </c>
      <c r="D200" s="74" t="s">
        <v>269</v>
      </c>
      <c r="E200" s="74" t="s">
        <v>336</v>
      </c>
      <c r="F200" s="34" t="s">
        <v>106</v>
      </c>
      <c r="G200" s="73" t="s">
        <v>332</v>
      </c>
      <c r="H200" s="34" t="s">
        <v>106</v>
      </c>
      <c r="I200" s="132">
        <v>0.3</v>
      </c>
      <c r="J200" s="137">
        <v>0</v>
      </c>
      <c r="K200" s="136">
        <v>0</v>
      </c>
      <c r="L200" s="134" t="s">
        <v>107</v>
      </c>
      <c r="M200" s="136" t="s">
        <v>107</v>
      </c>
      <c r="N200" s="132">
        <v>0.3</v>
      </c>
      <c r="O200" s="34">
        <v>0.3</v>
      </c>
      <c r="P200" s="39"/>
      <c r="Q200" s="39"/>
      <c r="R200" s="39"/>
      <c r="S200" s="39"/>
      <c r="T200" s="39"/>
      <c r="U200" s="39"/>
      <c r="V200" s="39"/>
      <c r="W200" s="39"/>
      <c r="X200" s="39"/>
      <c r="Y200" s="39"/>
      <c r="Z200" s="39"/>
      <c r="AB200"/>
      <c r="AC200"/>
      <c r="AD200"/>
    </row>
    <row r="201" spans="1:35" s="3" customFormat="1" ht="26.25" customHeight="1" x14ac:dyDescent="0.25">
      <c r="A201" s="148">
        <f t="shared" si="23"/>
        <v>198</v>
      </c>
      <c r="B201" s="193" t="s">
        <v>74</v>
      </c>
      <c r="C201" s="73" t="s">
        <v>332</v>
      </c>
      <c r="D201" s="74" t="s">
        <v>161</v>
      </c>
      <c r="E201" s="74" t="s">
        <v>337</v>
      </c>
      <c r="F201" s="34" t="s">
        <v>106</v>
      </c>
      <c r="G201" s="73" t="s">
        <v>332</v>
      </c>
      <c r="H201" s="34" t="s">
        <v>106</v>
      </c>
      <c r="I201" s="132">
        <v>34</v>
      </c>
      <c r="J201" s="137">
        <v>0</v>
      </c>
      <c r="K201" s="136">
        <v>0</v>
      </c>
      <c r="L201" s="134" t="s">
        <v>107</v>
      </c>
      <c r="M201" s="136" t="s">
        <v>107</v>
      </c>
      <c r="N201" s="132">
        <f>34/0.855</f>
        <v>39.76608187134503</v>
      </c>
      <c r="O201" s="34">
        <f>34/0.855</f>
        <v>39.76608187134503</v>
      </c>
      <c r="P201" s="39"/>
      <c r="Q201" s="39"/>
      <c r="R201" s="39"/>
      <c r="S201" s="39"/>
      <c r="T201" s="39"/>
      <c r="U201" s="39"/>
      <c r="V201" s="39"/>
      <c r="W201" s="39"/>
      <c r="X201" s="39"/>
      <c r="Y201" s="39"/>
      <c r="Z201" s="39"/>
      <c r="AB201"/>
      <c r="AC201"/>
      <c r="AD201"/>
    </row>
    <row r="202" spans="1:35" s="3" customFormat="1" ht="46.5" customHeight="1" x14ac:dyDescent="0.25">
      <c r="A202" s="148">
        <f t="shared" si="23"/>
        <v>199</v>
      </c>
      <c r="B202" s="122" t="s">
        <v>75</v>
      </c>
      <c r="C202" s="73" t="s">
        <v>106</v>
      </c>
      <c r="D202" s="74" t="s">
        <v>154</v>
      </c>
      <c r="E202" s="74" t="s">
        <v>338</v>
      </c>
      <c r="F202" s="34" t="s">
        <v>106</v>
      </c>
      <c r="G202" s="34" t="s">
        <v>106</v>
      </c>
      <c r="H202" s="34" t="s">
        <v>106</v>
      </c>
      <c r="I202" s="132" t="s">
        <v>106</v>
      </c>
      <c r="J202" s="137">
        <v>0</v>
      </c>
      <c r="K202" s="136">
        <v>0</v>
      </c>
      <c r="L202" s="134" t="s">
        <v>107</v>
      </c>
      <c r="M202" s="136" t="s">
        <v>107</v>
      </c>
      <c r="N202" s="140" t="s">
        <v>106</v>
      </c>
      <c r="O202" s="34" t="s">
        <v>106</v>
      </c>
      <c r="P202" s="39"/>
      <c r="Q202" s="39"/>
      <c r="R202" s="39"/>
      <c r="S202" s="39"/>
      <c r="T202" s="39"/>
      <c r="U202" s="39"/>
      <c r="V202" s="39"/>
      <c r="W202" s="39"/>
      <c r="X202" s="39"/>
      <c r="Y202" s="39"/>
      <c r="Z202" s="39"/>
      <c r="AB202"/>
      <c r="AC202"/>
      <c r="AD202"/>
    </row>
    <row r="203" spans="1:35" ht="45" x14ac:dyDescent="0.25">
      <c r="A203" s="148">
        <f t="shared" si="23"/>
        <v>200</v>
      </c>
      <c r="B203" s="122" t="s">
        <v>75</v>
      </c>
      <c r="C203" s="73" t="s">
        <v>106</v>
      </c>
      <c r="D203" s="74" t="s">
        <v>157</v>
      </c>
      <c r="E203" s="86" t="s">
        <v>339</v>
      </c>
      <c r="F203" s="34" t="s">
        <v>106</v>
      </c>
      <c r="G203" s="34" t="s">
        <v>106</v>
      </c>
      <c r="H203" s="34" t="s">
        <v>106</v>
      </c>
      <c r="I203" s="132" t="s">
        <v>106</v>
      </c>
      <c r="J203" s="137">
        <v>0</v>
      </c>
      <c r="K203" s="136">
        <v>0</v>
      </c>
      <c r="L203" s="134" t="s">
        <v>107</v>
      </c>
      <c r="M203" s="136" t="s">
        <v>107</v>
      </c>
      <c r="N203" s="140" t="s">
        <v>106</v>
      </c>
      <c r="O203" s="34" t="s">
        <v>106</v>
      </c>
      <c r="P203" s="39"/>
      <c r="AI203" s="3"/>
    </row>
    <row r="204" spans="1:35" ht="45" x14ac:dyDescent="0.25">
      <c r="A204" s="148">
        <f t="shared" si="23"/>
        <v>201</v>
      </c>
      <c r="B204" s="122" t="s">
        <v>75</v>
      </c>
      <c r="C204" s="73" t="s">
        <v>106</v>
      </c>
      <c r="D204" s="74" t="s">
        <v>161</v>
      </c>
      <c r="E204" s="86" t="s">
        <v>340</v>
      </c>
      <c r="F204" s="34" t="s">
        <v>106</v>
      </c>
      <c r="G204" s="34" t="s">
        <v>106</v>
      </c>
      <c r="H204" s="34" t="s">
        <v>106</v>
      </c>
      <c r="I204" s="132" t="s">
        <v>106</v>
      </c>
      <c r="J204" s="137">
        <v>0</v>
      </c>
      <c r="K204" s="136">
        <v>0</v>
      </c>
      <c r="L204" s="134" t="s">
        <v>107</v>
      </c>
      <c r="M204" s="136" t="s">
        <v>107</v>
      </c>
      <c r="N204" s="140" t="s">
        <v>106</v>
      </c>
      <c r="O204" s="34" t="s">
        <v>106</v>
      </c>
      <c r="P204" s="39"/>
    </row>
    <row r="205" spans="1:35" ht="45" x14ac:dyDescent="0.25">
      <c r="A205" s="148">
        <f t="shared" si="23"/>
        <v>202</v>
      </c>
      <c r="B205" s="122" t="s">
        <v>75</v>
      </c>
      <c r="C205" s="73" t="s">
        <v>106</v>
      </c>
      <c r="D205" s="74" t="s">
        <v>157</v>
      </c>
      <c r="E205" s="74" t="s">
        <v>341</v>
      </c>
      <c r="F205" s="34" t="s">
        <v>106</v>
      </c>
      <c r="G205" s="34" t="s">
        <v>106</v>
      </c>
      <c r="H205" s="34" t="s">
        <v>106</v>
      </c>
      <c r="I205" s="132" t="s">
        <v>106</v>
      </c>
      <c r="J205" s="137">
        <v>0</v>
      </c>
      <c r="K205" s="136">
        <v>0</v>
      </c>
      <c r="L205" s="134" t="s">
        <v>107</v>
      </c>
      <c r="M205" s="136" t="s">
        <v>107</v>
      </c>
      <c r="N205" s="140" t="s">
        <v>106</v>
      </c>
      <c r="O205" s="34" t="s">
        <v>106</v>
      </c>
      <c r="P205" s="39"/>
    </row>
    <row r="206" spans="1:35" ht="45" x14ac:dyDescent="0.25">
      <c r="A206" s="148">
        <f t="shared" si="23"/>
        <v>203</v>
      </c>
      <c r="B206" s="122" t="s">
        <v>75</v>
      </c>
      <c r="C206" s="73" t="s">
        <v>106</v>
      </c>
      <c r="D206" s="74" t="s">
        <v>166</v>
      </c>
      <c r="E206" s="74" t="s">
        <v>342</v>
      </c>
      <c r="F206" s="34" t="s">
        <v>106</v>
      </c>
      <c r="G206" s="34" t="s">
        <v>106</v>
      </c>
      <c r="H206" s="34" t="s">
        <v>106</v>
      </c>
      <c r="I206" s="132" t="s">
        <v>106</v>
      </c>
      <c r="J206" s="137">
        <v>0</v>
      </c>
      <c r="K206" s="136">
        <v>0</v>
      </c>
      <c r="L206" s="134" t="s">
        <v>107</v>
      </c>
      <c r="M206" s="136" t="s">
        <v>107</v>
      </c>
      <c r="N206" s="140" t="s">
        <v>106</v>
      </c>
      <c r="O206" s="34" t="s">
        <v>106</v>
      </c>
      <c r="P206" s="39"/>
    </row>
    <row r="207" spans="1:35" ht="45" x14ac:dyDescent="0.25">
      <c r="A207" s="148">
        <f t="shared" si="23"/>
        <v>204</v>
      </c>
      <c r="B207" s="122" t="s">
        <v>75</v>
      </c>
      <c r="C207" s="73" t="s">
        <v>106</v>
      </c>
      <c r="D207" s="74" t="s">
        <v>157</v>
      </c>
      <c r="E207" s="74" t="s">
        <v>343</v>
      </c>
      <c r="F207" s="34" t="s">
        <v>106</v>
      </c>
      <c r="G207" s="34" t="s">
        <v>106</v>
      </c>
      <c r="H207" s="34" t="s">
        <v>106</v>
      </c>
      <c r="I207" s="132" t="s">
        <v>106</v>
      </c>
      <c r="J207" s="137">
        <v>0</v>
      </c>
      <c r="K207" s="136">
        <v>0</v>
      </c>
      <c r="L207" s="134" t="s">
        <v>107</v>
      </c>
      <c r="M207" s="136" t="s">
        <v>107</v>
      </c>
      <c r="N207" s="140" t="s">
        <v>106</v>
      </c>
      <c r="O207" s="34" t="s">
        <v>106</v>
      </c>
      <c r="P207" s="39"/>
    </row>
    <row r="208" spans="1:35" ht="45" x14ac:dyDescent="0.25">
      <c r="A208" s="148">
        <f t="shared" si="23"/>
        <v>205</v>
      </c>
      <c r="B208" s="122" t="s">
        <v>75</v>
      </c>
      <c r="C208" s="73" t="s">
        <v>106</v>
      </c>
      <c r="D208" s="74" t="s">
        <v>172</v>
      </c>
      <c r="E208" s="74" t="s">
        <v>344</v>
      </c>
      <c r="F208" s="34" t="s">
        <v>106</v>
      </c>
      <c r="G208" s="34" t="s">
        <v>106</v>
      </c>
      <c r="H208" s="34" t="s">
        <v>106</v>
      </c>
      <c r="I208" s="132" t="s">
        <v>106</v>
      </c>
      <c r="J208" s="137">
        <v>0</v>
      </c>
      <c r="K208" s="136">
        <v>0</v>
      </c>
      <c r="L208" s="134" t="s">
        <v>107</v>
      </c>
      <c r="M208" s="136" t="s">
        <v>107</v>
      </c>
      <c r="N208" s="140" t="s">
        <v>106</v>
      </c>
      <c r="O208" s="34" t="s">
        <v>106</v>
      </c>
      <c r="P208" s="39"/>
    </row>
    <row r="209" spans="1:16" ht="45" x14ac:dyDescent="0.25">
      <c r="A209" s="148">
        <f t="shared" si="23"/>
        <v>206</v>
      </c>
      <c r="B209" s="122" t="s">
        <v>75</v>
      </c>
      <c r="C209" s="73" t="s">
        <v>106</v>
      </c>
      <c r="D209" s="74" t="s">
        <v>108</v>
      </c>
      <c r="E209" s="74" t="s">
        <v>345</v>
      </c>
      <c r="F209" s="34" t="s">
        <v>106</v>
      </c>
      <c r="G209" s="34" t="s">
        <v>106</v>
      </c>
      <c r="H209" s="34" t="s">
        <v>106</v>
      </c>
      <c r="I209" s="132" t="s">
        <v>106</v>
      </c>
      <c r="J209" s="137">
        <v>0</v>
      </c>
      <c r="K209" s="136">
        <v>0</v>
      </c>
      <c r="L209" s="134" t="s">
        <v>107</v>
      </c>
      <c r="M209" s="136" t="s">
        <v>107</v>
      </c>
      <c r="N209" s="140" t="s">
        <v>106</v>
      </c>
      <c r="O209" s="34" t="s">
        <v>106</v>
      </c>
      <c r="P209" s="39"/>
    </row>
    <row r="210" spans="1:16" ht="45" x14ac:dyDescent="0.25">
      <c r="A210" s="148">
        <f t="shared" si="23"/>
        <v>207</v>
      </c>
      <c r="B210" s="122" t="s">
        <v>75</v>
      </c>
      <c r="C210" s="73" t="s">
        <v>106</v>
      </c>
      <c r="D210" s="74" t="s">
        <v>157</v>
      </c>
      <c r="E210" s="74" t="s">
        <v>346</v>
      </c>
      <c r="F210" s="34" t="s">
        <v>106</v>
      </c>
      <c r="G210" s="34" t="s">
        <v>106</v>
      </c>
      <c r="H210" s="34" t="s">
        <v>106</v>
      </c>
      <c r="I210" s="132" t="s">
        <v>106</v>
      </c>
      <c r="J210" s="137">
        <v>0</v>
      </c>
      <c r="K210" s="136">
        <v>0</v>
      </c>
      <c r="L210" s="134" t="s">
        <v>107</v>
      </c>
      <c r="M210" s="136" t="s">
        <v>107</v>
      </c>
      <c r="N210" s="140" t="s">
        <v>106</v>
      </c>
      <c r="O210" s="34" t="s">
        <v>106</v>
      </c>
      <c r="P210" s="39"/>
    </row>
    <row r="211" spans="1:16" ht="45" x14ac:dyDescent="0.25">
      <c r="A211" s="148">
        <f t="shared" si="23"/>
        <v>208</v>
      </c>
      <c r="B211" s="122" t="s">
        <v>75</v>
      </c>
      <c r="C211" s="73" t="s">
        <v>106</v>
      </c>
      <c r="D211" s="74" t="s">
        <v>154</v>
      </c>
      <c r="E211" s="86" t="s">
        <v>347</v>
      </c>
      <c r="F211" s="34" t="s">
        <v>106</v>
      </c>
      <c r="G211" s="34" t="s">
        <v>106</v>
      </c>
      <c r="H211" s="34" t="s">
        <v>106</v>
      </c>
      <c r="I211" s="132" t="s">
        <v>106</v>
      </c>
      <c r="J211" s="137">
        <v>0</v>
      </c>
      <c r="K211" s="136">
        <v>0</v>
      </c>
      <c r="L211" s="134" t="s">
        <v>107</v>
      </c>
      <c r="M211" s="136" t="s">
        <v>107</v>
      </c>
      <c r="N211" s="140" t="s">
        <v>106</v>
      </c>
      <c r="O211" s="34" t="s">
        <v>106</v>
      </c>
      <c r="P211" s="39"/>
    </row>
    <row r="212" spans="1:16" ht="45" x14ac:dyDescent="0.25">
      <c r="A212" s="148">
        <f t="shared" si="23"/>
        <v>209</v>
      </c>
      <c r="B212" s="122" t="s">
        <v>75</v>
      </c>
      <c r="C212" s="73" t="s">
        <v>106</v>
      </c>
      <c r="D212" s="74" t="s">
        <v>161</v>
      </c>
      <c r="E212" s="86" t="s">
        <v>348</v>
      </c>
      <c r="F212" s="34" t="s">
        <v>106</v>
      </c>
      <c r="G212" s="34" t="s">
        <v>106</v>
      </c>
      <c r="H212" s="34" t="s">
        <v>106</v>
      </c>
      <c r="I212" s="132" t="s">
        <v>106</v>
      </c>
      <c r="J212" s="137">
        <v>0</v>
      </c>
      <c r="K212" s="136">
        <v>0</v>
      </c>
      <c r="L212" s="134" t="s">
        <v>107</v>
      </c>
      <c r="M212" s="136" t="s">
        <v>107</v>
      </c>
      <c r="N212" s="140" t="s">
        <v>106</v>
      </c>
      <c r="O212" s="34" t="s">
        <v>106</v>
      </c>
      <c r="P212" s="39"/>
    </row>
    <row r="213" spans="1:16" ht="45" x14ac:dyDescent="0.25">
      <c r="A213" s="148">
        <f t="shared" si="23"/>
        <v>210</v>
      </c>
      <c r="B213" s="122" t="s">
        <v>75</v>
      </c>
      <c r="C213" s="73" t="s">
        <v>106</v>
      </c>
      <c r="D213" s="74" t="s">
        <v>172</v>
      </c>
      <c r="E213" s="86" t="s">
        <v>349</v>
      </c>
      <c r="F213" s="34" t="s">
        <v>106</v>
      </c>
      <c r="G213" s="34" t="s">
        <v>106</v>
      </c>
      <c r="H213" s="34" t="s">
        <v>106</v>
      </c>
      <c r="I213" s="132" t="s">
        <v>106</v>
      </c>
      <c r="J213" s="137">
        <v>0</v>
      </c>
      <c r="K213" s="136">
        <v>0</v>
      </c>
      <c r="L213" s="134" t="s">
        <v>107</v>
      </c>
      <c r="M213" s="136" t="s">
        <v>107</v>
      </c>
      <c r="N213" s="140" t="s">
        <v>106</v>
      </c>
      <c r="O213" s="34" t="s">
        <v>106</v>
      </c>
      <c r="P213" s="39"/>
    </row>
    <row r="214" spans="1:16" ht="45" x14ac:dyDescent="0.25">
      <c r="A214" s="148">
        <f t="shared" si="23"/>
        <v>211</v>
      </c>
      <c r="B214" s="122" t="s">
        <v>75</v>
      </c>
      <c r="C214" s="73" t="s">
        <v>106</v>
      </c>
      <c r="D214" s="74" t="s">
        <v>157</v>
      </c>
      <c r="E214" s="74" t="s">
        <v>350</v>
      </c>
      <c r="F214" s="34" t="s">
        <v>106</v>
      </c>
      <c r="G214" s="34" t="s">
        <v>106</v>
      </c>
      <c r="H214" s="34" t="s">
        <v>106</v>
      </c>
      <c r="I214" s="132" t="s">
        <v>106</v>
      </c>
      <c r="J214" s="137">
        <v>0</v>
      </c>
      <c r="K214" s="136">
        <v>0</v>
      </c>
      <c r="L214" s="134" t="s">
        <v>107</v>
      </c>
      <c r="M214" s="136" t="s">
        <v>107</v>
      </c>
      <c r="N214" s="140" t="s">
        <v>106</v>
      </c>
      <c r="O214" s="34" t="s">
        <v>106</v>
      </c>
      <c r="P214" s="39"/>
    </row>
    <row r="215" spans="1:16" ht="45" x14ac:dyDescent="0.25">
      <c r="A215" s="148">
        <f t="shared" si="23"/>
        <v>212</v>
      </c>
      <c r="B215" s="122" t="s">
        <v>75</v>
      </c>
      <c r="C215" s="73" t="s">
        <v>106</v>
      </c>
      <c r="D215" s="74" t="s">
        <v>154</v>
      </c>
      <c r="E215" s="74" t="s">
        <v>351</v>
      </c>
      <c r="F215" s="34" t="s">
        <v>106</v>
      </c>
      <c r="G215" s="34" t="s">
        <v>106</v>
      </c>
      <c r="H215" s="34" t="s">
        <v>106</v>
      </c>
      <c r="I215" s="132" t="s">
        <v>106</v>
      </c>
      <c r="J215" s="137">
        <v>0</v>
      </c>
      <c r="K215" s="136">
        <v>0</v>
      </c>
      <c r="L215" s="134" t="s">
        <v>107</v>
      </c>
      <c r="M215" s="136" t="s">
        <v>107</v>
      </c>
      <c r="N215" s="140" t="s">
        <v>106</v>
      </c>
      <c r="O215" s="34" t="s">
        <v>106</v>
      </c>
      <c r="P215" s="39"/>
    </row>
    <row r="216" spans="1:16" ht="45" x14ac:dyDescent="0.25">
      <c r="A216" s="148">
        <f t="shared" si="23"/>
        <v>213</v>
      </c>
      <c r="B216" s="122" t="s">
        <v>75</v>
      </c>
      <c r="C216" s="73" t="s">
        <v>106</v>
      </c>
      <c r="D216" s="74" t="s">
        <v>157</v>
      </c>
      <c r="E216" s="74" t="s">
        <v>352</v>
      </c>
      <c r="F216" s="34" t="s">
        <v>106</v>
      </c>
      <c r="G216" s="34" t="s">
        <v>106</v>
      </c>
      <c r="H216" s="34" t="s">
        <v>106</v>
      </c>
      <c r="I216" s="132" t="s">
        <v>106</v>
      </c>
      <c r="J216" s="137">
        <v>0</v>
      </c>
      <c r="K216" s="136">
        <v>0</v>
      </c>
      <c r="L216" s="134" t="s">
        <v>107</v>
      </c>
      <c r="M216" s="136" t="s">
        <v>107</v>
      </c>
      <c r="N216" s="140" t="s">
        <v>106</v>
      </c>
      <c r="O216" s="34" t="s">
        <v>106</v>
      </c>
      <c r="P216" s="39"/>
    </row>
    <row r="217" spans="1:16" ht="45" x14ac:dyDescent="0.25">
      <c r="A217" s="148">
        <f t="shared" si="23"/>
        <v>214</v>
      </c>
      <c r="B217" s="122" t="s">
        <v>75</v>
      </c>
      <c r="C217" s="73" t="s">
        <v>106</v>
      </c>
      <c r="D217" s="74" t="s">
        <v>108</v>
      </c>
      <c r="E217" s="74" t="s">
        <v>353</v>
      </c>
      <c r="F217" s="34" t="s">
        <v>106</v>
      </c>
      <c r="G217" s="34" t="s">
        <v>106</v>
      </c>
      <c r="H217" s="34" t="s">
        <v>106</v>
      </c>
      <c r="I217" s="132" t="s">
        <v>106</v>
      </c>
      <c r="J217" s="137">
        <v>0</v>
      </c>
      <c r="K217" s="136">
        <v>0</v>
      </c>
      <c r="L217" s="134" t="s">
        <v>107</v>
      </c>
      <c r="M217" s="136" t="s">
        <v>107</v>
      </c>
      <c r="N217" s="140" t="s">
        <v>106</v>
      </c>
      <c r="O217" s="34" t="s">
        <v>106</v>
      </c>
      <c r="P217" s="39"/>
    </row>
    <row r="218" spans="1:16" ht="45" x14ac:dyDescent="0.25">
      <c r="A218" s="148">
        <f t="shared" si="23"/>
        <v>215</v>
      </c>
      <c r="B218" s="122" t="s">
        <v>75</v>
      </c>
      <c r="C218" s="73" t="s">
        <v>106</v>
      </c>
      <c r="D218" s="74" t="s">
        <v>108</v>
      </c>
      <c r="E218" s="74" t="s">
        <v>354</v>
      </c>
      <c r="F218" s="34" t="s">
        <v>106</v>
      </c>
      <c r="G218" s="34" t="s">
        <v>106</v>
      </c>
      <c r="H218" s="34" t="s">
        <v>106</v>
      </c>
      <c r="I218" s="132" t="s">
        <v>106</v>
      </c>
      <c r="J218" s="137">
        <v>0</v>
      </c>
      <c r="K218" s="136">
        <v>0</v>
      </c>
      <c r="L218" s="134" t="s">
        <v>107</v>
      </c>
      <c r="M218" s="136" t="s">
        <v>107</v>
      </c>
      <c r="N218" s="140" t="s">
        <v>106</v>
      </c>
      <c r="O218" s="34" t="s">
        <v>106</v>
      </c>
      <c r="P218" s="39"/>
    </row>
    <row r="219" spans="1:16" ht="45" x14ac:dyDescent="0.25">
      <c r="A219" s="148">
        <f t="shared" si="23"/>
        <v>216</v>
      </c>
      <c r="B219" s="122" t="s">
        <v>75</v>
      </c>
      <c r="C219" s="73" t="s">
        <v>106</v>
      </c>
      <c r="D219" s="74" t="s">
        <v>154</v>
      </c>
      <c r="E219" s="74" t="s">
        <v>355</v>
      </c>
      <c r="F219" s="34" t="s">
        <v>106</v>
      </c>
      <c r="G219" s="34" t="s">
        <v>106</v>
      </c>
      <c r="H219" s="34" t="s">
        <v>106</v>
      </c>
      <c r="I219" s="132" t="s">
        <v>106</v>
      </c>
      <c r="J219" s="137">
        <v>0</v>
      </c>
      <c r="K219" s="136">
        <v>0</v>
      </c>
      <c r="L219" s="134" t="s">
        <v>107</v>
      </c>
      <c r="M219" s="136" t="s">
        <v>107</v>
      </c>
      <c r="N219" s="140" t="s">
        <v>106</v>
      </c>
      <c r="O219" s="34" t="s">
        <v>106</v>
      </c>
      <c r="P219" s="39"/>
    </row>
    <row r="220" spans="1:16" ht="45" x14ac:dyDescent="0.25">
      <c r="A220" s="148">
        <f t="shared" si="23"/>
        <v>217</v>
      </c>
      <c r="B220" s="122" t="s">
        <v>75</v>
      </c>
      <c r="C220" s="73" t="s">
        <v>106</v>
      </c>
      <c r="D220" s="74" t="s">
        <v>172</v>
      </c>
      <c r="E220" s="74" t="s">
        <v>356</v>
      </c>
      <c r="F220" s="34" t="s">
        <v>106</v>
      </c>
      <c r="G220" s="34" t="s">
        <v>106</v>
      </c>
      <c r="H220" s="34" t="s">
        <v>106</v>
      </c>
      <c r="I220" s="132" t="s">
        <v>106</v>
      </c>
      <c r="J220" s="137">
        <v>0</v>
      </c>
      <c r="K220" s="136">
        <v>0</v>
      </c>
      <c r="L220" s="134" t="s">
        <v>107</v>
      </c>
      <c r="M220" s="136" t="s">
        <v>107</v>
      </c>
      <c r="N220" s="140" t="s">
        <v>106</v>
      </c>
      <c r="O220" s="34" t="s">
        <v>106</v>
      </c>
      <c r="P220" s="39"/>
    </row>
    <row r="221" spans="1:16" ht="45" x14ac:dyDescent="0.25">
      <c r="A221" s="148">
        <f t="shared" si="23"/>
        <v>218</v>
      </c>
      <c r="B221" s="122" t="s">
        <v>75</v>
      </c>
      <c r="C221" s="73"/>
      <c r="D221" s="74" t="s">
        <v>108</v>
      </c>
      <c r="E221" s="74" t="s">
        <v>357</v>
      </c>
      <c r="F221" s="34" t="s">
        <v>106</v>
      </c>
      <c r="G221" s="34" t="s">
        <v>106</v>
      </c>
      <c r="H221" s="34" t="s">
        <v>106</v>
      </c>
      <c r="I221" s="132" t="s">
        <v>106</v>
      </c>
      <c r="J221" s="137">
        <v>0</v>
      </c>
      <c r="K221" s="136">
        <v>0</v>
      </c>
      <c r="L221" s="134" t="s">
        <v>107</v>
      </c>
      <c r="M221" s="136" t="s">
        <v>107</v>
      </c>
      <c r="N221" s="140" t="s">
        <v>106</v>
      </c>
      <c r="O221" s="34" t="s">
        <v>106</v>
      </c>
      <c r="P221" s="39"/>
    </row>
    <row r="222" spans="1:16" ht="45" x14ac:dyDescent="0.25">
      <c r="A222" s="148">
        <f t="shared" si="23"/>
        <v>219</v>
      </c>
      <c r="B222" s="122" t="s">
        <v>75</v>
      </c>
      <c r="C222" s="73" t="s">
        <v>106</v>
      </c>
      <c r="D222" s="74" t="s">
        <v>192</v>
      </c>
      <c r="E222" s="74" t="s">
        <v>358</v>
      </c>
      <c r="F222" s="34" t="s">
        <v>106</v>
      </c>
      <c r="G222" s="34" t="s">
        <v>106</v>
      </c>
      <c r="H222" s="34" t="s">
        <v>106</v>
      </c>
      <c r="I222" s="132" t="s">
        <v>106</v>
      </c>
      <c r="J222" s="137">
        <v>0</v>
      </c>
      <c r="K222" s="136">
        <v>0</v>
      </c>
      <c r="L222" s="134" t="s">
        <v>107</v>
      </c>
      <c r="M222" s="136" t="s">
        <v>107</v>
      </c>
      <c r="N222" s="140" t="s">
        <v>106</v>
      </c>
      <c r="O222" s="34" t="s">
        <v>106</v>
      </c>
      <c r="P222" s="39"/>
    </row>
    <row r="223" spans="1:16" ht="45" x14ac:dyDescent="0.25">
      <c r="A223" s="148">
        <f t="shared" si="23"/>
        <v>220</v>
      </c>
      <c r="B223" s="122" t="s">
        <v>75</v>
      </c>
      <c r="C223" s="73" t="s">
        <v>106</v>
      </c>
      <c r="D223" s="74" t="s">
        <v>108</v>
      </c>
      <c r="E223" s="74" t="s">
        <v>359</v>
      </c>
      <c r="F223" s="34" t="s">
        <v>106</v>
      </c>
      <c r="G223" s="34" t="s">
        <v>106</v>
      </c>
      <c r="H223" s="34" t="s">
        <v>106</v>
      </c>
      <c r="I223" s="132" t="s">
        <v>106</v>
      </c>
      <c r="J223" s="137">
        <v>0</v>
      </c>
      <c r="K223" s="136">
        <v>0</v>
      </c>
      <c r="L223" s="134" t="s">
        <v>107</v>
      </c>
      <c r="M223" s="136" t="s">
        <v>107</v>
      </c>
      <c r="N223" s="140" t="s">
        <v>106</v>
      </c>
      <c r="O223" s="34" t="s">
        <v>106</v>
      </c>
      <c r="P223" s="39"/>
    </row>
    <row r="224" spans="1:16" ht="45" x14ac:dyDescent="0.25">
      <c r="A224" s="148">
        <f t="shared" si="23"/>
        <v>221</v>
      </c>
      <c r="B224" s="122" t="s">
        <v>75</v>
      </c>
      <c r="C224" s="73" t="s">
        <v>106</v>
      </c>
      <c r="D224" s="74" t="s">
        <v>157</v>
      </c>
      <c r="E224" s="74" t="s">
        <v>360</v>
      </c>
      <c r="F224" s="34" t="s">
        <v>106</v>
      </c>
      <c r="G224" s="34" t="s">
        <v>106</v>
      </c>
      <c r="H224" s="34" t="s">
        <v>106</v>
      </c>
      <c r="I224" s="132" t="s">
        <v>106</v>
      </c>
      <c r="J224" s="137">
        <v>0</v>
      </c>
      <c r="K224" s="136">
        <v>0</v>
      </c>
      <c r="L224" s="134" t="s">
        <v>107</v>
      </c>
      <c r="M224" s="136" t="s">
        <v>107</v>
      </c>
      <c r="N224" s="140" t="s">
        <v>106</v>
      </c>
      <c r="O224" s="34" t="s">
        <v>106</v>
      </c>
      <c r="P224" s="39"/>
    </row>
    <row r="225" spans="1:16" ht="45" x14ac:dyDescent="0.25">
      <c r="A225" s="148">
        <f t="shared" si="23"/>
        <v>222</v>
      </c>
      <c r="B225" s="122" t="s">
        <v>75</v>
      </c>
      <c r="C225" s="73" t="s">
        <v>106</v>
      </c>
      <c r="D225" s="74" t="s">
        <v>161</v>
      </c>
      <c r="E225" s="86" t="s">
        <v>361</v>
      </c>
      <c r="F225" s="34" t="s">
        <v>106</v>
      </c>
      <c r="G225" s="34" t="s">
        <v>106</v>
      </c>
      <c r="H225" s="34" t="s">
        <v>106</v>
      </c>
      <c r="I225" s="132" t="s">
        <v>106</v>
      </c>
      <c r="J225" s="137">
        <v>0</v>
      </c>
      <c r="K225" s="136">
        <v>0</v>
      </c>
      <c r="L225" s="134" t="s">
        <v>107</v>
      </c>
      <c r="M225" s="136" t="s">
        <v>107</v>
      </c>
      <c r="N225" s="140" t="s">
        <v>106</v>
      </c>
      <c r="O225" s="34" t="s">
        <v>106</v>
      </c>
      <c r="P225" s="39"/>
    </row>
    <row r="226" spans="1:16" ht="45" x14ac:dyDescent="0.25">
      <c r="A226" s="148">
        <f t="shared" si="23"/>
        <v>223</v>
      </c>
      <c r="B226" s="122" t="s">
        <v>75</v>
      </c>
      <c r="C226" s="73" t="s">
        <v>106</v>
      </c>
      <c r="D226" s="74" t="s">
        <v>172</v>
      </c>
      <c r="E226" s="74" t="s">
        <v>362</v>
      </c>
      <c r="F226" s="34" t="s">
        <v>106</v>
      </c>
      <c r="G226" s="34" t="s">
        <v>106</v>
      </c>
      <c r="H226" s="34" t="s">
        <v>106</v>
      </c>
      <c r="I226" s="132" t="s">
        <v>106</v>
      </c>
      <c r="J226" s="137">
        <v>0</v>
      </c>
      <c r="K226" s="136">
        <v>0</v>
      </c>
      <c r="L226" s="134" t="s">
        <v>107</v>
      </c>
      <c r="M226" s="136" t="s">
        <v>107</v>
      </c>
      <c r="N226" s="140" t="s">
        <v>106</v>
      </c>
      <c r="O226" s="34" t="s">
        <v>106</v>
      </c>
      <c r="P226" s="39"/>
    </row>
    <row r="227" spans="1:16" ht="45" x14ac:dyDescent="0.25">
      <c r="A227" s="148">
        <f t="shared" si="23"/>
        <v>224</v>
      </c>
      <c r="B227" s="123" t="s">
        <v>76</v>
      </c>
      <c r="C227" s="73" t="s">
        <v>106</v>
      </c>
      <c r="D227" s="74" t="s">
        <v>108</v>
      </c>
      <c r="E227" s="86" t="s">
        <v>363</v>
      </c>
      <c r="F227" s="34" t="s">
        <v>106</v>
      </c>
      <c r="G227" s="34" t="s">
        <v>106</v>
      </c>
      <c r="H227" s="34" t="s">
        <v>106</v>
      </c>
      <c r="I227" s="132" t="s">
        <v>106</v>
      </c>
      <c r="J227" s="137">
        <v>0</v>
      </c>
      <c r="K227" s="136">
        <v>0</v>
      </c>
      <c r="L227" s="134" t="s">
        <v>107</v>
      </c>
      <c r="M227" s="136" t="s">
        <v>107</v>
      </c>
      <c r="N227" s="140" t="s">
        <v>106</v>
      </c>
      <c r="O227" s="34" t="s">
        <v>106</v>
      </c>
      <c r="P227" s="39"/>
    </row>
    <row r="228" spans="1:16" ht="45" x14ac:dyDescent="0.25">
      <c r="A228" s="148">
        <f t="shared" si="23"/>
        <v>225</v>
      </c>
      <c r="B228" s="123" t="s">
        <v>76</v>
      </c>
      <c r="C228" s="73" t="s">
        <v>106</v>
      </c>
      <c r="D228" s="74" t="s">
        <v>157</v>
      </c>
      <c r="E228" s="86" t="s">
        <v>364</v>
      </c>
      <c r="F228" s="34" t="s">
        <v>106</v>
      </c>
      <c r="G228" s="34" t="s">
        <v>106</v>
      </c>
      <c r="H228" s="34" t="s">
        <v>106</v>
      </c>
      <c r="I228" s="132" t="s">
        <v>106</v>
      </c>
      <c r="J228" s="137">
        <v>0</v>
      </c>
      <c r="K228" s="136">
        <v>0</v>
      </c>
      <c r="L228" s="134" t="s">
        <v>107</v>
      </c>
      <c r="M228" s="136" t="s">
        <v>107</v>
      </c>
      <c r="N228" s="140" t="s">
        <v>106</v>
      </c>
      <c r="O228" s="34" t="s">
        <v>106</v>
      </c>
      <c r="P228" s="39"/>
    </row>
    <row r="229" spans="1:16" ht="45" x14ac:dyDescent="0.25">
      <c r="A229" s="148">
        <f t="shared" si="23"/>
        <v>226</v>
      </c>
      <c r="B229" s="123" t="s">
        <v>76</v>
      </c>
      <c r="C229" s="73" t="s">
        <v>106</v>
      </c>
      <c r="D229" s="74" t="s">
        <v>172</v>
      </c>
      <c r="E229" s="74" t="s">
        <v>365</v>
      </c>
      <c r="F229" s="34" t="s">
        <v>106</v>
      </c>
      <c r="G229" s="34" t="s">
        <v>106</v>
      </c>
      <c r="H229" s="34" t="s">
        <v>106</v>
      </c>
      <c r="I229" s="132" t="s">
        <v>106</v>
      </c>
      <c r="J229" s="137">
        <v>0</v>
      </c>
      <c r="K229" s="136">
        <v>0</v>
      </c>
      <c r="L229" s="134" t="s">
        <v>107</v>
      </c>
      <c r="M229" s="136" t="s">
        <v>107</v>
      </c>
      <c r="N229" s="140" t="s">
        <v>106</v>
      </c>
      <c r="O229" s="34" t="s">
        <v>106</v>
      </c>
      <c r="P229" s="39"/>
    </row>
    <row r="230" spans="1:16" ht="45" x14ac:dyDescent="0.25">
      <c r="A230" s="148">
        <f t="shared" si="23"/>
        <v>227</v>
      </c>
      <c r="B230" s="123" t="s">
        <v>76</v>
      </c>
      <c r="C230" s="73" t="s">
        <v>106</v>
      </c>
      <c r="D230" s="74" t="s">
        <v>161</v>
      </c>
      <c r="E230" s="86" t="s">
        <v>366</v>
      </c>
      <c r="F230" s="34" t="s">
        <v>106</v>
      </c>
      <c r="G230" s="34" t="s">
        <v>106</v>
      </c>
      <c r="H230" s="34" t="s">
        <v>106</v>
      </c>
      <c r="I230" s="132" t="s">
        <v>106</v>
      </c>
      <c r="J230" s="137">
        <v>0</v>
      </c>
      <c r="K230" s="136">
        <v>0</v>
      </c>
      <c r="L230" s="134" t="s">
        <v>107</v>
      </c>
      <c r="M230" s="136" t="s">
        <v>107</v>
      </c>
      <c r="N230" s="140" t="s">
        <v>106</v>
      </c>
      <c r="O230" s="34" t="s">
        <v>106</v>
      </c>
      <c r="P230" s="39"/>
    </row>
    <row r="231" spans="1:16" ht="30" x14ac:dyDescent="0.25">
      <c r="A231" s="148">
        <f t="shared" si="23"/>
        <v>228</v>
      </c>
      <c r="B231" s="124" t="s">
        <v>77</v>
      </c>
      <c r="C231" s="73" t="s">
        <v>106</v>
      </c>
      <c r="D231" s="74" t="s">
        <v>166</v>
      </c>
      <c r="E231" s="86" t="s">
        <v>367</v>
      </c>
      <c r="F231" s="34" t="s">
        <v>106</v>
      </c>
      <c r="G231" s="34" t="s">
        <v>106</v>
      </c>
      <c r="H231" s="34" t="s">
        <v>106</v>
      </c>
      <c r="I231" s="132" t="s">
        <v>106</v>
      </c>
      <c r="J231" s="137">
        <v>0</v>
      </c>
      <c r="K231" s="136">
        <v>0</v>
      </c>
      <c r="L231" s="134" t="s">
        <v>107</v>
      </c>
      <c r="M231" s="136" t="s">
        <v>107</v>
      </c>
      <c r="N231" s="140" t="s">
        <v>106</v>
      </c>
      <c r="O231" s="34" t="s">
        <v>106</v>
      </c>
      <c r="P231" s="39"/>
    </row>
    <row r="232" spans="1:16" ht="30" x14ac:dyDescent="0.25">
      <c r="A232" s="148">
        <f t="shared" si="23"/>
        <v>229</v>
      </c>
      <c r="B232" s="124" t="s">
        <v>77</v>
      </c>
      <c r="C232" s="73" t="s">
        <v>106</v>
      </c>
      <c r="D232" s="74" t="s">
        <v>172</v>
      </c>
      <c r="E232" s="86" t="s">
        <v>368</v>
      </c>
      <c r="F232" s="34" t="s">
        <v>106</v>
      </c>
      <c r="G232" s="34" t="s">
        <v>106</v>
      </c>
      <c r="H232" s="34" t="s">
        <v>106</v>
      </c>
      <c r="I232" s="132" t="s">
        <v>106</v>
      </c>
      <c r="J232" s="137">
        <v>0</v>
      </c>
      <c r="K232" s="136">
        <v>0</v>
      </c>
      <c r="L232" s="134" t="s">
        <v>107</v>
      </c>
      <c r="M232" s="136" t="s">
        <v>107</v>
      </c>
      <c r="N232" s="140" t="s">
        <v>106</v>
      </c>
      <c r="O232" s="34" t="s">
        <v>106</v>
      </c>
      <c r="P232" s="39"/>
    </row>
    <row r="233" spans="1:16" ht="30" x14ac:dyDescent="0.25">
      <c r="A233" s="148">
        <f t="shared" si="23"/>
        <v>230</v>
      </c>
      <c r="B233" s="124" t="s">
        <v>77</v>
      </c>
      <c r="C233" s="73" t="s">
        <v>106</v>
      </c>
      <c r="D233" s="74" t="s">
        <v>108</v>
      </c>
      <c r="E233" s="86" t="s">
        <v>369</v>
      </c>
      <c r="F233" s="34" t="s">
        <v>106</v>
      </c>
      <c r="G233" s="34" t="s">
        <v>106</v>
      </c>
      <c r="H233" s="34" t="s">
        <v>106</v>
      </c>
      <c r="I233" s="132" t="s">
        <v>106</v>
      </c>
      <c r="J233" s="137">
        <v>0</v>
      </c>
      <c r="K233" s="136">
        <v>0</v>
      </c>
      <c r="L233" s="134" t="s">
        <v>107</v>
      </c>
      <c r="M233" s="136" t="s">
        <v>107</v>
      </c>
      <c r="N233" s="140" t="s">
        <v>106</v>
      </c>
      <c r="O233" s="34" t="s">
        <v>106</v>
      </c>
      <c r="P233" s="39"/>
    </row>
    <row r="234" spans="1:16" ht="30" x14ac:dyDescent="0.25">
      <c r="A234" s="148">
        <f t="shared" si="23"/>
        <v>231</v>
      </c>
      <c r="B234" s="124" t="s">
        <v>77</v>
      </c>
      <c r="C234" s="73" t="s">
        <v>106</v>
      </c>
      <c r="D234" s="74" t="s">
        <v>172</v>
      </c>
      <c r="E234" s="86" t="s">
        <v>370</v>
      </c>
      <c r="F234" s="34" t="s">
        <v>106</v>
      </c>
      <c r="G234" s="34" t="s">
        <v>106</v>
      </c>
      <c r="H234" s="34" t="s">
        <v>106</v>
      </c>
      <c r="I234" s="132" t="s">
        <v>106</v>
      </c>
      <c r="J234" s="137">
        <v>0</v>
      </c>
      <c r="K234" s="136">
        <v>0</v>
      </c>
      <c r="L234" s="134" t="s">
        <v>107</v>
      </c>
      <c r="M234" s="136" t="s">
        <v>107</v>
      </c>
      <c r="N234" s="140" t="s">
        <v>106</v>
      </c>
      <c r="O234" s="34" t="s">
        <v>106</v>
      </c>
      <c r="P234" s="39"/>
    </row>
    <row r="235" spans="1:16" ht="30" x14ac:dyDescent="0.25">
      <c r="A235" s="148">
        <f t="shared" si="23"/>
        <v>232</v>
      </c>
      <c r="B235" s="124" t="s">
        <v>77</v>
      </c>
      <c r="C235" s="73" t="s">
        <v>106</v>
      </c>
      <c r="D235" s="74" t="s">
        <v>161</v>
      </c>
      <c r="E235" s="86" t="s">
        <v>371</v>
      </c>
      <c r="F235" s="34" t="s">
        <v>106</v>
      </c>
      <c r="G235" s="34" t="s">
        <v>106</v>
      </c>
      <c r="H235" s="34" t="s">
        <v>106</v>
      </c>
      <c r="I235" s="132" t="s">
        <v>106</v>
      </c>
      <c r="J235" s="137">
        <v>0</v>
      </c>
      <c r="K235" s="136">
        <v>0</v>
      </c>
      <c r="L235" s="134" t="s">
        <v>107</v>
      </c>
      <c r="M235" s="136" t="s">
        <v>107</v>
      </c>
      <c r="N235" s="140" t="s">
        <v>106</v>
      </c>
      <c r="O235" s="34" t="s">
        <v>106</v>
      </c>
      <c r="P235" s="39"/>
    </row>
    <row r="236" spans="1:16" ht="30" x14ac:dyDescent="0.25">
      <c r="A236" s="148">
        <f t="shared" si="23"/>
        <v>233</v>
      </c>
      <c r="B236" s="124" t="s">
        <v>77</v>
      </c>
      <c r="C236" s="73" t="s">
        <v>106</v>
      </c>
      <c r="D236" s="74" t="s">
        <v>166</v>
      </c>
      <c r="E236" s="86" t="s">
        <v>372</v>
      </c>
      <c r="F236" s="34" t="s">
        <v>106</v>
      </c>
      <c r="G236" s="34" t="s">
        <v>106</v>
      </c>
      <c r="H236" s="34" t="s">
        <v>106</v>
      </c>
      <c r="I236" s="132" t="s">
        <v>106</v>
      </c>
      <c r="J236" s="137">
        <v>0</v>
      </c>
      <c r="K236" s="136">
        <v>0</v>
      </c>
      <c r="L236" s="134" t="s">
        <v>107</v>
      </c>
      <c r="M236" s="136" t="s">
        <v>107</v>
      </c>
      <c r="N236" s="140" t="s">
        <v>106</v>
      </c>
      <c r="O236" s="34" t="s">
        <v>106</v>
      </c>
      <c r="P236" s="39"/>
    </row>
    <row r="237" spans="1:16" ht="30" x14ac:dyDescent="0.25">
      <c r="A237" s="148">
        <f t="shared" si="23"/>
        <v>234</v>
      </c>
      <c r="B237" s="124" t="s">
        <v>77</v>
      </c>
      <c r="C237" s="73" t="s">
        <v>106</v>
      </c>
      <c r="D237" s="74" t="s">
        <v>172</v>
      </c>
      <c r="E237" s="86" t="s">
        <v>373</v>
      </c>
      <c r="F237" s="34" t="s">
        <v>106</v>
      </c>
      <c r="G237" s="34" t="s">
        <v>106</v>
      </c>
      <c r="H237" s="34" t="s">
        <v>106</v>
      </c>
      <c r="I237" s="132" t="s">
        <v>106</v>
      </c>
      <c r="J237" s="137">
        <v>0</v>
      </c>
      <c r="K237" s="136">
        <v>0</v>
      </c>
      <c r="L237" s="134" t="s">
        <v>107</v>
      </c>
      <c r="M237" s="136" t="s">
        <v>107</v>
      </c>
      <c r="N237" s="140" t="s">
        <v>106</v>
      </c>
      <c r="O237" s="34" t="s">
        <v>106</v>
      </c>
      <c r="P237" s="39"/>
    </row>
    <row r="238" spans="1:16" ht="30" x14ac:dyDescent="0.25">
      <c r="A238" s="148">
        <f t="shared" si="23"/>
        <v>235</v>
      </c>
      <c r="B238" s="124" t="s">
        <v>77</v>
      </c>
      <c r="C238" s="73" t="s">
        <v>106</v>
      </c>
      <c r="D238" s="74" t="s">
        <v>108</v>
      </c>
      <c r="E238" s="86" t="s">
        <v>374</v>
      </c>
      <c r="F238" s="34" t="s">
        <v>106</v>
      </c>
      <c r="G238" s="34" t="s">
        <v>106</v>
      </c>
      <c r="H238" s="34" t="s">
        <v>106</v>
      </c>
      <c r="I238" s="132" t="s">
        <v>106</v>
      </c>
      <c r="J238" s="137">
        <v>0</v>
      </c>
      <c r="K238" s="136">
        <v>0</v>
      </c>
      <c r="L238" s="134" t="s">
        <v>107</v>
      </c>
      <c r="M238" s="136" t="s">
        <v>107</v>
      </c>
      <c r="N238" s="140" t="s">
        <v>106</v>
      </c>
      <c r="O238" s="34" t="s">
        <v>106</v>
      </c>
      <c r="P238" s="39"/>
    </row>
    <row r="239" spans="1:16" ht="45" x14ac:dyDescent="0.25">
      <c r="A239" s="148">
        <f t="shared" si="23"/>
        <v>236</v>
      </c>
      <c r="B239" s="125" t="s">
        <v>78</v>
      </c>
      <c r="C239" s="73" t="s">
        <v>106</v>
      </c>
      <c r="D239" s="74" t="s">
        <v>210</v>
      </c>
      <c r="E239" s="86" t="s">
        <v>375</v>
      </c>
      <c r="F239" s="34" t="s">
        <v>106</v>
      </c>
      <c r="G239" s="34" t="s">
        <v>106</v>
      </c>
      <c r="H239" s="34" t="s">
        <v>106</v>
      </c>
      <c r="I239" s="132" t="s">
        <v>106</v>
      </c>
      <c r="J239" s="137">
        <v>0</v>
      </c>
      <c r="K239" s="136">
        <v>0</v>
      </c>
      <c r="L239" s="134" t="s">
        <v>107</v>
      </c>
      <c r="M239" s="136" t="s">
        <v>107</v>
      </c>
      <c r="N239" s="140" t="s">
        <v>106</v>
      </c>
      <c r="O239" s="34" t="s">
        <v>106</v>
      </c>
      <c r="P239" s="39"/>
    </row>
    <row r="240" spans="1:16" ht="45" x14ac:dyDescent="0.25">
      <c r="A240" s="148">
        <f t="shared" si="23"/>
        <v>237</v>
      </c>
      <c r="B240" s="125" t="s">
        <v>376</v>
      </c>
      <c r="C240" s="73" t="s">
        <v>106</v>
      </c>
      <c r="D240" s="74" t="s">
        <v>161</v>
      </c>
      <c r="E240" s="86" t="s">
        <v>377</v>
      </c>
      <c r="F240" s="34" t="s">
        <v>106</v>
      </c>
      <c r="G240" s="34" t="s">
        <v>106</v>
      </c>
      <c r="H240" s="34" t="s">
        <v>106</v>
      </c>
      <c r="I240" s="132" t="s">
        <v>106</v>
      </c>
      <c r="J240" s="137">
        <v>0</v>
      </c>
      <c r="K240" s="136">
        <v>0</v>
      </c>
      <c r="L240" s="134" t="s">
        <v>107</v>
      </c>
      <c r="M240" s="136" t="s">
        <v>107</v>
      </c>
      <c r="N240" s="140" t="s">
        <v>106</v>
      </c>
      <c r="O240" s="34" t="s">
        <v>106</v>
      </c>
      <c r="P240" s="39"/>
    </row>
    <row r="241" spans="1:16" ht="45" x14ac:dyDescent="0.25">
      <c r="A241" s="148">
        <f t="shared" si="23"/>
        <v>238</v>
      </c>
      <c r="B241" s="125" t="s">
        <v>78</v>
      </c>
      <c r="C241" s="73" t="s">
        <v>106</v>
      </c>
      <c r="D241" s="74" t="s">
        <v>161</v>
      </c>
      <c r="E241" s="86" t="s">
        <v>378</v>
      </c>
      <c r="F241" s="34" t="s">
        <v>106</v>
      </c>
      <c r="G241" s="34" t="s">
        <v>106</v>
      </c>
      <c r="H241" s="34" t="s">
        <v>106</v>
      </c>
      <c r="I241" s="132" t="s">
        <v>106</v>
      </c>
      <c r="J241" s="137">
        <v>0</v>
      </c>
      <c r="K241" s="136">
        <v>0</v>
      </c>
      <c r="L241" s="134" t="s">
        <v>107</v>
      </c>
      <c r="M241" s="136" t="s">
        <v>107</v>
      </c>
      <c r="N241" s="140" t="s">
        <v>106</v>
      </c>
      <c r="O241" s="34" t="s">
        <v>106</v>
      </c>
      <c r="P241" s="39"/>
    </row>
    <row r="242" spans="1:16" ht="45" x14ac:dyDescent="0.25">
      <c r="A242" s="148">
        <f t="shared" si="23"/>
        <v>239</v>
      </c>
      <c r="B242" s="125" t="s">
        <v>78</v>
      </c>
      <c r="C242" s="73" t="s">
        <v>106</v>
      </c>
      <c r="D242" s="74" t="s">
        <v>108</v>
      </c>
      <c r="E242" s="86" t="s">
        <v>379</v>
      </c>
      <c r="F242" s="34" t="s">
        <v>106</v>
      </c>
      <c r="G242" s="34" t="s">
        <v>106</v>
      </c>
      <c r="H242" s="34" t="s">
        <v>106</v>
      </c>
      <c r="I242" s="132" t="s">
        <v>106</v>
      </c>
      <c r="J242" s="137">
        <v>0</v>
      </c>
      <c r="K242" s="136">
        <v>0</v>
      </c>
      <c r="L242" s="134" t="s">
        <v>107</v>
      </c>
      <c r="M242" s="136" t="s">
        <v>107</v>
      </c>
      <c r="N242" s="140" t="s">
        <v>106</v>
      </c>
      <c r="O242" s="34" t="s">
        <v>106</v>
      </c>
      <c r="P242" s="39"/>
    </row>
    <row r="243" spans="1:16" ht="45" x14ac:dyDescent="0.25">
      <c r="A243" s="148">
        <f t="shared" si="23"/>
        <v>240</v>
      </c>
      <c r="B243" s="125" t="s">
        <v>78</v>
      </c>
      <c r="C243" s="73" t="s">
        <v>106</v>
      </c>
      <c r="D243" s="74" t="s">
        <v>192</v>
      </c>
      <c r="E243" s="86" t="s">
        <v>380</v>
      </c>
      <c r="F243" s="34" t="s">
        <v>106</v>
      </c>
      <c r="G243" s="34" t="s">
        <v>106</v>
      </c>
      <c r="H243" s="34" t="s">
        <v>106</v>
      </c>
      <c r="I243" s="132" t="s">
        <v>106</v>
      </c>
      <c r="J243" s="137">
        <v>0</v>
      </c>
      <c r="K243" s="136">
        <v>0</v>
      </c>
      <c r="L243" s="134" t="s">
        <v>107</v>
      </c>
      <c r="M243" s="136" t="s">
        <v>107</v>
      </c>
      <c r="N243" s="140" t="s">
        <v>106</v>
      </c>
      <c r="O243" s="34" t="s">
        <v>106</v>
      </c>
      <c r="P243" s="39"/>
    </row>
    <row r="244" spans="1:16" ht="45" x14ac:dyDescent="0.25">
      <c r="A244" s="148">
        <f t="shared" si="23"/>
        <v>241</v>
      </c>
      <c r="B244" s="125" t="s">
        <v>78</v>
      </c>
      <c r="C244" s="73" t="s">
        <v>106</v>
      </c>
      <c r="D244" s="74" t="s">
        <v>172</v>
      </c>
      <c r="E244" s="86" t="s">
        <v>381</v>
      </c>
      <c r="F244" s="34" t="s">
        <v>106</v>
      </c>
      <c r="G244" s="34" t="s">
        <v>106</v>
      </c>
      <c r="H244" s="34" t="s">
        <v>106</v>
      </c>
      <c r="I244" s="132" t="s">
        <v>106</v>
      </c>
      <c r="J244" s="137">
        <v>0</v>
      </c>
      <c r="K244" s="136">
        <v>0</v>
      </c>
      <c r="L244" s="134" t="s">
        <v>107</v>
      </c>
      <c r="M244" s="136" t="s">
        <v>107</v>
      </c>
      <c r="N244" s="140" t="s">
        <v>106</v>
      </c>
      <c r="O244" s="34" t="s">
        <v>106</v>
      </c>
      <c r="P244" s="39"/>
    </row>
    <row r="245" spans="1:16" ht="45" x14ac:dyDescent="0.25">
      <c r="A245" s="148">
        <f t="shared" si="23"/>
        <v>242</v>
      </c>
      <c r="B245" s="125" t="s">
        <v>78</v>
      </c>
      <c r="C245" s="73" t="s">
        <v>106</v>
      </c>
      <c r="D245" s="74" t="s">
        <v>154</v>
      </c>
      <c r="E245" s="86" t="s">
        <v>382</v>
      </c>
      <c r="F245" s="34" t="s">
        <v>106</v>
      </c>
      <c r="G245" s="34" t="s">
        <v>106</v>
      </c>
      <c r="H245" s="34" t="s">
        <v>106</v>
      </c>
      <c r="I245" s="132" t="s">
        <v>106</v>
      </c>
      <c r="J245" s="137">
        <v>0</v>
      </c>
      <c r="K245" s="136">
        <v>0</v>
      </c>
      <c r="L245" s="134" t="s">
        <v>107</v>
      </c>
      <c r="M245" s="136" t="s">
        <v>107</v>
      </c>
      <c r="N245" s="140" t="s">
        <v>106</v>
      </c>
      <c r="O245" s="34" t="s">
        <v>106</v>
      </c>
      <c r="P245" s="39"/>
    </row>
    <row r="246" spans="1:16" ht="45" x14ac:dyDescent="0.25">
      <c r="A246" s="148">
        <f t="shared" si="23"/>
        <v>243</v>
      </c>
      <c r="B246" s="125" t="s">
        <v>78</v>
      </c>
      <c r="C246" s="73" t="s">
        <v>106</v>
      </c>
      <c r="D246" s="74" t="s">
        <v>161</v>
      </c>
      <c r="E246" s="86" t="s">
        <v>383</v>
      </c>
      <c r="F246" s="34" t="s">
        <v>106</v>
      </c>
      <c r="G246" s="34" t="s">
        <v>106</v>
      </c>
      <c r="H246" s="34" t="s">
        <v>106</v>
      </c>
      <c r="I246" s="132" t="s">
        <v>106</v>
      </c>
      <c r="J246" s="137">
        <v>0</v>
      </c>
      <c r="K246" s="136">
        <v>0</v>
      </c>
      <c r="L246" s="134" t="s">
        <v>107</v>
      </c>
      <c r="M246" s="136" t="s">
        <v>107</v>
      </c>
      <c r="N246" s="140" t="s">
        <v>106</v>
      </c>
      <c r="O246" s="34" t="s">
        <v>106</v>
      </c>
      <c r="P246" s="39"/>
    </row>
    <row r="247" spans="1:16" ht="45" x14ac:dyDescent="0.25">
      <c r="A247" s="148">
        <f t="shared" si="23"/>
        <v>244</v>
      </c>
      <c r="B247" s="125" t="s">
        <v>376</v>
      </c>
      <c r="C247" s="73" t="s">
        <v>106</v>
      </c>
      <c r="D247" s="74" t="s">
        <v>157</v>
      </c>
      <c r="E247" s="86" t="s">
        <v>384</v>
      </c>
      <c r="F247" s="34" t="s">
        <v>106</v>
      </c>
      <c r="G247" s="34" t="s">
        <v>106</v>
      </c>
      <c r="H247" s="34" t="s">
        <v>106</v>
      </c>
      <c r="I247" s="132" t="s">
        <v>106</v>
      </c>
      <c r="J247" s="137">
        <v>0</v>
      </c>
      <c r="K247" s="136">
        <v>0</v>
      </c>
      <c r="L247" s="134" t="s">
        <v>107</v>
      </c>
      <c r="M247" s="136" t="s">
        <v>107</v>
      </c>
      <c r="N247" s="140" t="s">
        <v>106</v>
      </c>
      <c r="O247" s="34" t="s">
        <v>106</v>
      </c>
      <c r="P247" s="39"/>
    </row>
    <row r="248" spans="1:16" ht="45" x14ac:dyDescent="0.25">
      <c r="A248" s="148">
        <f t="shared" si="23"/>
        <v>245</v>
      </c>
      <c r="B248" s="125" t="s">
        <v>78</v>
      </c>
      <c r="C248" s="73" t="s">
        <v>106</v>
      </c>
      <c r="D248" s="74" t="s">
        <v>166</v>
      </c>
      <c r="E248" s="86" t="s">
        <v>385</v>
      </c>
      <c r="F248" s="34" t="s">
        <v>106</v>
      </c>
      <c r="G248" s="34" t="s">
        <v>106</v>
      </c>
      <c r="H248" s="34" t="s">
        <v>106</v>
      </c>
      <c r="I248" s="132" t="s">
        <v>106</v>
      </c>
      <c r="J248" s="137">
        <v>0</v>
      </c>
      <c r="K248" s="136">
        <v>0</v>
      </c>
      <c r="L248" s="134" t="s">
        <v>107</v>
      </c>
      <c r="M248" s="136" t="s">
        <v>107</v>
      </c>
      <c r="N248" s="140" t="s">
        <v>106</v>
      </c>
      <c r="O248" s="34" t="s">
        <v>106</v>
      </c>
      <c r="P248" s="39"/>
    </row>
    <row r="249" spans="1:16" ht="45" x14ac:dyDescent="0.25">
      <c r="A249" s="148">
        <f t="shared" si="23"/>
        <v>246</v>
      </c>
      <c r="B249" s="125" t="s">
        <v>78</v>
      </c>
      <c r="C249" s="73" t="s">
        <v>106</v>
      </c>
      <c r="D249" s="74" t="s">
        <v>192</v>
      </c>
      <c r="E249" s="86" t="s">
        <v>386</v>
      </c>
      <c r="F249" s="34" t="s">
        <v>106</v>
      </c>
      <c r="G249" s="34" t="s">
        <v>106</v>
      </c>
      <c r="H249" s="34" t="s">
        <v>106</v>
      </c>
      <c r="I249" s="132" t="s">
        <v>106</v>
      </c>
      <c r="J249" s="137">
        <v>0</v>
      </c>
      <c r="K249" s="136">
        <v>0</v>
      </c>
      <c r="L249" s="134" t="s">
        <v>107</v>
      </c>
      <c r="M249" s="136" t="s">
        <v>107</v>
      </c>
      <c r="N249" s="140" t="s">
        <v>106</v>
      </c>
      <c r="O249" s="34" t="s">
        <v>106</v>
      </c>
      <c r="P249" s="39"/>
    </row>
    <row r="250" spans="1:16" ht="45" x14ac:dyDescent="0.25">
      <c r="A250" s="148">
        <f t="shared" si="23"/>
        <v>247</v>
      </c>
      <c r="B250" s="125" t="s">
        <v>78</v>
      </c>
      <c r="C250" s="73" t="s">
        <v>106</v>
      </c>
      <c r="D250" s="74" t="s">
        <v>210</v>
      </c>
      <c r="E250" s="86" t="s">
        <v>387</v>
      </c>
      <c r="F250" s="34" t="s">
        <v>106</v>
      </c>
      <c r="G250" s="34" t="s">
        <v>106</v>
      </c>
      <c r="H250" s="34" t="s">
        <v>106</v>
      </c>
      <c r="I250" s="132" t="s">
        <v>106</v>
      </c>
      <c r="J250" s="137">
        <v>0</v>
      </c>
      <c r="K250" s="136">
        <v>0</v>
      </c>
      <c r="L250" s="134" t="s">
        <v>107</v>
      </c>
      <c r="M250" s="136" t="s">
        <v>107</v>
      </c>
      <c r="N250" s="140" t="s">
        <v>106</v>
      </c>
      <c r="O250" s="34" t="s">
        <v>106</v>
      </c>
      <c r="P250" s="39"/>
    </row>
    <row r="251" spans="1:16" ht="45" x14ac:dyDescent="0.25">
      <c r="A251" s="148">
        <f t="shared" si="23"/>
        <v>248</v>
      </c>
      <c r="B251" s="125" t="s">
        <v>78</v>
      </c>
      <c r="C251" s="73" t="s">
        <v>106</v>
      </c>
      <c r="D251" s="74" t="s">
        <v>172</v>
      </c>
      <c r="E251" s="86" t="s">
        <v>388</v>
      </c>
      <c r="F251" s="34" t="s">
        <v>106</v>
      </c>
      <c r="G251" s="34" t="s">
        <v>106</v>
      </c>
      <c r="H251" s="34" t="s">
        <v>106</v>
      </c>
      <c r="I251" s="132" t="s">
        <v>106</v>
      </c>
      <c r="J251" s="137">
        <v>0</v>
      </c>
      <c r="K251" s="136">
        <v>0</v>
      </c>
      <c r="L251" s="134" t="s">
        <v>107</v>
      </c>
      <c r="M251" s="136" t="s">
        <v>107</v>
      </c>
      <c r="N251" s="140" t="s">
        <v>106</v>
      </c>
      <c r="O251" s="34" t="s">
        <v>106</v>
      </c>
      <c r="P251" s="39"/>
    </row>
    <row r="252" spans="1:16" ht="45" x14ac:dyDescent="0.25">
      <c r="A252" s="148">
        <f t="shared" si="23"/>
        <v>249</v>
      </c>
      <c r="B252" s="125" t="s">
        <v>78</v>
      </c>
      <c r="C252" s="73" t="s">
        <v>106</v>
      </c>
      <c r="D252" s="74" t="s">
        <v>108</v>
      </c>
      <c r="E252" s="86" t="s">
        <v>389</v>
      </c>
      <c r="F252" s="34" t="s">
        <v>106</v>
      </c>
      <c r="G252" s="34" t="s">
        <v>106</v>
      </c>
      <c r="H252" s="34" t="s">
        <v>106</v>
      </c>
      <c r="I252" s="132" t="s">
        <v>106</v>
      </c>
      <c r="J252" s="137">
        <v>0</v>
      </c>
      <c r="K252" s="136">
        <v>0</v>
      </c>
      <c r="L252" s="134" t="s">
        <v>107</v>
      </c>
      <c r="M252" s="136" t="s">
        <v>107</v>
      </c>
      <c r="N252" s="140" t="s">
        <v>106</v>
      </c>
      <c r="O252" s="34" t="s">
        <v>106</v>
      </c>
      <c r="P252" s="39"/>
    </row>
    <row r="253" spans="1:16" ht="45" x14ac:dyDescent="0.25">
      <c r="A253" s="148">
        <f t="shared" si="23"/>
        <v>250</v>
      </c>
      <c r="B253" s="125" t="s">
        <v>78</v>
      </c>
      <c r="C253" s="73" t="s">
        <v>106</v>
      </c>
      <c r="D253" s="74" t="s">
        <v>108</v>
      </c>
      <c r="E253" s="86" t="s">
        <v>390</v>
      </c>
      <c r="F253" s="34" t="s">
        <v>106</v>
      </c>
      <c r="G253" s="34" t="s">
        <v>106</v>
      </c>
      <c r="H253" s="34" t="s">
        <v>106</v>
      </c>
      <c r="I253" s="132" t="s">
        <v>106</v>
      </c>
      <c r="J253" s="137">
        <v>0</v>
      </c>
      <c r="K253" s="136">
        <v>0</v>
      </c>
      <c r="L253" s="134" t="s">
        <v>107</v>
      </c>
      <c r="M253" s="136" t="s">
        <v>107</v>
      </c>
      <c r="N253" s="140" t="s">
        <v>106</v>
      </c>
      <c r="O253" s="34" t="s">
        <v>106</v>
      </c>
      <c r="P253" s="39"/>
    </row>
    <row r="254" spans="1:16" ht="45" x14ac:dyDescent="0.25">
      <c r="A254" s="148">
        <f t="shared" si="23"/>
        <v>251</v>
      </c>
      <c r="B254" s="125" t="s">
        <v>78</v>
      </c>
      <c r="C254" s="73" t="s">
        <v>106</v>
      </c>
      <c r="D254" s="74" t="s">
        <v>192</v>
      </c>
      <c r="E254" s="86" t="s">
        <v>391</v>
      </c>
      <c r="F254" s="34" t="s">
        <v>106</v>
      </c>
      <c r="G254" s="34" t="s">
        <v>106</v>
      </c>
      <c r="H254" s="34" t="s">
        <v>106</v>
      </c>
      <c r="I254" s="132" t="s">
        <v>106</v>
      </c>
      <c r="J254" s="137">
        <v>0</v>
      </c>
      <c r="K254" s="136">
        <v>0</v>
      </c>
      <c r="L254" s="134" t="s">
        <v>107</v>
      </c>
      <c r="M254" s="136" t="s">
        <v>107</v>
      </c>
      <c r="N254" s="140" t="s">
        <v>106</v>
      </c>
      <c r="O254" s="34" t="s">
        <v>106</v>
      </c>
      <c r="P254" s="39"/>
    </row>
    <row r="255" spans="1:16" ht="45" x14ac:dyDescent="0.25">
      <c r="A255" s="148">
        <f t="shared" si="23"/>
        <v>252</v>
      </c>
      <c r="B255" s="125" t="s">
        <v>78</v>
      </c>
      <c r="C255" s="73" t="s">
        <v>106</v>
      </c>
      <c r="D255" s="74" t="s">
        <v>161</v>
      </c>
      <c r="E255" s="86" t="s">
        <v>392</v>
      </c>
      <c r="F255" s="34" t="s">
        <v>106</v>
      </c>
      <c r="G255" s="34" t="s">
        <v>106</v>
      </c>
      <c r="H255" s="34" t="s">
        <v>106</v>
      </c>
      <c r="I255" s="132" t="s">
        <v>106</v>
      </c>
      <c r="J255" s="137">
        <v>0</v>
      </c>
      <c r="K255" s="136">
        <v>0</v>
      </c>
      <c r="L255" s="134" t="s">
        <v>107</v>
      </c>
      <c r="M255" s="136" t="s">
        <v>107</v>
      </c>
      <c r="N255" s="140" t="s">
        <v>106</v>
      </c>
      <c r="O255" s="34" t="s">
        <v>106</v>
      </c>
      <c r="P255" s="39"/>
    </row>
    <row r="256" spans="1:16" ht="45" x14ac:dyDescent="0.25">
      <c r="A256" s="148">
        <f t="shared" si="23"/>
        <v>253</v>
      </c>
      <c r="B256" s="125" t="s">
        <v>78</v>
      </c>
      <c r="C256" s="73" t="s">
        <v>106</v>
      </c>
      <c r="D256" s="74" t="s">
        <v>172</v>
      </c>
      <c r="E256" s="86" t="s">
        <v>393</v>
      </c>
      <c r="F256" s="34" t="s">
        <v>106</v>
      </c>
      <c r="G256" s="34" t="s">
        <v>106</v>
      </c>
      <c r="H256" s="34" t="s">
        <v>106</v>
      </c>
      <c r="I256" s="132" t="s">
        <v>106</v>
      </c>
      <c r="J256" s="137">
        <v>0</v>
      </c>
      <c r="K256" s="136">
        <v>0</v>
      </c>
      <c r="L256" s="134" t="s">
        <v>107</v>
      </c>
      <c r="M256" s="136" t="s">
        <v>107</v>
      </c>
      <c r="N256" s="140" t="s">
        <v>106</v>
      </c>
      <c r="O256" s="34" t="s">
        <v>106</v>
      </c>
      <c r="P256" s="39"/>
    </row>
    <row r="257" spans="1:16" ht="45" x14ac:dyDescent="0.25">
      <c r="A257" s="148">
        <f t="shared" si="23"/>
        <v>254</v>
      </c>
      <c r="B257" s="125" t="s">
        <v>78</v>
      </c>
      <c r="C257" s="73" t="s">
        <v>106</v>
      </c>
      <c r="D257" s="74" t="s">
        <v>157</v>
      </c>
      <c r="E257" s="86" t="s">
        <v>394</v>
      </c>
      <c r="F257" s="34" t="s">
        <v>106</v>
      </c>
      <c r="G257" s="34" t="s">
        <v>106</v>
      </c>
      <c r="H257" s="34" t="s">
        <v>106</v>
      </c>
      <c r="I257" s="132" t="s">
        <v>106</v>
      </c>
      <c r="J257" s="137">
        <v>0</v>
      </c>
      <c r="K257" s="136">
        <v>0</v>
      </c>
      <c r="L257" s="134" t="s">
        <v>107</v>
      </c>
      <c r="M257" s="136" t="s">
        <v>107</v>
      </c>
      <c r="N257" s="140" t="s">
        <v>106</v>
      </c>
      <c r="O257" s="34" t="s">
        <v>106</v>
      </c>
      <c r="P257" s="39"/>
    </row>
    <row r="258" spans="1:16" ht="45" x14ac:dyDescent="0.25">
      <c r="A258" s="148">
        <f t="shared" si="23"/>
        <v>255</v>
      </c>
      <c r="B258" s="125" t="s">
        <v>78</v>
      </c>
      <c r="C258" s="73" t="s">
        <v>106</v>
      </c>
      <c r="D258" s="74" t="s">
        <v>154</v>
      </c>
      <c r="E258" s="86" t="s">
        <v>395</v>
      </c>
      <c r="F258" s="34" t="s">
        <v>106</v>
      </c>
      <c r="G258" s="34" t="s">
        <v>106</v>
      </c>
      <c r="H258" s="34" t="s">
        <v>106</v>
      </c>
      <c r="I258" s="132" t="s">
        <v>106</v>
      </c>
      <c r="J258" s="137">
        <v>0</v>
      </c>
      <c r="K258" s="136">
        <v>0</v>
      </c>
      <c r="L258" s="134" t="s">
        <v>107</v>
      </c>
      <c r="M258" s="136" t="s">
        <v>107</v>
      </c>
      <c r="N258" s="140" t="s">
        <v>106</v>
      </c>
      <c r="O258" s="34" t="s">
        <v>106</v>
      </c>
      <c r="P258" s="39"/>
    </row>
    <row r="259" spans="1:16" ht="45" x14ac:dyDescent="0.25">
      <c r="A259" s="148">
        <f t="shared" si="23"/>
        <v>256</v>
      </c>
      <c r="B259" s="125" t="s">
        <v>78</v>
      </c>
      <c r="C259" s="73" t="s">
        <v>106</v>
      </c>
      <c r="D259" s="74" t="s">
        <v>108</v>
      </c>
      <c r="E259" s="86" t="s">
        <v>396</v>
      </c>
      <c r="F259" s="34" t="s">
        <v>106</v>
      </c>
      <c r="G259" s="34" t="s">
        <v>106</v>
      </c>
      <c r="H259" s="34" t="s">
        <v>106</v>
      </c>
      <c r="I259" s="132" t="s">
        <v>106</v>
      </c>
      <c r="J259" s="137">
        <v>0</v>
      </c>
      <c r="K259" s="136">
        <v>0</v>
      </c>
      <c r="L259" s="134" t="s">
        <v>107</v>
      </c>
      <c r="M259" s="136" t="s">
        <v>107</v>
      </c>
      <c r="N259" s="140" t="s">
        <v>106</v>
      </c>
      <c r="O259" s="34" t="s">
        <v>106</v>
      </c>
      <c r="P259" s="39"/>
    </row>
    <row r="260" spans="1:16" ht="45" x14ac:dyDescent="0.25">
      <c r="A260" s="148">
        <f t="shared" si="23"/>
        <v>257</v>
      </c>
      <c r="B260" s="125" t="s">
        <v>78</v>
      </c>
      <c r="C260" s="73" t="s">
        <v>106</v>
      </c>
      <c r="D260" s="74" t="s">
        <v>192</v>
      </c>
      <c r="E260" s="86" t="s">
        <v>397</v>
      </c>
      <c r="F260" s="34" t="s">
        <v>106</v>
      </c>
      <c r="G260" s="34" t="s">
        <v>106</v>
      </c>
      <c r="H260" s="34" t="s">
        <v>106</v>
      </c>
      <c r="I260" s="132" t="s">
        <v>106</v>
      </c>
      <c r="J260" s="137">
        <v>0</v>
      </c>
      <c r="K260" s="136">
        <v>0</v>
      </c>
      <c r="L260" s="134" t="s">
        <v>107</v>
      </c>
      <c r="M260" s="136" t="s">
        <v>107</v>
      </c>
      <c r="N260" s="140" t="s">
        <v>106</v>
      </c>
      <c r="O260" s="34" t="s">
        <v>106</v>
      </c>
      <c r="P260" s="39"/>
    </row>
    <row r="261" spans="1:16" ht="45" x14ac:dyDescent="0.25">
      <c r="A261" s="148">
        <f t="shared" si="23"/>
        <v>258</v>
      </c>
      <c r="B261" s="125" t="s">
        <v>78</v>
      </c>
      <c r="C261" s="73" t="s">
        <v>106</v>
      </c>
      <c r="D261" s="74" t="s">
        <v>154</v>
      </c>
      <c r="E261" s="86" t="s">
        <v>398</v>
      </c>
      <c r="F261" s="34" t="s">
        <v>106</v>
      </c>
      <c r="G261" s="34" t="s">
        <v>106</v>
      </c>
      <c r="H261" s="34" t="s">
        <v>106</v>
      </c>
      <c r="I261" s="132" t="s">
        <v>106</v>
      </c>
      <c r="J261" s="137">
        <v>0</v>
      </c>
      <c r="K261" s="136">
        <v>0</v>
      </c>
      <c r="L261" s="134" t="s">
        <v>107</v>
      </c>
      <c r="M261" s="136" t="s">
        <v>107</v>
      </c>
      <c r="N261" s="140" t="s">
        <v>106</v>
      </c>
      <c r="O261" s="34" t="s">
        <v>106</v>
      </c>
      <c r="P261" s="39"/>
    </row>
    <row r="262" spans="1:16" ht="45" x14ac:dyDescent="0.25">
      <c r="A262" s="148">
        <f t="shared" si="23"/>
        <v>259</v>
      </c>
      <c r="B262" s="125" t="s">
        <v>78</v>
      </c>
      <c r="C262" s="73" t="s">
        <v>106</v>
      </c>
      <c r="D262" s="74" t="s">
        <v>192</v>
      </c>
      <c r="E262" s="86" t="s">
        <v>399</v>
      </c>
      <c r="F262" s="34" t="s">
        <v>106</v>
      </c>
      <c r="G262" s="34" t="s">
        <v>106</v>
      </c>
      <c r="H262" s="34" t="s">
        <v>106</v>
      </c>
      <c r="I262" s="132" t="s">
        <v>106</v>
      </c>
      <c r="J262" s="137">
        <v>0</v>
      </c>
      <c r="K262" s="136">
        <v>0</v>
      </c>
      <c r="L262" s="134" t="s">
        <v>107</v>
      </c>
      <c r="M262" s="136" t="s">
        <v>107</v>
      </c>
      <c r="N262" s="140" t="s">
        <v>106</v>
      </c>
      <c r="O262" s="34" t="s">
        <v>106</v>
      </c>
      <c r="P262" s="39"/>
    </row>
    <row r="263" spans="1:16" ht="45" x14ac:dyDescent="0.25">
      <c r="A263" s="148">
        <f t="shared" ref="A263:A278" si="24">A262+1</f>
        <v>260</v>
      </c>
      <c r="B263" s="125" t="s">
        <v>78</v>
      </c>
      <c r="C263" s="73" t="s">
        <v>106</v>
      </c>
      <c r="D263" s="74" t="s">
        <v>172</v>
      </c>
      <c r="E263" s="86" t="s">
        <v>400</v>
      </c>
      <c r="F263" s="34" t="s">
        <v>106</v>
      </c>
      <c r="G263" s="34" t="s">
        <v>106</v>
      </c>
      <c r="H263" s="34" t="s">
        <v>106</v>
      </c>
      <c r="I263" s="132" t="s">
        <v>106</v>
      </c>
      <c r="J263" s="137">
        <v>0</v>
      </c>
      <c r="K263" s="136">
        <v>0</v>
      </c>
      <c r="L263" s="134" t="s">
        <v>107</v>
      </c>
      <c r="M263" s="136" t="s">
        <v>107</v>
      </c>
      <c r="N263" s="140" t="s">
        <v>106</v>
      </c>
      <c r="O263" s="34" t="s">
        <v>106</v>
      </c>
      <c r="P263" s="39"/>
    </row>
    <row r="264" spans="1:16" ht="45" x14ac:dyDescent="0.25">
      <c r="A264" s="148">
        <f t="shared" si="24"/>
        <v>261</v>
      </c>
      <c r="B264" s="125" t="s">
        <v>78</v>
      </c>
      <c r="C264" s="73" t="s">
        <v>106</v>
      </c>
      <c r="D264" s="74" t="s">
        <v>108</v>
      </c>
      <c r="E264" s="86" t="s">
        <v>401</v>
      </c>
      <c r="F264" s="34" t="s">
        <v>106</v>
      </c>
      <c r="G264" s="34" t="s">
        <v>106</v>
      </c>
      <c r="H264" s="34" t="s">
        <v>106</v>
      </c>
      <c r="I264" s="132" t="s">
        <v>106</v>
      </c>
      <c r="J264" s="137">
        <v>0</v>
      </c>
      <c r="K264" s="136">
        <v>0</v>
      </c>
      <c r="L264" s="134" t="s">
        <v>107</v>
      </c>
      <c r="M264" s="136" t="s">
        <v>107</v>
      </c>
      <c r="N264" s="140" t="s">
        <v>106</v>
      </c>
      <c r="O264" s="34" t="s">
        <v>106</v>
      </c>
      <c r="P264" s="39"/>
    </row>
    <row r="265" spans="1:16" ht="45" x14ac:dyDescent="0.25">
      <c r="A265" s="148">
        <f t="shared" si="24"/>
        <v>262</v>
      </c>
      <c r="B265" s="125" t="s">
        <v>78</v>
      </c>
      <c r="C265" s="73" t="s">
        <v>106</v>
      </c>
      <c r="D265" s="74" t="s">
        <v>161</v>
      </c>
      <c r="E265" s="86" t="s">
        <v>402</v>
      </c>
      <c r="F265" s="34" t="s">
        <v>106</v>
      </c>
      <c r="G265" s="34" t="s">
        <v>106</v>
      </c>
      <c r="H265" s="34" t="s">
        <v>106</v>
      </c>
      <c r="I265" s="132" t="s">
        <v>106</v>
      </c>
      <c r="J265" s="137">
        <v>0</v>
      </c>
      <c r="K265" s="136">
        <v>0</v>
      </c>
      <c r="L265" s="134" t="s">
        <v>107</v>
      </c>
      <c r="M265" s="136" t="s">
        <v>107</v>
      </c>
      <c r="N265" s="140" t="s">
        <v>106</v>
      </c>
      <c r="O265" s="34" t="s">
        <v>106</v>
      </c>
      <c r="P265" s="39"/>
    </row>
    <row r="266" spans="1:16" ht="45" x14ac:dyDescent="0.25">
      <c r="A266" s="148">
        <f t="shared" si="24"/>
        <v>263</v>
      </c>
      <c r="B266" s="126" t="s">
        <v>79</v>
      </c>
      <c r="C266" s="73" t="s">
        <v>106</v>
      </c>
      <c r="D266" s="74" t="s">
        <v>161</v>
      </c>
      <c r="E266" s="86" t="s">
        <v>403</v>
      </c>
      <c r="F266" s="34" t="s">
        <v>106</v>
      </c>
      <c r="G266" s="34" t="s">
        <v>106</v>
      </c>
      <c r="H266" s="34" t="s">
        <v>106</v>
      </c>
      <c r="I266" s="132" t="s">
        <v>106</v>
      </c>
      <c r="J266" s="137">
        <v>0</v>
      </c>
      <c r="K266" s="136">
        <v>0</v>
      </c>
      <c r="L266" s="134" t="s">
        <v>107</v>
      </c>
      <c r="M266" s="136" t="s">
        <v>107</v>
      </c>
      <c r="N266" s="140" t="s">
        <v>106</v>
      </c>
      <c r="O266" s="34" t="s">
        <v>106</v>
      </c>
      <c r="P266" s="39"/>
    </row>
    <row r="267" spans="1:16" ht="45" x14ac:dyDescent="0.25">
      <c r="A267" s="148">
        <f t="shared" si="24"/>
        <v>264</v>
      </c>
      <c r="B267" s="126" t="s">
        <v>79</v>
      </c>
      <c r="C267" s="73" t="s">
        <v>106</v>
      </c>
      <c r="D267" s="74" t="s">
        <v>161</v>
      </c>
      <c r="E267" s="86" t="s">
        <v>404</v>
      </c>
      <c r="F267" s="34" t="s">
        <v>106</v>
      </c>
      <c r="G267" s="34" t="s">
        <v>106</v>
      </c>
      <c r="H267" s="34" t="s">
        <v>106</v>
      </c>
      <c r="I267" s="132" t="s">
        <v>106</v>
      </c>
      <c r="J267" s="137">
        <v>0</v>
      </c>
      <c r="K267" s="136">
        <v>0</v>
      </c>
      <c r="L267" s="134" t="s">
        <v>107</v>
      </c>
      <c r="M267" s="136" t="s">
        <v>107</v>
      </c>
      <c r="N267" s="140" t="s">
        <v>106</v>
      </c>
      <c r="O267" s="34" t="s">
        <v>106</v>
      </c>
      <c r="P267" s="39"/>
    </row>
    <row r="268" spans="1:16" ht="45" x14ac:dyDescent="0.25">
      <c r="A268" s="148">
        <f t="shared" si="24"/>
        <v>265</v>
      </c>
      <c r="B268" s="126" t="s">
        <v>79</v>
      </c>
      <c r="C268" s="73" t="s">
        <v>106</v>
      </c>
      <c r="D268" s="74" t="s">
        <v>172</v>
      </c>
      <c r="E268" s="74" t="s">
        <v>405</v>
      </c>
      <c r="F268" s="34" t="s">
        <v>106</v>
      </c>
      <c r="G268" s="34" t="s">
        <v>106</v>
      </c>
      <c r="H268" s="34" t="s">
        <v>106</v>
      </c>
      <c r="I268" s="132" t="s">
        <v>106</v>
      </c>
      <c r="J268" s="137">
        <v>0</v>
      </c>
      <c r="K268" s="136">
        <v>0</v>
      </c>
      <c r="L268" s="134" t="s">
        <v>107</v>
      </c>
      <c r="M268" s="136" t="s">
        <v>107</v>
      </c>
      <c r="N268" s="140" t="s">
        <v>106</v>
      </c>
      <c r="O268" s="34" t="s">
        <v>106</v>
      </c>
      <c r="P268" s="39"/>
    </row>
    <row r="269" spans="1:16" ht="45" x14ac:dyDescent="0.25">
      <c r="A269" s="148">
        <f t="shared" si="24"/>
        <v>266</v>
      </c>
      <c r="B269" s="126" t="s">
        <v>79</v>
      </c>
      <c r="C269" s="73" t="s">
        <v>106</v>
      </c>
      <c r="D269" s="74" t="s">
        <v>108</v>
      </c>
      <c r="E269" s="86" t="s">
        <v>406</v>
      </c>
      <c r="F269" s="34" t="s">
        <v>106</v>
      </c>
      <c r="G269" s="34" t="s">
        <v>106</v>
      </c>
      <c r="H269" s="34" t="s">
        <v>106</v>
      </c>
      <c r="I269" s="132" t="s">
        <v>106</v>
      </c>
      <c r="J269" s="137">
        <v>0</v>
      </c>
      <c r="K269" s="136">
        <v>0</v>
      </c>
      <c r="L269" s="134" t="s">
        <v>107</v>
      </c>
      <c r="M269" s="136" t="s">
        <v>107</v>
      </c>
      <c r="N269" s="140" t="s">
        <v>106</v>
      </c>
      <c r="O269" s="34" t="s">
        <v>106</v>
      </c>
      <c r="P269" s="39"/>
    </row>
    <row r="270" spans="1:16" ht="45" x14ac:dyDescent="0.25">
      <c r="A270" s="148">
        <f t="shared" si="24"/>
        <v>267</v>
      </c>
      <c r="B270" s="126" t="s">
        <v>79</v>
      </c>
      <c r="C270" s="73" t="s">
        <v>106</v>
      </c>
      <c r="D270" s="74" t="s">
        <v>172</v>
      </c>
      <c r="E270" s="74" t="s">
        <v>407</v>
      </c>
      <c r="F270" s="34" t="s">
        <v>106</v>
      </c>
      <c r="G270" s="34" t="s">
        <v>106</v>
      </c>
      <c r="H270" s="34" t="s">
        <v>106</v>
      </c>
      <c r="I270" s="132" t="s">
        <v>106</v>
      </c>
      <c r="J270" s="137">
        <v>0</v>
      </c>
      <c r="K270" s="136">
        <v>0</v>
      </c>
      <c r="L270" s="134" t="s">
        <v>107</v>
      </c>
      <c r="M270" s="136" t="s">
        <v>107</v>
      </c>
      <c r="N270" s="140" t="s">
        <v>106</v>
      </c>
      <c r="O270" s="34" t="s">
        <v>106</v>
      </c>
      <c r="P270" s="39"/>
    </row>
    <row r="271" spans="1:16" ht="45" x14ac:dyDescent="0.25">
      <c r="A271" s="148">
        <f t="shared" si="24"/>
        <v>268</v>
      </c>
      <c r="B271" s="126" t="s">
        <v>79</v>
      </c>
      <c r="C271" s="73" t="s">
        <v>106</v>
      </c>
      <c r="D271" s="74" t="s">
        <v>192</v>
      </c>
      <c r="E271" s="86" t="s">
        <v>408</v>
      </c>
      <c r="F271" s="34" t="s">
        <v>106</v>
      </c>
      <c r="G271" s="34" t="s">
        <v>106</v>
      </c>
      <c r="H271" s="34" t="s">
        <v>106</v>
      </c>
      <c r="I271" s="132" t="s">
        <v>106</v>
      </c>
      <c r="J271" s="137">
        <v>0</v>
      </c>
      <c r="K271" s="136">
        <v>0</v>
      </c>
      <c r="L271" s="134" t="s">
        <v>107</v>
      </c>
      <c r="M271" s="136" t="s">
        <v>107</v>
      </c>
      <c r="N271" s="140" t="s">
        <v>106</v>
      </c>
      <c r="O271" s="34" t="s">
        <v>106</v>
      </c>
      <c r="P271" s="39"/>
    </row>
    <row r="272" spans="1:16" ht="45" x14ac:dyDescent="0.25">
      <c r="A272" s="148">
        <f t="shared" si="24"/>
        <v>269</v>
      </c>
      <c r="B272" s="126" t="s">
        <v>79</v>
      </c>
      <c r="C272" s="73" t="s">
        <v>106</v>
      </c>
      <c r="D272" s="74" t="s">
        <v>157</v>
      </c>
      <c r="E272" s="86" t="s">
        <v>409</v>
      </c>
      <c r="F272" s="34" t="s">
        <v>106</v>
      </c>
      <c r="G272" s="34" t="s">
        <v>106</v>
      </c>
      <c r="H272" s="34" t="s">
        <v>106</v>
      </c>
      <c r="I272" s="132" t="s">
        <v>106</v>
      </c>
      <c r="J272" s="137">
        <v>0</v>
      </c>
      <c r="K272" s="136">
        <v>0</v>
      </c>
      <c r="L272" s="134" t="s">
        <v>107</v>
      </c>
      <c r="M272" s="136" t="s">
        <v>107</v>
      </c>
      <c r="N272" s="140" t="s">
        <v>106</v>
      </c>
      <c r="O272" s="34" t="s">
        <v>106</v>
      </c>
      <c r="P272" s="39"/>
    </row>
    <row r="273" spans="1:16" ht="45" x14ac:dyDescent="0.25">
      <c r="A273" s="148">
        <f t="shared" si="24"/>
        <v>270</v>
      </c>
      <c r="B273" s="126" t="s">
        <v>79</v>
      </c>
      <c r="C273" s="73" t="s">
        <v>106</v>
      </c>
      <c r="D273" s="74" t="s">
        <v>161</v>
      </c>
      <c r="E273" s="86" t="s">
        <v>410</v>
      </c>
      <c r="F273" s="34" t="s">
        <v>106</v>
      </c>
      <c r="G273" s="34" t="s">
        <v>106</v>
      </c>
      <c r="H273" s="34" t="s">
        <v>106</v>
      </c>
      <c r="I273" s="132" t="s">
        <v>106</v>
      </c>
      <c r="J273" s="137">
        <v>0</v>
      </c>
      <c r="K273" s="136">
        <v>0</v>
      </c>
      <c r="L273" s="134" t="s">
        <v>107</v>
      </c>
      <c r="M273" s="136" t="s">
        <v>107</v>
      </c>
      <c r="N273" s="140" t="s">
        <v>106</v>
      </c>
      <c r="O273" s="34" t="s">
        <v>106</v>
      </c>
      <c r="P273" s="39"/>
    </row>
    <row r="274" spans="1:16" ht="45" x14ac:dyDescent="0.25">
      <c r="A274" s="148">
        <f t="shared" si="24"/>
        <v>271</v>
      </c>
      <c r="B274" s="126" t="s">
        <v>79</v>
      </c>
      <c r="C274" s="73" t="s">
        <v>106</v>
      </c>
      <c r="D274" s="74" t="s">
        <v>108</v>
      </c>
      <c r="E274" s="86" t="s">
        <v>411</v>
      </c>
      <c r="F274" s="34" t="s">
        <v>106</v>
      </c>
      <c r="G274" s="34" t="s">
        <v>106</v>
      </c>
      <c r="H274" s="34" t="s">
        <v>106</v>
      </c>
      <c r="I274" s="132" t="s">
        <v>106</v>
      </c>
      <c r="J274" s="137">
        <v>0</v>
      </c>
      <c r="K274" s="136">
        <v>0</v>
      </c>
      <c r="L274" s="134" t="s">
        <v>107</v>
      </c>
      <c r="M274" s="136" t="s">
        <v>107</v>
      </c>
      <c r="N274" s="140" t="s">
        <v>106</v>
      </c>
      <c r="O274" s="34" t="s">
        <v>106</v>
      </c>
      <c r="P274" s="39"/>
    </row>
    <row r="275" spans="1:16" ht="45" x14ac:dyDescent="0.25">
      <c r="A275" s="148">
        <f t="shared" si="24"/>
        <v>272</v>
      </c>
      <c r="B275" s="126" t="s">
        <v>79</v>
      </c>
      <c r="C275" s="73" t="s">
        <v>106</v>
      </c>
      <c r="D275" s="74" t="s">
        <v>192</v>
      </c>
      <c r="E275" s="86" t="s">
        <v>412</v>
      </c>
      <c r="F275" s="34" t="s">
        <v>106</v>
      </c>
      <c r="G275" s="34" t="s">
        <v>106</v>
      </c>
      <c r="H275" s="34" t="s">
        <v>106</v>
      </c>
      <c r="I275" s="132" t="s">
        <v>106</v>
      </c>
      <c r="J275" s="137">
        <v>0</v>
      </c>
      <c r="K275" s="136">
        <v>0</v>
      </c>
      <c r="L275" s="134" t="s">
        <v>107</v>
      </c>
      <c r="M275" s="136" t="s">
        <v>107</v>
      </c>
      <c r="N275" s="140" t="s">
        <v>106</v>
      </c>
      <c r="O275" s="34" t="s">
        <v>106</v>
      </c>
      <c r="P275" s="39"/>
    </row>
    <row r="276" spans="1:16" ht="30" x14ac:dyDescent="0.25">
      <c r="A276" s="148">
        <f t="shared" si="24"/>
        <v>273</v>
      </c>
      <c r="B276" s="127" t="s">
        <v>439</v>
      </c>
      <c r="C276" s="73" t="s">
        <v>106</v>
      </c>
      <c r="D276" s="74" t="s">
        <v>172</v>
      </c>
      <c r="E276" s="86" t="s">
        <v>413</v>
      </c>
      <c r="F276" s="34" t="s">
        <v>106</v>
      </c>
      <c r="G276" s="34" t="s">
        <v>106</v>
      </c>
      <c r="H276" s="34" t="s">
        <v>106</v>
      </c>
      <c r="I276" s="132" t="s">
        <v>106</v>
      </c>
      <c r="J276" s="137">
        <v>0</v>
      </c>
      <c r="K276" s="136">
        <v>0</v>
      </c>
      <c r="L276" s="134" t="s">
        <v>107</v>
      </c>
      <c r="M276" s="136" t="s">
        <v>107</v>
      </c>
      <c r="N276" s="140" t="s">
        <v>106</v>
      </c>
      <c r="O276" s="34" t="s">
        <v>106</v>
      </c>
      <c r="P276" s="39"/>
    </row>
    <row r="277" spans="1:16" ht="30" x14ac:dyDescent="0.25">
      <c r="A277" s="148">
        <f t="shared" si="24"/>
        <v>274</v>
      </c>
      <c r="B277" s="127" t="s">
        <v>439</v>
      </c>
      <c r="C277" s="73" t="s">
        <v>106</v>
      </c>
      <c r="D277" s="74" t="s">
        <v>108</v>
      </c>
      <c r="E277" s="86" t="s">
        <v>414</v>
      </c>
      <c r="F277" s="34" t="s">
        <v>106</v>
      </c>
      <c r="G277" s="34" t="s">
        <v>106</v>
      </c>
      <c r="H277" s="34" t="s">
        <v>106</v>
      </c>
      <c r="I277" s="132" t="s">
        <v>106</v>
      </c>
      <c r="J277" s="137">
        <v>0</v>
      </c>
      <c r="K277" s="136">
        <v>0</v>
      </c>
      <c r="L277" s="134" t="s">
        <v>107</v>
      </c>
      <c r="M277" s="136" t="s">
        <v>107</v>
      </c>
      <c r="N277" s="140" t="s">
        <v>106</v>
      </c>
      <c r="O277" s="34" t="s">
        <v>106</v>
      </c>
      <c r="P277" s="39"/>
    </row>
    <row r="278" spans="1:16" ht="30.75" thickBot="1" x14ac:dyDescent="0.3">
      <c r="A278" s="148">
        <f t="shared" si="24"/>
        <v>275</v>
      </c>
      <c r="B278" s="127" t="s">
        <v>439</v>
      </c>
      <c r="C278" s="73" t="s">
        <v>106</v>
      </c>
      <c r="D278" s="74" t="s">
        <v>161</v>
      </c>
      <c r="E278" s="86" t="s">
        <v>415</v>
      </c>
      <c r="F278" s="34" t="s">
        <v>106</v>
      </c>
      <c r="G278" s="34" t="s">
        <v>106</v>
      </c>
      <c r="H278" s="34" t="s">
        <v>106</v>
      </c>
      <c r="I278" s="132" t="s">
        <v>106</v>
      </c>
      <c r="J278" s="138">
        <v>0</v>
      </c>
      <c r="K278" s="139">
        <v>0</v>
      </c>
      <c r="L278" s="150" t="s">
        <v>107</v>
      </c>
      <c r="M278" s="139" t="s">
        <v>107</v>
      </c>
      <c r="N278" s="140" t="s">
        <v>106</v>
      </c>
      <c r="O278" s="34" t="s">
        <v>106</v>
      </c>
      <c r="P278" s="39"/>
    </row>
  </sheetData>
  <sheetProtection algorithmName="SHA-512" hashValue="FUmeIFIU+0VOpxyfeCLiM6pTEIV8eXBisJtsEfDjuTmTGj4x5OXWvHpa+S3xiRF9TC63gSfCxaYb4Ej7hVdPqA==" saltValue="ygBo9CqQrfAh6opNG9/a0Q==" spinCount="100000" sheet="1" formatCells="0" formatColumns="0" formatRows="0" sort="0" autoFilter="0" pivotTables="0"/>
  <autoFilter ref="A3:O278" xr:uid="{00000000-0009-0000-0000-000005000000}"/>
  <sortState xmlns:xlrd2="http://schemas.microsoft.com/office/spreadsheetml/2017/richdata2" ref="B4:O38">
    <sortCondition ref="B4:B38"/>
    <sortCondition ref="C4:C38"/>
    <sortCondition ref="D4:D38"/>
  </sortState>
  <dataConsolidate/>
  <mergeCells count="12">
    <mergeCell ref="Q140:Z140"/>
    <mergeCell ref="Q155:Z155"/>
    <mergeCell ref="J2:K2"/>
    <mergeCell ref="L2:M2"/>
    <mergeCell ref="Q44:Z44"/>
    <mergeCell ref="Q45:Z45"/>
    <mergeCell ref="Q46:Z46"/>
    <mergeCell ref="Q47:Z47"/>
    <mergeCell ref="Q48:Y48"/>
    <mergeCell ref="Q50:Z50"/>
    <mergeCell ref="Q125:Z127"/>
    <mergeCell ref="Q138:Z138"/>
  </mergeCells>
  <conditionalFormatting sqref="Y265:Z1048576 Y47:Z47 Y69:Z69 Y92:Z92 Y81:Z81 Y43:Z45 Y72:Z77 Y260:Z260 Y117:Z120 Y203:Z213 Y222:Z255">
    <cfRule type="expression" priority="4422">
      <formula>$A46=$AB$9</formula>
    </cfRule>
  </conditionalFormatting>
  <conditionalFormatting sqref="Z65:Z97 Z51 Z111:Z124 Z1:Z4 Z7:Z47 Z156:Z1048576">
    <cfRule type="expression" dxfId="26" priority="4433">
      <formula>A1=$AB$9</formula>
    </cfRule>
  </conditionalFormatting>
  <conditionalFormatting sqref="Y91:Z91 Z48:Z49 Y82:Z82 Y93:Z94 Y111:Z113 Y218:Z221 Y214:Z216 Y256:Z259 Y261:Z264">
    <cfRule type="expression" priority="4438">
      <formula>$A52=$AB$9</formula>
    </cfRule>
  </conditionalFormatting>
  <conditionalFormatting sqref="Y129:Z129 Y125:Z126">
    <cfRule type="expression" priority="4447">
      <formula>$A100=$AB$9</formula>
    </cfRule>
  </conditionalFormatting>
  <conditionalFormatting sqref="Y95:Z95">
    <cfRule type="expression" priority="4449">
      <formula>#REF!=$AB$9</formula>
    </cfRule>
  </conditionalFormatting>
  <conditionalFormatting sqref="Y90:Z90 Y70:Z71 Y83:Z84 Y88:Z88 Y217:Z217">
    <cfRule type="expression" priority="4450">
      <formula>$A75=$AB$9</formula>
    </cfRule>
  </conditionalFormatting>
  <conditionalFormatting sqref="Y51:Z51 Y65:Z65 Y114:Z114 Y46:Z46 Y89:Z89 Y96:Z97 Y60:Z62 Y140:Z173">
    <cfRule type="expression" priority="4454">
      <formula>#REF!=$AB$9</formula>
    </cfRule>
  </conditionalFormatting>
  <conditionalFormatting sqref="Y121:Z121 Y66:Z68">
    <cfRule type="expression" priority="4462">
      <formula>#REF!=$AB$9</formula>
    </cfRule>
  </conditionalFormatting>
  <conditionalFormatting sqref="Z48:Z49">
    <cfRule type="expression" dxfId="25" priority="4466">
      <formula>#REF!=$AB$9</formula>
    </cfRule>
  </conditionalFormatting>
  <conditionalFormatting sqref="Y78:Z78">
    <cfRule type="expression" priority="4467">
      <formula>#REF!=$AB$9</formula>
    </cfRule>
  </conditionalFormatting>
  <conditionalFormatting sqref="Y24:Z24">
    <cfRule type="expression" priority="4468">
      <formula>#REF!=$AB$9</formula>
    </cfRule>
  </conditionalFormatting>
  <conditionalFormatting sqref="Y50:Z50">
    <cfRule type="expression" priority="4476">
      <formula>$A114=$AB$9</formula>
    </cfRule>
  </conditionalFormatting>
  <conditionalFormatting sqref="Y139:Z139 Y135:Z135">
    <cfRule type="expression" priority="4478">
      <formula>$A104=$AB$9</formula>
    </cfRule>
  </conditionalFormatting>
  <conditionalFormatting sqref="Z60:Z63">
    <cfRule type="expression" dxfId="24" priority="4479">
      <formula>A106=$AB$9</formula>
    </cfRule>
  </conditionalFormatting>
  <conditionalFormatting sqref="Y79:Z80 Y122:Z122 Y202:Z202 Y115:Z116">
    <cfRule type="expression" priority="4480">
      <formula>$A81=$AB$9</formula>
    </cfRule>
  </conditionalFormatting>
  <conditionalFormatting sqref="Y63:Z63">
    <cfRule type="expression" priority="4484">
      <formula>$A112=$AB$9</formula>
    </cfRule>
  </conditionalFormatting>
  <conditionalFormatting sqref="Z125:Z128">
    <cfRule type="expression" dxfId="23" priority="4487">
      <formula>A98=$AB$9</formula>
    </cfRule>
  </conditionalFormatting>
  <conditionalFormatting sqref="Z50">
    <cfRule type="expression" dxfId="22" priority="4488">
      <formula>A110=$AB$9</formula>
    </cfRule>
  </conditionalFormatting>
  <conditionalFormatting sqref="Y42:Z42 Y39:Z40">
    <cfRule type="expression" priority="4489">
      <formula>$A85=$AB$9</formula>
    </cfRule>
  </conditionalFormatting>
  <conditionalFormatting sqref="Y42:Z42">
    <cfRule type="expression" priority="4491">
      <formula>$A75=$AB$9</formula>
    </cfRule>
  </conditionalFormatting>
  <conditionalFormatting sqref="Y42:Z42">
    <cfRule type="expression" priority="4495">
      <formula>$A68=$AB$9</formula>
    </cfRule>
  </conditionalFormatting>
  <conditionalFormatting sqref="Y39:Z41">
    <cfRule type="expression" priority="4497">
      <formula>$A73=$AB$9</formula>
    </cfRule>
  </conditionalFormatting>
  <conditionalFormatting sqref="Y42:Z42">
    <cfRule type="expression" priority="4498">
      <formula>$A81=$AB$9</formula>
    </cfRule>
  </conditionalFormatting>
  <conditionalFormatting sqref="Y22:Z23">
    <cfRule type="expression" priority="4501">
      <formula>$A79=$AB$9</formula>
    </cfRule>
  </conditionalFormatting>
  <conditionalFormatting sqref="Y31:Z32">
    <cfRule type="expression" priority="4503">
      <formula>$A77=$AB$9</formula>
    </cfRule>
  </conditionalFormatting>
  <conditionalFormatting sqref="Y39:Z41">
    <cfRule type="expression" priority="4505">
      <formula>$A66=$AB$9</formula>
    </cfRule>
  </conditionalFormatting>
  <conditionalFormatting sqref="Y33:Z34">
    <cfRule type="expression" priority="4506">
      <formula>$A68=$AB$9</formula>
    </cfRule>
  </conditionalFormatting>
  <conditionalFormatting sqref="Y39:Z41">
    <cfRule type="expression" priority="4507">
      <formula>$A79=$AB$9</formula>
    </cfRule>
  </conditionalFormatting>
  <conditionalFormatting sqref="Y17:Z21">
    <cfRule type="expression" priority="4509">
      <formula>$A70=$AB$9</formula>
    </cfRule>
  </conditionalFormatting>
  <conditionalFormatting sqref="Z138 Z136">
    <cfRule type="expression" dxfId="21" priority="4520">
      <formula>A101=$AB$9</formula>
    </cfRule>
  </conditionalFormatting>
  <conditionalFormatting sqref="Y124:Z124">
    <cfRule type="expression" priority="4542">
      <formula>$A174=$AB$9</formula>
    </cfRule>
  </conditionalFormatting>
  <conditionalFormatting sqref="Y137:Z137">
    <cfRule type="expression" priority="4545">
      <formula>$A106=$AB$9</formula>
    </cfRule>
  </conditionalFormatting>
  <conditionalFormatting sqref="Z137 Z135">
    <cfRule type="expression" dxfId="20" priority="4548">
      <formula>A101=$AB$9</formula>
    </cfRule>
  </conditionalFormatting>
  <conditionalFormatting sqref="Y7:Z11 Y31:Z32">
    <cfRule type="expression" priority="4586">
      <formula>$A51=$AB$9</formula>
    </cfRule>
  </conditionalFormatting>
  <conditionalFormatting sqref="Y35:Z36">
    <cfRule type="expression" priority="4589">
      <formula>$A56=$AB$9</formula>
    </cfRule>
  </conditionalFormatting>
  <conditionalFormatting sqref="Y29:Z30 Y37:Z38">
    <cfRule type="expression" priority="4590">
      <formula>$A58=$AB$9</formula>
    </cfRule>
  </conditionalFormatting>
  <conditionalFormatting sqref="Y25:Z26">
    <cfRule type="expression" priority="4593">
      <formula>$A81=$AB$9</formula>
    </cfRule>
  </conditionalFormatting>
  <conditionalFormatting sqref="Y27:Z37">
    <cfRule type="expression" priority="4594">
      <formula>$A49=$AB$9</formula>
    </cfRule>
  </conditionalFormatting>
  <conditionalFormatting sqref="Y31:Z38">
    <cfRule type="expression" priority="4596">
      <formula>$A61=$AB$9</formula>
    </cfRule>
  </conditionalFormatting>
  <conditionalFormatting sqref="Y1:Z4 AB5:AB6 Y5:Y6">
    <cfRule type="expression" priority="4603">
      <formula>$A43=$AB$9</formula>
    </cfRule>
  </conditionalFormatting>
  <conditionalFormatting sqref="Y38:Z38">
    <cfRule type="expression" priority="4605">
      <formula>$A61=$AB$9</formula>
    </cfRule>
  </conditionalFormatting>
  <conditionalFormatting sqref="Y35:Z36">
    <cfRule type="expression" priority="4607">
      <formula>$A66=$AB$9</formula>
    </cfRule>
  </conditionalFormatting>
  <conditionalFormatting sqref="Y27:Z28">
    <cfRule type="expression" priority="4609">
      <formula>$A85=$AB$9</formula>
    </cfRule>
  </conditionalFormatting>
  <conditionalFormatting sqref="Y12:Z16">
    <cfRule type="expression" priority="4610">
      <formula>$A61=$AB$9</formula>
    </cfRule>
  </conditionalFormatting>
  <conditionalFormatting sqref="Z139 Z134">
    <cfRule type="expression" dxfId="19" priority="4627">
      <formula>A101=$AB$9</formula>
    </cfRule>
  </conditionalFormatting>
  <conditionalFormatting sqref="Y123:Z123">
    <cfRule type="expression" priority="4628">
      <formula>$A155=$AB$9</formula>
    </cfRule>
  </conditionalFormatting>
  <conditionalFormatting sqref="Z155">
    <cfRule type="expression" dxfId="18" priority="4638">
      <formula>A105=$AB$9</formula>
    </cfRule>
  </conditionalFormatting>
  <conditionalFormatting sqref="AB5:AB6">
    <cfRule type="expression" dxfId="17" priority="1">
      <formula>C5=$AB$9</formula>
    </cfRule>
  </conditionalFormatting>
  <conditionalFormatting sqref="Y201:Z201">
    <cfRule type="expression" priority="4928">
      <formula>$A216=$AB$9</formula>
    </cfRule>
  </conditionalFormatting>
  <conditionalFormatting sqref="Y66:Z68">
    <cfRule type="expression" dxfId="16" priority="5167">
      <formula>OR($A1=$AB$9,$A1=#REF!,$A1=$AB$17, $A1=$AB$19,$A1=#REF!, $A1=$AB$22)</formula>
    </cfRule>
  </conditionalFormatting>
  <conditionalFormatting sqref="Y65:Z65">
    <cfRule type="expression" dxfId="15" priority="5168">
      <formula>OR($A2=$AB$9,$A2=#REF!,$A2=$AB$17, $A2=$AB$19,$A2=#REF!, $A2=$AB$22)</formula>
    </cfRule>
  </conditionalFormatting>
  <conditionalFormatting sqref="Y47">
    <cfRule type="expression" dxfId="14" priority="5169">
      <formula>OR(A1=$AB$9,A1=#REF!,A1=$AB$17,A1=$AB$19, A1=#REF!, A1=$AB$22)</formula>
    </cfRule>
  </conditionalFormatting>
  <conditionalFormatting sqref="Z43">
    <cfRule type="expression" dxfId="13" priority="5170">
      <formula>OR(A1=$AB$9, A1=#REF!, A1=$AB$17, A1=$AB$19, A1=#REF!, A1=$AB$22)</formula>
    </cfRule>
  </conditionalFormatting>
  <conditionalFormatting sqref="Y51:Z51 Z48:Z49 Y46:Z47">
    <cfRule type="expression" dxfId="12" priority="5171">
      <formula>OR(#REF!=$AB$9,#REF!=#REF!,#REF!=$AB$17, #REF!=$AB$19,#REF!=#REF!, #REF!=$AB$22)</formula>
    </cfRule>
  </conditionalFormatting>
  <conditionalFormatting sqref="Z153:Z154">
    <cfRule type="expression" dxfId="11" priority="5180">
      <formula>A106=$AB$9</formula>
    </cfRule>
  </conditionalFormatting>
  <conditionalFormatting sqref="Z152">
    <cfRule type="expression" dxfId="10" priority="5189">
      <formula>A106=$AB$9</formula>
    </cfRule>
  </conditionalFormatting>
  <conditionalFormatting sqref="Z151">
    <cfRule type="expression" dxfId="9" priority="5198">
      <formula>A106=$AB$9</formula>
    </cfRule>
  </conditionalFormatting>
  <conditionalFormatting sqref="Z150">
    <cfRule type="expression" dxfId="8" priority="5207">
      <formula>A106=$AB$9</formula>
    </cfRule>
  </conditionalFormatting>
  <conditionalFormatting sqref="Z145:Z147">
    <cfRule type="expression" dxfId="7" priority="5216">
      <formula>A106=$AB$9</formula>
    </cfRule>
  </conditionalFormatting>
  <conditionalFormatting sqref="Z148:Z149">
    <cfRule type="expression" dxfId="6" priority="5226">
      <formula>A107=$AB$9</formula>
    </cfRule>
  </conditionalFormatting>
  <conditionalFormatting sqref="Y200:Z200">
    <cfRule type="expression" priority="5235">
      <formula>$A217=$AB$9</formula>
    </cfRule>
  </conditionalFormatting>
  <conditionalFormatting sqref="Y199:Z199">
    <cfRule type="expression" priority="5244">
      <formula>$A217=$AB$9</formula>
    </cfRule>
  </conditionalFormatting>
  <conditionalFormatting sqref="Y197:Z198">
    <cfRule type="expression" priority="5253">
      <formula>$A217=$AB$9</formula>
    </cfRule>
  </conditionalFormatting>
  <conditionalFormatting sqref="Z140:Z144">
    <cfRule type="expression" dxfId="5" priority="5281">
      <formula>A104=$AB$9</formula>
    </cfRule>
  </conditionalFormatting>
  <conditionalFormatting sqref="Y138:Z138">
    <cfRule type="expression" priority="5289">
      <formula>$A105=$AB$9</formula>
    </cfRule>
  </conditionalFormatting>
  <conditionalFormatting sqref="Y193:Z196">
    <cfRule type="expression" priority="5295">
      <formula>$A217=$AB$9</formula>
    </cfRule>
  </conditionalFormatting>
  <conditionalFormatting sqref="Y136:Z136">
    <cfRule type="expression" priority="5303">
      <formula>$A104=$AB$9</formula>
    </cfRule>
  </conditionalFormatting>
  <conditionalFormatting sqref="Y127:Z128">
    <cfRule type="expression" priority="5304">
      <formula>$A103=$AB$9</formula>
    </cfRule>
  </conditionalFormatting>
  <conditionalFormatting sqref="Y134:Z134">
    <cfRule type="expression" priority="5312">
      <formula>$A104=$AB$9</formula>
    </cfRule>
  </conditionalFormatting>
  <conditionalFormatting sqref="Z133">
    <cfRule type="expression" dxfId="4" priority="5315">
      <formula>A101=$AB$9</formula>
    </cfRule>
  </conditionalFormatting>
  <conditionalFormatting sqref="Y133:Z133">
    <cfRule type="expression" priority="5323">
      <formula>$A104=$AB$9</formula>
    </cfRule>
  </conditionalFormatting>
  <conditionalFormatting sqref="Z132">
    <cfRule type="expression" dxfId="3" priority="5326">
      <formula>A101=$AB$9</formula>
    </cfRule>
  </conditionalFormatting>
  <conditionalFormatting sqref="Y174:Z192">
    <cfRule type="expression" priority="5330">
      <formula>$A202=$AB$9</formula>
    </cfRule>
  </conditionalFormatting>
  <conditionalFormatting sqref="Y132:Z132">
    <cfRule type="expression" priority="5338">
      <formula>$A104=$AB$9</formula>
    </cfRule>
  </conditionalFormatting>
  <conditionalFormatting sqref="Z131">
    <cfRule type="expression" dxfId="2" priority="5341">
      <formula>A101=$AB$9</formula>
    </cfRule>
  </conditionalFormatting>
  <conditionalFormatting sqref="Y131:Z131">
    <cfRule type="expression" priority="5349">
      <formula>$A104=$AB$9</formula>
    </cfRule>
  </conditionalFormatting>
  <conditionalFormatting sqref="Z130">
    <cfRule type="expression" dxfId="1" priority="5352">
      <formula>A101=$AB$9</formula>
    </cfRule>
  </conditionalFormatting>
  <conditionalFormatting sqref="Y130:Z130">
    <cfRule type="expression" priority="5360">
      <formula>$A104=$AB$9</formula>
    </cfRule>
  </conditionalFormatting>
  <conditionalFormatting sqref="Z129">
    <cfRule type="expression" dxfId="0" priority="5363">
      <formula>A101=$AB$9</formula>
    </cfRule>
  </conditionalFormatting>
  <conditionalFormatting sqref="Y85:Z87">
    <cfRule type="expression" priority="5377">
      <formula>$A91=$AB$9</formula>
    </cfRule>
  </conditionalFormatting>
  <conditionalFormatting sqref="Y41:Z41">
    <cfRule type="expression" priority="5381">
      <formula>$A88=$AB$9</formula>
    </cfRule>
  </conditionalFormatting>
  <conditionalFormatting sqref="Y29:Z38">
    <cfRule type="expression" priority="5383">
      <formula>$A88=$AB$9</formula>
    </cfRule>
  </conditionalFormatting>
  <hyperlinks>
    <hyperlink ref="Q46" r:id="rId1" xr:uid="{00000000-0004-0000-0500-000000000000}"/>
  </hyperlinks>
  <pageMargins left="0.7" right="0.7" top="0.75" bottom="0.75" header="0.3" footer="0.3"/>
  <pageSetup scale="27"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7841806FBF6548AAF6655D25087CF4" ma:contentTypeVersion="6" ma:contentTypeDescription="Create a new document." ma:contentTypeScope="" ma:versionID="6e5dee25ead112dafde2ad16e1f2691b">
  <xsd:schema xmlns:xsd="http://www.w3.org/2001/XMLSchema" xmlns:xs="http://www.w3.org/2001/XMLSchema" xmlns:p="http://schemas.microsoft.com/office/2006/metadata/properties" xmlns:ns2="015fe376-55b6-46ec-ba2b-102320879b19" xmlns:ns3="cbddf734-021f-4629-a1ca-360fa2de26cd" targetNamespace="http://schemas.microsoft.com/office/2006/metadata/properties" ma:root="true" ma:fieldsID="9c3dba584972565e187d2562ed012204" ns2:_="" ns3:_="">
    <xsd:import namespace="015fe376-55b6-46ec-ba2b-102320879b19"/>
    <xsd:import namespace="cbddf734-021f-4629-a1ca-360fa2de26c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fe376-55b6-46ec-ba2b-102320879b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ddf734-021f-4629-a1ca-360fa2de26c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5D6C0F-4669-492D-90C5-A0C52C834D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fe376-55b6-46ec-ba2b-102320879b19"/>
    <ds:schemaRef ds:uri="cbddf734-021f-4629-a1ca-360fa2de26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1DEB82-FB4B-4409-B551-4B169D376380}">
  <ds:schemaRefs>
    <ds:schemaRef ds:uri="http://schemas.microsoft.com/sharepoint/v3/contenttype/forms"/>
  </ds:schemaRefs>
</ds:datastoreItem>
</file>

<file path=customXml/itemProps3.xml><?xml version="1.0" encoding="utf-8"?>
<ds:datastoreItem xmlns:ds="http://schemas.openxmlformats.org/officeDocument/2006/customXml" ds:itemID="{819FCF9A-26F7-4BA0-ACE8-63D4EB2665F4}">
  <ds:schemaRefs>
    <ds:schemaRef ds:uri="http://purl.org/dc/elements/1.1/"/>
    <ds:schemaRef ds:uri="d0706217-df7c-4bf4-936d-b09aa3b837af"/>
    <ds:schemaRef ds:uri="http://schemas.microsoft.com/office/infopath/2007/PartnerControls"/>
    <ds:schemaRef ds:uri="55894003-98dc-4f3e-8669-85b90bdbcc8c"/>
    <ds:schemaRef ds:uri="http://purl.org/dc/terms/"/>
    <ds:schemaRef ds:uri="http://schemas.microsoft.com/office/2006/metadata/properties"/>
    <ds:schemaRef ds:uri="http://schemas.microsoft.com/office/2006/documentManagement/types"/>
    <ds:schemaRef ds:uri="http://schemas.openxmlformats.org/package/2006/metadata/core-properties"/>
    <ds:schemaRef ds:uri="5c2490db-6e42-4989-a0fb-d6ff54a6a7d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26</vt:i4>
      </vt:variant>
    </vt:vector>
  </HeadingPairs>
  <TitlesOfParts>
    <vt:vector size="32" baseType="lpstr">
      <vt:lpstr>Page de couverture et instructi</vt:lpstr>
      <vt:lpstr>Résumé des options d'ECF</vt:lpstr>
      <vt:lpstr>Option A_Choix du modèle d'ECF</vt:lpstr>
      <vt:lpstr>Option B_Choix du modèle d'ECF</vt:lpstr>
      <vt:lpstr>Option C_Choix du modèle d'ECF</vt:lpstr>
      <vt:lpstr>Modèle de liste de prix spécifi</vt:lpstr>
      <vt:lpstr>_1.Chambresfroidesdeplainpied</vt:lpstr>
      <vt:lpstr>_10.CongélateurhorsréseauSDD</vt:lpstr>
      <vt:lpstr>_11.Outildesuividelatempérature_30DTR</vt:lpstr>
      <vt:lpstr>_12.Dispositifsdesurveillanceàdistancedelatempérature_RTMD</vt:lpstr>
      <vt:lpstr>_13.Portevaccinstraditionnels</vt:lpstr>
      <vt:lpstr>_14.Portevaccinshorsgel</vt:lpstr>
      <vt:lpstr>_15.Glacièrespourvaccinstraditionnelles</vt:lpstr>
      <vt:lpstr>_16.Glacièreshorsgel</vt:lpstr>
      <vt:lpstr>_17.Régulateursdetensionpouréquipement</vt:lpstr>
      <vt:lpstr>_18.Packsdeglace</vt:lpstr>
      <vt:lpstr>_19.PiècesderechangepourlesnouveauxéquipementsILRsanscongélateur</vt:lpstr>
      <vt:lpstr>_2.Chambresfroidesdeplainpiedaveccongélateurs</vt:lpstr>
      <vt:lpstr>_20.PiècesderechangepourlesnouveauxéquipementsILRaveccongélateur</vt:lpstr>
      <vt:lpstr>_21.Piècesderechangepourlesnouveauxcongélateurs</vt:lpstr>
      <vt:lpstr>_22.PiècesderechangepourlesnouveauxSDDaveccomp.congélateur</vt:lpstr>
      <vt:lpstr>_23.PiècesderechangepourlesnouveauxSDDsanscomp.congélateur</vt:lpstr>
      <vt:lpstr>_24.NouveauxcongélateursSDDpiècesderechange</vt:lpstr>
      <vt:lpstr>_3.Locationàcourttermepourchambresfroides</vt:lpstr>
      <vt:lpstr>_4.Locationdechambresfroidesdeplainpiedoudechambresdecongélation</vt:lpstr>
      <vt:lpstr>_5.RéfrigérateurILRàgaineréfrigérantesurréseau_sanscomp.congélateur</vt:lpstr>
      <vt:lpstr>_6.ILRsurréseau_aveccomp.congélateur</vt:lpstr>
      <vt:lpstr>_7.Congélateurssurréseau</vt:lpstr>
      <vt:lpstr>_8.RéfrigérateurshorsréseauSDD_sanscomp.congélateur</vt:lpstr>
      <vt:lpstr>_9.RéfrigérateurshorsréseauSDD_aveccomp.congélateur</vt:lpstr>
      <vt:lpstr>equipmentwithnoservicecost</vt:lpstr>
      <vt:lpstr>typeofequipment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szaidi@gavi.org</dc:creator>
  <cp:keywords/>
  <dc:description/>
  <cp:lastModifiedBy>CHAI</cp:lastModifiedBy>
  <cp:revision/>
  <dcterms:created xsi:type="dcterms:W3CDTF">2017-03-23T13:52:16Z</dcterms:created>
  <dcterms:modified xsi:type="dcterms:W3CDTF">2021-02-11T15:22:11Z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957285-7815-485a-9751-5b273b784ad5_Enabled">
    <vt:lpwstr>true</vt:lpwstr>
  </property>
  <property fmtid="{D5CDD505-2E9C-101B-9397-08002B2CF9AE}" pid="3" name="MSIP_Label_0a957285-7815-485a-9751-5b273b784ad5_SetDate">
    <vt:lpwstr>2019-12-17T14:07:20Z</vt:lpwstr>
  </property>
  <property fmtid="{D5CDD505-2E9C-101B-9397-08002B2CF9AE}" pid="4" name="MSIP_Label_0a957285-7815-485a-9751-5b273b784ad5_Method">
    <vt:lpwstr>Privileged</vt:lpwstr>
  </property>
  <property fmtid="{D5CDD505-2E9C-101B-9397-08002B2CF9AE}" pid="5" name="MSIP_Label_0a957285-7815-485a-9751-5b273b784ad5_Name">
    <vt:lpwstr>0a957285-7815-485a-9751-5b273b784ad5</vt:lpwstr>
  </property>
  <property fmtid="{D5CDD505-2E9C-101B-9397-08002B2CF9AE}" pid="6" name="MSIP_Label_0a957285-7815-485a-9751-5b273b784ad5_SiteId">
    <vt:lpwstr>1de6d9f3-0daf-4df6-b9d6-5959f16f6118</vt:lpwstr>
  </property>
  <property fmtid="{D5CDD505-2E9C-101B-9397-08002B2CF9AE}" pid="7" name="MSIP_Label_0a957285-7815-485a-9751-5b273b784ad5_ActionId">
    <vt:lpwstr>fe98bf14-763a-48ce-b8a4-0000f0ac0507</vt:lpwstr>
  </property>
  <property fmtid="{D5CDD505-2E9C-101B-9397-08002B2CF9AE}" pid="8" name="MSIP_Label_0a957285-7815-485a-9751-5b273b784ad5_ContentBits">
    <vt:lpwstr>0</vt:lpwstr>
  </property>
  <property fmtid="{D5CDD505-2E9C-101B-9397-08002B2CF9AE}" pid="9" name="ContentTypeId">
    <vt:lpwstr>0x010100307841806FBF6548AAF6655D25087CF4</vt:lpwstr>
  </property>
  <property fmtid="{D5CDD505-2E9C-101B-9397-08002B2CF9AE}" pid="10" name="TaxKeyword">
    <vt:lpwstr/>
  </property>
  <property fmtid="{D5CDD505-2E9C-101B-9397-08002B2CF9AE}" pid="11" name="TaxKeywordTaxHTField">
    <vt:lpwstr/>
  </property>
  <property fmtid="{D5CDD505-2E9C-101B-9397-08002B2CF9AE}" pid="12" name="_dlc_DocIdItemGuid">
    <vt:lpwstr>3c4a0585-8305-4a13-be23-e8f52fb4ff68</vt:lpwstr>
  </property>
</Properties>
</file>