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AI\Box Sync\Ashok folder\COVID-19\Gavi Covid CCE WG\"/>
    </mc:Choice>
  </mc:AlternateContent>
  <xr:revisionPtr revIDLastSave="0" documentId="8_{293E6C8E-502D-4105-9798-43B9B2A449B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over Page and Instructions" sheetId="1" r:id="rId1"/>
    <sheet name="CCE Options Summary" sheetId="8" r:id="rId2"/>
    <sheet name="Option A_CCE Model selection" sheetId="3" r:id="rId3"/>
    <sheet name="Option B_CCE Model selection" sheetId="9" r:id="rId4"/>
    <sheet name="Option C_CCE Model selection" sheetId="10" r:id="rId5"/>
    <sheet name="Specified CCE Model Price List" sheetId="2" r:id="rId6"/>
  </sheets>
  <definedNames>
    <definedName name="_1.Walkincoldrooms">'Specified CCE Model Price List'!$E$4:$E$26</definedName>
    <definedName name="_10.OffgridSDDfreezer">'Specified CCE Model Price List'!$E$119:$E$121</definedName>
    <definedName name="_11.Temperaturemonitoringdevice_30DTR">'Specified CCE Model Price List'!$E$122:$E$126</definedName>
    <definedName name="_12.Remotetemperaturemonitoringdevices_RTMDs">'Specified CCE Model Price List'!$E$127:$E$140</definedName>
    <definedName name="_13.Standardvaccinecarriers">'Specified CCE Model Price List'!$E$141:$E$154</definedName>
    <definedName name="_14.Freezefreevaccinecarriers">'Specified CCE Model Price List'!$E$155:$E$157</definedName>
    <definedName name="_15.Standardvaccinecoldboxes">'Specified CCE Model Price List'!$E$158:$E$173</definedName>
    <definedName name="_16.Freezefreecoldboxes">'Specified CCE Model Price List'!$E$174</definedName>
    <definedName name="_17.Voltageregulatorsforequipment">'Specified CCE Model Price List'!$E$175:$E$187</definedName>
    <definedName name="_18.Icepacks">'Specified CCE Model Price List'!$E$188:$E$201</definedName>
    <definedName name="_19.SparepartsfornewILRequipmentwithoutfreezer">'Specified CCE Model Price List'!$E$202:$E$226</definedName>
    <definedName name="_2.Walkincoldroomswithfreezers">'Specified CCE Model Price List'!$E$27:$E$34</definedName>
    <definedName name="_20.SparepartsfornewILRequipmentwithfreezer">'Specified CCE Model Price List'!$E$227:$E$230</definedName>
    <definedName name="_21.Sparepartsfornewfreezerequipment">'Specified CCE Model Price List'!$E$231:$E$238</definedName>
    <definedName name="_22.SparepartsfornewSDDwithoutfreezercomp.">'Specified CCE Model Price List'!$E$239:$E$265</definedName>
    <definedName name="_23.SparepartsfornewSDDwithfreezercomp.">'Specified CCE Model Price List'!$E$266:$E$275</definedName>
    <definedName name="_24.SparepartsfornewSDDfreezer">'Specified CCE Model Price List'!$E$276:$E$278</definedName>
    <definedName name="_3.ShorttermleaseforWalkincoldrooms">'Specified CCE Model Price List'!$E$35:$E$38</definedName>
    <definedName name="_4.LeasingWalkincoldroomsorfreezerroom">'Specified CCE Model Price List'!$E$39:$E$42</definedName>
    <definedName name="_5.OngridILR_withoutfreezercomp.">'Specified CCE Model Price List'!$E$43:$E$68</definedName>
    <definedName name="_6.OngridILR_withfreezercomp.">'Specified CCE Model Price List'!$E$69:$E$72</definedName>
    <definedName name="_7.Ongridfreezers">'Specified CCE Model Price List'!$E$73:$E$80</definedName>
    <definedName name="_8.OffgridSDDrefrigerators_withoutfreezercomp.">'Specified CCE Model Price List'!$E$81:$E$108</definedName>
    <definedName name="_9.OffgridSDDrefrigerators_withfreezercomp.">'Specified CCE Model Price List'!$E$109:$E$118</definedName>
    <definedName name="_xlnm._FilterDatabase" localSheetId="5" hidden="1">'Specified CCE Model Price List'!$A$3:$O$278</definedName>
    <definedName name="equipmentwithnoservicecost">'Specified CCE Model Price List'!$AB$14,'Specified CCE Model Price List'!$AB$16:$AB$27</definedName>
    <definedName name="typeofequipment">'Specified CCE Model Price List'!$AB$4:$AB$27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O87" i="2"/>
  <c r="N87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J47" i="10"/>
  <c r="J47" i="9"/>
  <c r="J47" i="3"/>
  <c r="D13" i="8"/>
  <c r="C13" i="8"/>
  <c r="C12" i="8"/>
  <c r="D12" i="8"/>
  <c r="D11" i="8"/>
  <c r="C11" i="8"/>
  <c r="B13" i="8"/>
  <c r="B12" i="8"/>
  <c r="B11" i="8"/>
  <c r="M35" i="10"/>
  <c r="M36" i="10"/>
  <c r="M35" i="9"/>
  <c r="M36" i="9"/>
  <c r="I22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22" i="9"/>
  <c r="I25" i="9"/>
  <c r="I26" i="9"/>
  <c r="I27" i="9"/>
  <c r="I28" i="9"/>
  <c r="I29" i="9"/>
  <c r="I30" i="9"/>
  <c r="I31" i="9"/>
  <c r="I32" i="9"/>
  <c r="I33" i="9"/>
  <c r="I34" i="9"/>
  <c r="I35" i="9"/>
  <c r="I36" i="9"/>
  <c r="I22" i="3"/>
  <c r="I25" i="3"/>
  <c r="I26" i="3"/>
  <c r="I27" i="3"/>
  <c r="I28" i="3"/>
  <c r="I29" i="3"/>
  <c r="I30" i="3"/>
  <c r="I31" i="3"/>
  <c r="I32" i="3"/>
  <c r="I33" i="3"/>
  <c r="I34" i="3"/>
  <c r="I35" i="3"/>
  <c r="I36" i="3"/>
  <c r="D7" i="10"/>
  <c r="E7" i="10"/>
  <c r="F7" i="10"/>
  <c r="G7" i="10"/>
  <c r="I7" i="10"/>
  <c r="D8" i="10"/>
  <c r="E8" i="10"/>
  <c r="F8" i="10"/>
  <c r="G8" i="10"/>
  <c r="I8" i="10"/>
  <c r="D9" i="10"/>
  <c r="E9" i="10"/>
  <c r="F9" i="10"/>
  <c r="G9" i="10"/>
  <c r="I9" i="10"/>
  <c r="D10" i="10"/>
  <c r="E10" i="10"/>
  <c r="F10" i="10"/>
  <c r="G10" i="10"/>
  <c r="I10" i="10"/>
  <c r="D11" i="10"/>
  <c r="E11" i="10"/>
  <c r="F11" i="10"/>
  <c r="G11" i="10"/>
  <c r="I11" i="10"/>
  <c r="D12" i="10"/>
  <c r="E12" i="10"/>
  <c r="F12" i="10"/>
  <c r="G12" i="10"/>
  <c r="I12" i="10"/>
  <c r="D13" i="10"/>
  <c r="E13" i="10"/>
  <c r="F13" i="10"/>
  <c r="G13" i="10"/>
  <c r="I13" i="10"/>
  <c r="D14" i="10"/>
  <c r="E14" i="10"/>
  <c r="F14" i="10"/>
  <c r="G14" i="10"/>
  <c r="I14" i="10"/>
  <c r="D15" i="10"/>
  <c r="E15" i="10"/>
  <c r="F15" i="10"/>
  <c r="G15" i="10"/>
  <c r="I15" i="10"/>
  <c r="D16" i="10"/>
  <c r="E16" i="10"/>
  <c r="F16" i="10"/>
  <c r="G16" i="10"/>
  <c r="I16" i="10"/>
  <c r="D17" i="10"/>
  <c r="E17" i="10"/>
  <c r="F17" i="10"/>
  <c r="G17" i="10"/>
  <c r="I17" i="10"/>
  <c r="D18" i="10"/>
  <c r="E18" i="10"/>
  <c r="F18" i="10"/>
  <c r="G18" i="10"/>
  <c r="I18" i="10"/>
  <c r="D19" i="10"/>
  <c r="E19" i="10"/>
  <c r="F19" i="10"/>
  <c r="G19" i="10"/>
  <c r="I19" i="10"/>
  <c r="D20" i="10"/>
  <c r="E20" i="10"/>
  <c r="F20" i="10"/>
  <c r="G20" i="10"/>
  <c r="I20" i="10"/>
  <c r="D21" i="10"/>
  <c r="E21" i="10"/>
  <c r="F21" i="10"/>
  <c r="G21" i="10"/>
  <c r="I21" i="10"/>
  <c r="D22" i="10"/>
  <c r="E22" i="10"/>
  <c r="F22" i="10"/>
  <c r="G22" i="10"/>
  <c r="D23" i="10"/>
  <c r="E23" i="10"/>
  <c r="F23" i="10"/>
  <c r="G23" i="10"/>
  <c r="I23" i="10"/>
  <c r="D24" i="10"/>
  <c r="E24" i="10"/>
  <c r="F24" i="10"/>
  <c r="G24" i="10"/>
  <c r="I24" i="10"/>
  <c r="D25" i="10"/>
  <c r="E25" i="10"/>
  <c r="F25" i="10"/>
  <c r="G25" i="10"/>
  <c r="D26" i="10"/>
  <c r="E26" i="10"/>
  <c r="F26" i="10"/>
  <c r="G26" i="10"/>
  <c r="D27" i="10"/>
  <c r="E27" i="10"/>
  <c r="F27" i="10"/>
  <c r="G27" i="10"/>
  <c r="D28" i="10"/>
  <c r="E28" i="10"/>
  <c r="F28" i="10"/>
  <c r="G28" i="10"/>
  <c r="D29" i="10"/>
  <c r="E29" i="10"/>
  <c r="F29" i="10"/>
  <c r="G29" i="10"/>
  <c r="D30" i="10"/>
  <c r="E30" i="10"/>
  <c r="F30" i="10"/>
  <c r="G30" i="10"/>
  <c r="D31" i="10"/>
  <c r="E31" i="10"/>
  <c r="F31" i="10"/>
  <c r="G31" i="10"/>
  <c r="D32" i="10"/>
  <c r="E32" i="10"/>
  <c r="F32" i="10"/>
  <c r="G32" i="10"/>
  <c r="D33" i="10"/>
  <c r="E33" i="10"/>
  <c r="F33" i="10"/>
  <c r="G33" i="10"/>
  <c r="D34" i="10"/>
  <c r="E34" i="10"/>
  <c r="F34" i="10"/>
  <c r="G34" i="10"/>
  <c r="D35" i="10"/>
  <c r="E35" i="10"/>
  <c r="F35" i="10"/>
  <c r="G35" i="10"/>
  <c r="D36" i="10"/>
  <c r="E36" i="10"/>
  <c r="F36" i="10"/>
  <c r="G36" i="10"/>
  <c r="D35" i="3"/>
  <c r="E35" i="3"/>
  <c r="F35" i="3"/>
  <c r="G35" i="3"/>
  <c r="M30" i="3"/>
  <c r="M31" i="3"/>
  <c r="M32" i="3"/>
  <c r="M33" i="3"/>
  <c r="M34" i="3"/>
  <c r="M35" i="3"/>
  <c r="M36" i="3"/>
  <c r="AD21" i="2"/>
  <c r="G6" i="10"/>
  <c r="I6" i="10"/>
  <c r="F6" i="10"/>
  <c r="E6" i="10"/>
  <c r="D6" i="10"/>
  <c r="D7" i="9"/>
  <c r="E7" i="9"/>
  <c r="F7" i="9"/>
  <c r="G7" i="9"/>
  <c r="I7" i="9"/>
  <c r="D8" i="9"/>
  <c r="E8" i="9"/>
  <c r="F8" i="9"/>
  <c r="G8" i="9"/>
  <c r="I8" i="9"/>
  <c r="D9" i="9"/>
  <c r="E9" i="9"/>
  <c r="F9" i="9"/>
  <c r="G9" i="9"/>
  <c r="I9" i="9"/>
  <c r="D10" i="9"/>
  <c r="E10" i="9"/>
  <c r="F10" i="9"/>
  <c r="G10" i="9"/>
  <c r="I10" i="9"/>
  <c r="D11" i="9"/>
  <c r="E11" i="9"/>
  <c r="F11" i="9"/>
  <c r="G11" i="9"/>
  <c r="I11" i="9"/>
  <c r="D12" i="9"/>
  <c r="E12" i="9"/>
  <c r="F12" i="9"/>
  <c r="G12" i="9"/>
  <c r="I12" i="9"/>
  <c r="D13" i="9"/>
  <c r="E13" i="9"/>
  <c r="F13" i="9"/>
  <c r="G13" i="9"/>
  <c r="I13" i="9"/>
  <c r="D14" i="9"/>
  <c r="E14" i="9"/>
  <c r="F14" i="9"/>
  <c r="G14" i="9"/>
  <c r="I14" i="9"/>
  <c r="D15" i="9"/>
  <c r="E15" i="9"/>
  <c r="F15" i="9"/>
  <c r="G15" i="9"/>
  <c r="I15" i="9"/>
  <c r="D16" i="9"/>
  <c r="E16" i="9"/>
  <c r="F16" i="9"/>
  <c r="G16" i="9"/>
  <c r="I16" i="9"/>
  <c r="D17" i="9"/>
  <c r="E17" i="9"/>
  <c r="F17" i="9"/>
  <c r="G17" i="9"/>
  <c r="I17" i="9"/>
  <c r="D18" i="9"/>
  <c r="E18" i="9"/>
  <c r="F18" i="9"/>
  <c r="G18" i="9"/>
  <c r="I18" i="9"/>
  <c r="D19" i="9"/>
  <c r="E19" i="9"/>
  <c r="F19" i="9"/>
  <c r="G19" i="9"/>
  <c r="I19" i="9"/>
  <c r="D20" i="9"/>
  <c r="E20" i="9"/>
  <c r="F20" i="9"/>
  <c r="G20" i="9"/>
  <c r="I20" i="9"/>
  <c r="D21" i="9"/>
  <c r="E21" i="9"/>
  <c r="F21" i="9"/>
  <c r="G21" i="9"/>
  <c r="I21" i="9"/>
  <c r="D22" i="9"/>
  <c r="E22" i="9"/>
  <c r="F22" i="9"/>
  <c r="G22" i="9"/>
  <c r="D23" i="9"/>
  <c r="E23" i="9"/>
  <c r="F23" i="9"/>
  <c r="G23" i="9"/>
  <c r="I23" i="9"/>
  <c r="D24" i="9"/>
  <c r="E24" i="9"/>
  <c r="F24" i="9"/>
  <c r="G24" i="9"/>
  <c r="I24" i="9"/>
  <c r="D25" i="9"/>
  <c r="E25" i="9"/>
  <c r="F25" i="9"/>
  <c r="G25" i="9"/>
  <c r="D26" i="9"/>
  <c r="E26" i="9"/>
  <c r="F26" i="9"/>
  <c r="G26" i="9"/>
  <c r="D27" i="9"/>
  <c r="E27" i="9"/>
  <c r="F27" i="9"/>
  <c r="G27" i="9"/>
  <c r="D28" i="9"/>
  <c r="E28" i="9"/>
  <c r="F28" i="9"/>
  <c r="G28" i="9"/>
  <c r="D29" i="9"/>
  <c r="E29" i="9"/>
  <c r="F29" i="9"/>
  <c r="G29" i="9"/>
  <c r="D30" i="9"/>
  <c r="E30" i="9"/>
  <c r="F30" i="9"/>
  <c r="G30" i="9"/>
  <c r="D31" i="9"/>
  <c r="E31" i="9"/>
  <c r="F31" i="9"/>
  <c r="G31" i="9"/>
  <c r="D32" i="9"/>
  <c r="E32" i="9"/>
  <c r="F32" i="9"/>
  <c r="G32" i="9"/>
  <c r="D33" i="9"/>
  <c r="E33" i="9"/>
  <c r="F33" i="9"/>
  <c r="G33" i="9"/>
  <c r="D34" i="9"/>
  <c r="E34" i="9"/>
  <c r="F34" i="9"/>
  <c r="G34" i="9"/>
  <c r="D36" i="9"/>
  <c r="E36" i="9"/>
  <c r="F36" i="9"/>
  <c r="G36" i="9"/>
  <c r="G6" i="9"/>
  <c r="I6" i="9"/>
  <c r="F6" i="9"/>
  <c r="E6" i="9"/>
  <c r="D6" i="9"/>
  <c r="D7" i="3"/>
  <c r="E7" i="3"/>
  <c r="F7" i="3"/>
  <c r="G7" i="3"/>
  <c r="I7" i="3"/>
  <c r="D8" i="3"/>
  <c r="E8" i="3"/>
  <c r="F8" i="3"/>
  <c r="G8" i="3"/>
  <c r="I8" i="3"/>
  <c r="D9" i="3"/>
  <c r="E9" i="3"/>
  <c r="F9" i="3"/>
  <c r="G9" i="3"/>
  <c r="I9" i="3"/>
  <c r="D10" i="3"/>
  <c r="E10" i="3"/>
  <c r="F10" i="3"/>
  <c r="G10" i="3"/>
  <c r="I10" i="3"/>
  <c r="D11" i="3"/>
  <c r="E11" i="3"/>
  <c r="F11" i="3"/>
  <c r="G11" i="3"/>
  <c r="I11" i="3"/>
  <c r="D12" i="3"/>
  <c r="E12" i="3"/>
  <c r="F12" i="3"/>
  <c r="G12" i="3"/>
  <c r="I12" i="3"/>
  <c r="D13" i="3"/>
  <c r="E13" i="3"/>
  <c r="F13" i="3"/>
  <c r="G13" i="3"/>
  <c r="I13" i="3"/>
  <c r="D14" i="3"/>
  <c r="E14" i="3"/>
  <c r="F14" i="3"/>
  <c r="G14" i="3"/>
  <c r="I14" i="3"/>
  <c r="D15" i="3"/>
  <c r="E15" i="3"/>
  <c r="F15" i="3"/>
  <c r="G15" i="3"/>
  <c r="I15" i="3"/>
  <c r="D16" i="3"/>
  <c r="E16" i="3"/>
  <c r="F16" i="3"/>
  <c r="G16" i="3"/>
  <c r="I16" i="3"/>
  <c r="D17" i="3"/>
  <c r="E17" i="3"/>
  <c r="F17" i="3"/>
  <c r="G17" i="3"/>
  <c r="I17" i="3"/>
  <c r="D18" i="3"/>
  <c r="E18" i="3"/>
  <c r="F18" i="3"/>
  <c r="G18" i="3"/>
  <c r="I18" i="3"/>
  <c r="D19" i="3"/>
  <c r="E19" i="3"/>
  <c r="F19" i="3"/>
  <c r="G19" i="3"/>
  <c r="I19" i="3"/>
  <c r="D20" i="3"/>
  <c r="E20" i="3"/>
  <c r="F20" i="3"/>
  <c r="G20" i="3"/>
  <c r="I20" i="3"/>
  <c r="D21" i="3"/>
  <c r="E21" i="3"/>
  <c r="F21" i="3"/>
  <c r="G21" i="3"/>
  <c r="I21" i="3"/>
  <c r="D22" i="3"/>
  <c r="E22" i="3"/>
  <c r="F22" i="3"/>
  <c r="G22" i="3"/>
  <c r="D23" i="3"/>
  <c r="E23" i="3"/>
  <c r="F23" i="3"/>
  <c r="G23" i="3"/>
  <c r="I23" i="3"/>
  <c r="D24" i="3"/>
  <c r="E24" i="3"/>
  <c r="F24" i="3"/>
  <c r="G24" i="3"/>
  <c r="I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F29" i="3"/>
  <c r="G29" i="3"/>
  <c r="D30" i="3"/>
  <c r="E30" i="3"/>
  <c r="F30" i="3"/>
  <c r="G30" i="3"/>
  <c r="D31" i="3"/>
  <c r="E31" i="3"/>
  <c r="F31" i="3"/>
  <c r="G31" i="3"/>
  <c r="D32" i="3"/>
  <c r="E32" i="3"/>
  <c r="F32" i="3"/>
  <c r="G32" i="3"/>
  <c r="D33" i="3"/>
  <c r="E33" i="3"/>
  <c r="F33" i="3"/>
  <c r="G33" i="3"/>
  <c r="D34" i="3"/>
  <c r="E34" i="3"/>
  <c r="F34" i="3"/>
  <c r="G34" i="3"/>
  <c r="D36" i="3"/>
  <c r="E36" i="3"/>
  <c r="F36" i="3"/>
  <c r="G36" i="3"/>
  <c r="G6" i="3"/>
  <c r="I6" i="3"/>
  <c r="F6" i="3"/>
  <c r="E6" i="3"/>
  <c r="D6" i="3"/>
  <c r="K6" i="10"/>
  <c r="K6" i="9"/>
  <c r="K6" i="3"/>
  <c r="O201" i="2"/>
  <c r="N201" i="2"/>
  <c r="O192" i="2"/>
  <c r="N192" i="2"/>
  <c r="O173" i="2"/>
  <c r="N173" i="2"/>
  <c r="H173" i="2"/>
  <c r="H172" i="2"/>
  <c r="H171" i="2"/>
  <c r="H170" i="2"/>
  <c r="H169" i="2"/>
  <c r="H168" i="2"/>
  <c r="H167" i="2"/>
  <c r="O166" i="2"/>
  <c r="N166" i="2"/>
  <c r="H166" i="2"/>
  <c r="H165" i="2"/>
  <c r="H164" i="2"/>
  <c r="H163" i="2"/>
  <c r="H162" i="2"/>
  <c r="O161" i="2"/>
  <c r="N161" i="2"/>
  <c r="H161" i="2"/>
  <c r="H160" i="2"/>
  <c r="H159" i="2"/>
  <c r="H158" i="2"/>
  <c r="O154" i="2"/>
  <c r="N154" i="2"/>
  <c r="H154" i="2"/>
  <c r="H153" i="2"/>
  <c r="H152" i="2"/>
  <c r="H151" i="2"/>
  <c r="H150" i="2"/>
  <c r="O149" i="2"/>
  <c r="N149" i="2"/>
  <c r="H149" i="2"/>
  <c r="H148" i="2"/>
  <c r="H147" i="2"/>
  <c r="H146" i="2"/>
  <c r="H145" i="2"/>
  <c r="H144" i="2"/>
  <c r="H143" i="2"/>
  <c r="H142" i="2"/>
  <c r="H141" i="2"/>
  <c r="O136" i="2"/>
  <c r="N136" i="2"/>
  <c r="O135" i="2"/>
  <c r="N135" i="2"/>
  <c r="O134" i="2"/>
  <c r="N134" i="2"/>
  <c r="O133" i="2"/>
  <c r="N133" i="2"/>
  <c r="O132" i="2"/>
  <c r="N132" i="2"/>
  <c r="O131" i="2"/>
  <c r="N131" i="2"/>
  <c r="O130" i="2"/>
  <c r="N130" i="2"/>
  <c r="O129" i="2"/>
  <c r="N129" i="2"/>
  <c r="O128" i="2"/>
  <c r="N128" i="2"/>
  <c r="AD18" i="2"/>
  <c r="AD16" i="2"/>
  <c r="O35" i="2"/>
  <c r="N35" i="2"/>
  <c r="O38" i="2"/>
  <c r="N38" i="2"/>
  <c r="O37" i="2"/>
  <c r="O36" i="2"/>
  <c r="N36" i="2"/>
  <c r="N37" i="2"/>
  <c r="N139" i="2"/>
  <c r="O139" i="2"/>
  <c r="N137" i="2"/>
  <c r="O137" i="2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5" i="10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5" i="9"/>
  <c r="K28" i="10"/>
  <c r="K26" i="10"/>
  <c r="K25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29" i="9"/>
  <c r="K26" i="9"/>
  <c r="K25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J54" i="9"/>
  <c r="K8" i="9"/>
  <c r="K7" i="9"/>
  <c r="K26" i="3"/>
  <c r="K25" i="3"/>
  <c r="K22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5" i="3"/>
  <c r="AD7" i="2"/>
  <c r="O40" i="2"/>
  <c r="O41" i="2"/>
  <c r="O42" i="2"/>
  <c r="O39" i="2"/>
  <c r="N40" i="2"/>
  <c r="N41" i="2"/>
  <c r="N42" i="2"/>
  <c r="N39" i="2"/>
  <c r="O187" i="2"/>
  <c r="N187" i="2"/>
  <c r="O186" i="2"/>
  <c r="N186" i="2"/>
  <c r="O185" i="2"/>
  <c r="N185" i="2"/>
  <c r="O184" i="2"/>
  <c r="N184" i="2"/>
  <c r="O183" i="2"/>
  <c r="N183" i="2"/>
  <c r="O182" i="2"/>
  <c r="N182" i="2"/>
  <c r="O181" i="2"/>
  <c r="N181" i="2"/>
  <c r="O180" i="2"/>
  <c r="N180" i="2"/>
  <c r="O179" i="2"/>
  <c r="N179" i="2"/>
  <c r="O178" i="2"/>
  <c r="N178" i="2"/>
  <c r="O177" i="2"/>
  <c r="N177" i="2"/>
  <c r="O176" i="2"/>
  <c r="N176" i="2"/>
  <c r="O175" i="2"/>
  <c r="N175" i="2"/>
  <c r="J54" i="10"/>
  <c r="J56" i="10"/>
  <c r="D14" i="8"/>
  <c r="K21" i="3"/>
  <c r="K20" i="3"/>
  <c r="K15" i="3"/>
  <c r="K13" i="3"/>
  <c r="K16" i="3"/>
  <c r="K14" i="3"/>
  <c r="K17" i="3"/>
  <c r="K18" i="3"/>
  <c r="K19" i="3"/>
  <c r="K7" i="3"/>
  <c r="K8" i="3"/>
  <c r="K9" i="3"/>
  <c r="K10" i="3"/>
  <c r="K11" i="3"/>
  <c r="K12" i="3"/>
  <c r="J56" i="9"/>
  <c r="C14" i="8"/>
  <c r="K23" i="9"/>
  <c r="K24" i="9"/>
  <c r="K34" i="9"/>
  <c r="K30" i="10"/>
  <c r="K24" i="10"/>
  <c r="K36" i="3"/>
  <c r="K28" i="9"/>
  <c r="K33" i="9"/>
  <c r="K32" i="9"/>
  <c r="K23" i="10"/>
  <c r="K33" i="10"/>
  <c r="K29" i="10"/>
  <c r="K32" i="10"/>
  <c r="K30" i="9"/>
  <c r="K34" i="10"/>
  <c r="K36" i="9"/>
  <c r="K31" i="10"/>
  <c r="K36" i="10"/>
  <c r="K31" i="9"/>
  <c r="K27" i="9"/>
  <c r="K27" i="10"/>
  <c r="K27" i="3"/>
  <c r="K28" i="3"/>
  <c r="K34" i="3"/>
  <c r="K23" i="3"/>
  <c r="K32" i="3"/>
  <c r="K24" i="3"/>
  <c r="K29" i="3"/>
  <c r="K30" i="3"/>
  <c r="K33" i="3"/>
  <c r="K31" i="3"/>
  <c r="J37" i="10"/>
  <c r="J52" i="10"/>
  <c r="J37" i="9"/>
  <c r="J52" i="9"/>
  <c r="J54" i="3"/>
  <c r="J56" i="3"/>
  <c r="B14" i="8"/>
  <c r="J37" i="3"/>
  <c r="N4" i="2"/>
  <c r="O4" i="2"/>
  <c r="N9" i="2"/>
  <c r="O9" i="2"/>
  <c r="N18" i="2"/>
  <c r="O18" i="2"/>
  <c r="N5" i="2"/>
  <c r="O5" i="2"/>
  <c r="N10" i="2"/>
  <c r="O10" i="2"/>
  <c r="N11" i="2"/>
  <c r="O11" i="2"/>
  <c r="N19" i="2"/>
  <c r="O19" i="2"/>
  <c r="N20" i="2"/>
  <c r="O20" i="2"/>
  <c r="N6" i="2"/>
  <c r="O6" i="2"/>
  <c r="N12" i="2"/>
  <c r="O12" i="2"/>
  <c r="N13" i="2"/>
  <c r="O13" i="2"/>
  <c r="N21" i="2"/>
  <c r="O21" i="2"/>
  <c r="N22" i="2"/>
  <c r="O22" i="2"/>
  <c r="N7" i="2"/>
  <c r="O7" i="2"/>
  <c r="N14" i="2"/>
  <c r="O14" i="2"/>
  <c r="N15" i="2"/>
  <c r="O15" i="2"/>
  <c r="N23" i="2"/>
  <c r="O23" i="2"/>
  <c r="N24" i="2"/>
  <c r="O24" i="2"/>
  <c r="N8" i="2"/>
  <c r="O8" i="2"/>
  <c r="N16" i="2"/>
  <c r="O16" i="2"/>
  <c r="N17" i="2"/>
  <c r="O17" i="2"/>
  <c r="N25" i="2"/>
  <c r="O25" i="2"/>
  <c r="N26" i="2"/>
  <c r="O26" i="2"/>
  <c r="N27" i="2"/>
  <c r="O27" i="2"/>
  <c r="N28" i="2"/>
  <c r="O28" i="2"/>
  <c r="N29" i="2"/>
  <c r="O29" i="2"/>
  <c r="N30" i="2"/>
  <c r="O30" i="2"/>
  <c r="N33" i="2"/>
  <c r="O33" i="2"/>
  <c r="N34" i="2"/>
  <c r="O34" i="2"/>
  <c r="N31" i="2"/>
  <c r="O31" i="2"/>
  <c r="N32" i="2"/>
  <c r="O32" i="2"/>
  <c r="J49" i="9"/>
  <c r="J49" i="10"/>
  <c r="J58" i="9"/>
  <c r="C15" i="8"/>
  <c r="J58" i="10"/>
  <c r="D15" i="8"/>
  <c r="N60" i="2"/>
  <c r="O60" i="2"/>
  <c r="AD6" i="2"/>
  <c r="AD5" i="2"/>
  <c r="AD4" i="2"/>
  <c r="A5" i="2"/>
  <c r="H174" i="2"/>
  <c r="O63" i="2"/>
  <c r="N63" i="2"/>
  <c r="H63" i="2"/>
  <c r="O107" i="2"/>
  <c r="N107" i="2"/>
  <c r="H107" i="2"/>
  <c r="O58" i="2"/>
  <c r="N58" i="2"/>
  <c r="H58" i="2"/>
  <c r="O102" i="2"/>
  <c r="N102" i="2"/>
  <c r="H102" i="2"/>
  <c r="AD27" i="2"/>
  <c r="AD26" i="2"/>
  <c r="AD25" i="2"/>
  <c r="AD24" i="2"/>
  <c r="AD23" i="2"/>
  <c r="AD13" i="2"/>
  <c r="AD20" i="2"/>
  <c r="O62" i="2"/>
  <c r="N62" i="2"/>
  <c r="O54" i="2"/>
  <c r="H54" i="2"/>
  <c r="O49" i="2"/>
  <c r="N49" i="2"/>
  <c r="O106" i="2"/>
  <c r="N106" i="2"/>
  <c r="O99" i="2"/>
  <c r="N99" i="2"/>
  <c r="N54" i="2"/>
  <c r="O94" i="2"/>
  <c r="N94" i="2"/>
  <c r="O126" i="2"/>
  <c r="N126" i="2"/>
  <c r="O71" i="2"/>
  <c r="N71" i="2"/>
  <c r="O174" i="2"/>
  <c r="N174" i="2"/>
  <c r="H157" i="2"/>
  <c r="O53" i="2"/>
  <c r="O45" i="2"/>
  <c r="O44" i="2"/>
  <c r="N44" i="2"/>
  <c r="H44" i="2"/>
  <c r="O70" i="2"/>
  <c r="N70" i="2"/>
  <c r="H70" i="2"/>
  <c r="O52" i="2"/>
  <c r="N52" i="2"/>
  <c r="H52" i="2"/>
  <c r="O96" i="2"/>
  <c r="N96" i="2"/>
  <c r="H96" i="2"/>
  <c r="H53" i="2"/>
  <c r="H45" i="2"/>
  <c r="O108" i="2"/>
  <c r="H108" i="2"/>
  <c r="O89" i="2"/>
  <c r="H89" i="2"/>
  <c r="N67" i="2"/>
  <c r="H67" i="2"/>
  <c r="O120" i="2"/>
  <c r="N120" i="2"/>
  <c r="H115" i="2"/>
  <c r="O91" i="2"/>
  <c r="N91" i="2"/>
  <c r="H91" i="2"/>
  <c r="H69" i="2"/>
  <c r="O72" i="2"/>
  <c r="N72" i="2"/>
  <c r="H72" i="2"/>
  <c r="O69" i="2"/>
  <c r="N69" i="2"/>
  <c r="O83" i="2"/>
  <c r="N83" i="2"/>
  <c r="O43" i="2"/>
  <c r="N43" i="2"/>
  <c r="N86" i="2"/>
  <c r="O86" i="2"/>
  <c r="O50" i="2"/>
  <c r="O59" i="2"/>
  <c r="O65" i="2"/>
  <c r="N50" i="2"/>
  <c r="N59" i="2"/>
  <c r="N65" i="2"/>
  <c r="O119" i="2"/>
  <c r="N119" i="2"/>
  <c r="O122" i="2"/>
  <c r="N122" i="2"/>
  <c r="O127" i="2"/>
  <c r="N127" i="2"/>
  <c r="O140" i="2"/>
  <c r="N140" i="2"/>
  <c r="O138" i="2"/>
  <c r="N138" i="2"/>
  <c r="O125" i="2"/>
  <c r="N125" i="2"/>
  <c r="O124" i="2"/>
  <c r="N124" i="2"/>
  <c r="O123" i="2"/>
  <c r="N123" i="2"/>
  <c r="AD9" i="2"/>
  <c r="AD10" i="2"/>
  <c r="AD11" i="2"/>
  <c r="AD12" i="2"/>
  <c r="AD14" i="2"/>
  <c r="AD15" i="2"/>
  <c r="AD17" i="2"/>
  <c r="AD19" i="2"/>
  <c r="AD22" i="2"/>
  <c r="AD8" i="2"/>
  <c r="O121" i="2"/>
  <c r="N121" i="2"/>
  <c r="O118" i="2"/>
  <c r="N118" i="2"/>
  <c r="O117" i="2"/>
  <c r="N117" i="2"/>
  <c r="O116" i="2"/>
  <c r="N116" i="2"/>
  <c r="O105" i="2"/>
  <c r="N105" i="2"/>
  <c r="O104" i="2"/>
  <c r="N104" i="2"/>
  <c r="O103" i="2"/>
  <c r="N103" i="2"/>
  <c r="O100" i="2"/>
  <c r="N100" i="2"/>
  <c r="O101" i="2"/>
  <c r="N101" i="2"/>
  <c r="O98" i="2"/>
  <c r="N98" i="2"/>
  <c r="O97" i="2"/>
  <c r="N97" i="2"/>
  <c r="O95" i="2"/>
  <c r="N95" i="2"/>
  <c r="O93" i="2"/>
  <c r="N93" i="2"/>
  <c r="O92" i="2"/>
  <c r="N92" i="2"/>
  <c r="O90" i="2"/>
  <c r="N90" i="2"/>
  <c r="O88" i="2"/>
  <c r="N88" i="2"/>
  <c r="O85" i="2"/>
  <c r="N85" i="2"/>
  <c r="O84" i="2"/>
  <c r="N84" i="2"/>
  <c r="O82" i="2"/>
  <c r="N82" i="2"/>
  <c r="O81" i="2"/>
  <c r="N81" i="2"/>
  <c r="O80" i="2"/>
  <c r="N80" i="2"/>
  <c r="O79" i="2"/>
  <c r="N79" i="2"/>
  <c r="O78" i="2"/>
  <c r="N78" i="2"/>
  <c r="O77" i="2"/>
  <c r="N77" i="2"/>
  <c r="O76" i="2"/>
  <c r="N76" i="2"/>
  <c r="O75" i="2"/>
  <c r="N75" i="2"/>
  <c r="O74" i="2"/>
  <c r="N74" i="2"/>
  <c r="O73" i="2"/>
  <c r="N73" i="2"/>
  <c r="O66" i="2"/>
  <c r="N66" i="2"/>
  <c r="O64" i="2"/>
  <c r="N64" i="2"/>
  <c r="O61" i="2"/>
  <c r="N61" i="2"/>
  <c r="O57" i="2"/>
  <c r="N57" i="2"/>
  <c r="O56" i="2"/>
  <c r="N56" i="2"/>
  <c r="O55" i="2"/>
  <c r="N55" i="2"/>
  <c r="O51" i="2"/>
  <c r="N51" i="2"/>
  <c r="O48" i="2"/>
  <c r="N48" i="2"/>
  <c r="O47" i="2"/>
  <c r="N47" i="2"/>
  <c r="O46" i="2"/>
  <c r="N46" i="2"/>
  <c r="N45" i="2"/>
  <c r="N108" i="2"/>
  <c r="O67" i="2"/>
  <c r="N53" i="2"/>
  <c r="N89" i="2"/>
  <c r="J49" i="3"/>
  <c r="J52" i="3"/>
  <c r="J58" i="3"/>
  <c r="B15" i="8"/>
  <c r="D16" i="8"/>
  <c r="C16" i="8"/>
  <c r="B16" i="8"/>
</calcChain>
</file>

<file path=xl/sharedStrings.xml><?xml version="1.0" encoding="utf-8"?>
<sst xmlns="http://schemas.openxmlformats.org/spreadsheetml/2006/main" count="2773" uniqueCount="2190">
  <si>
    <r>
      <rPr>
        <b/>
        <sz val="11"/>
        <color theme="0"/>
        <rFont val="Calibri"/>
        <family val="2"/>
        <scheme val="minor"/>
      </rPr>
      <t>Type of equipment</t>
    </r>
  </si>
  <si>
    <r>
      <rPr>
        <b/>
        <sz val="11"/>
        <color theme="0"/>
        <rFont val="Calibri"/>
        <family val="2"/>
        <scheme val="minor"/>
      </rPr>
      <t>Number of equipment</t>
    </r>
  </si>
  <si>
    <r>
      <rPr>
        <b/>
        <sz val="11"/>
        <color theme="0"/>
        <rFont val="Calibri"/>
        <family val="2"/>
        <scheme val="minor"/>
      </rPr>
      <t>Total amount
$US</t>
    </r>
  </si>
  <si>
    <r>
      <rPr>
        <b/>
        <sz val="11"/>
        <color theme="0"/>
        <rFont val="Calibri"/>
        <family val="2"/>
        <scheme val="minor"/>
      </rPr>
      <t>Тип оборудования и источник питания</t>
    </r>
  </si>
  <si>
    <r>
      <rPr>
        <b/>
        <sz val="11"/>
        <color theme="0"/>
        <rFont val="Calibri"/>
        <family val="2"/>
        <scheme val="minor"/>
      </rPr>
      <t>Vaccine capacity (L)</t>
    </r>
  </si>
  <si>
    <r>
      <rPr>
        <b/>
        <sz val="11"/>
        <color theme="0"/>
        <rFont val="Calibri"/>
        <family val="2"/>
        <scheme val="minor"/>
      </rPr>
      <t>Индекс</t>
    </r>
  </si>
  <si>
    <r>
      <rPr>
        <b/>
        <sz val="11"/>
        <color theme="0"/>
        <rFont val="Calibri"/>
        <family val="2"/>
        <scheme val="minor"/>
      </rPr>
      <t>Equipment make</t>
    </r>
  </si>
  <si>
    <r>
      <rPr>
        <b/>
        <sz val="11"/>
        <color theme="0"/>
        <rFont val="Calibri"/>
        <family val="2"/>
        <scheme val="minor"/>
      </rPr>
      <t>Equipment model</t>
    </r>
  </si>
  <si>
    <t>ZLF 30 AC</t>
  </si>
  <si>
    <t>GVR 50 AC</t>
  </si>
  <si>
    <t>CFD-50</t>
  </si>
  <si>
    <t>GVR 51 Lite AC</t>
  </si>
  <si>
    <t>GVR 75 Lite AC</t>
  </si>
  <si>
    <t>GVR 99 Lite AC</t>
  </si>
  <si>
    <t>GVR 100 AC</t>
  </si>
  <si>
    <t>ZLF 100 AC</t>
  </si>
  <si>
    <t>ZLF 150 AC</t>
  </si>
  <si>
    <t>VC 225 ILR</t>
  </si>
  <si>
    <t>GVR 225 AC</t>
  </si>
  <si>
    <t>DW-25W147</t>
  </si>
  <si>
    <t>MF 114</t>
  </si>
  <si>
    <t>HBD 116</t>
  </si>
  <si>
    <t>MF 214</t>
  </si>
  <si>
    <t>TFW 3000 AC</t>
  </si>
  <si>
    <t>DW-25W300</t>
  </si>
  <si>
    <t>MF 314</t>
  </si>
  <si>
    <t>HBD 286</t>
  </si>
  <si>
    <t>BFRV 15 SDD</t>
  </si>
  <si>
    <t>TCW 15 SDD</t>
  </si>
  <si>
    <t>TCW 15R SDD</t>
  </si>
  <si>
    <t>HTC 40 SDD</t>
  </si>
  <si>
    <t>VLS 024 SDD</t>
  </si>
  <si>
    <t>ZLF 30DC SDD</t>
  </si>
  <si>
    <t>GVR 50 DC</t>
  </si>
  <si>
    <t>VC 50 SDD</t>
  </si>
  <si>
    <t>VC 60 SDD</t>
  </si>
  <si>
    <t>HTC 110 SDD</t>
  </si>
  <si>
    <t>VC 88 SDD</t>
  </si>
  <si>
    <t>TCW 3043 SDD</t>
  </si>
  <si>
    <t>GVR 100 DC</t>
  </si>
  <si>
    <t>ZLF 100 DC</t>
  </si>
  <si>
    <t>VC 110 SDD</t>
  </si>
  <si>
    <t>ZLF 150DC</t>
  </si>
  <si>
    <t>VC 200 SDD</t>
  </si>
  <si>
    <t>TCW 40 SDD</t>
  </si>
  <si>
    <t>HTCD 90 SDD</t>
  </si>
  <si>
    <t>TCW 2043 SDD</t>
  </si>
  <si>
    <t>VC 150 SDD</t>
  </si>
  <si>
    <t>TFW 40 SDD</t>
  </si>
  <si>
    <t>Zero</t>
  </si>
  <si>
    <t xml:space="preserve">Godrej &amp; Boyce </t>
  </si>
  <si>
    <t>Aucma</t>
  </si>
  <si>
    <t>Vestfrost</t>
  </si>
  <si>
    <t>Dulas Solar</t>
  </si>
  <si>
    <t>B Medical</t>
  </si>
  <si>
    <r>
      <rPr>
        <sz val="11"/>
        <rFont val="Calibri"/>
        <family val="2"/>
        <scheme val="minor"/>
      </rPr>
      <t>Haier</t>
    </r>
  </si>
  <si>
    <t>SunDanzer</t>
  </si>
  <si>
    <r>
      <rPr>
        <b/>
        <sz val="11"/>
        <color theme="0"/>
        <rFont val="Calibri"/>
        <family val="2"/>
        <scheme val="minor"/>
      </rPr>
      <t>Freezer gross volume (L)</t>
    </r>
  </si>
  <si>
    <r>
      <rPr>
        <b/>
        <sz val="11"/>
        <color rgb="FFFF0000"/>
        <rFont val="Calibri"/>
        <family val="2"/>
        <scheme val="minor"/>
      </rPr>
      <t>Select from dropdown list</t>
    </r>
  </si>
  <si>
    <r>
      <rPr>
        <b/>
        <sz val="11"/>
        <color rgb="FFFF0000"/>
        <rFont val="Calibri"/>
        <family val="2"/>
        <scheme val="minor"/>
      </rPr>
      <t xml:space="preserve">Enter cost within service bundle price range </t>
    </r>
  </si>
  <si>
    <r>
      <rPr>
        <b/>
        <sz val="11"/>
        <color rgb="FFFF0000"/>
        <rFont val="Calibri"/>
        <family val="2"/>
        <scheme val="minor"/>
      </rPr>
      <t>Enter quantity</t>
    </r>
  </si>
  <si>
    <r>
      <rPr>
        <b/>
        <sz val="11"/>
        <color theme="0"/>
        <rFont val="Calibri"/>
        <family val="2"/>
        <scheme val="minor"/>
      </rPr>
      <t>Estimated service bundle cost $US</t>
    </r>
  </si>
  <si>
    <r>
      <rPr>
        <b/>
        <sz val="11"/>
        <color theme="0"/>
        <rFont val="Calibri"/>
        <family val="2"/>
        <scheme val="minor"/>
      </rPr>
      <t>PQS indicative equipment unit price $US</t>
    </r>
  </si>
  <si>
    <t>Каталог PQS ВОЗ</t>
  </si>
  <si>
    <t xml:space="preserve">3. Указанные цены за единицу по PQS приводятся в целях планирования и представляют собой самые высокие цены на каждый вид оборудования </t>
  </si>
  <si>
    <r>
      <rPr>
        <sz val="11"/>
        <color theme="1"/>
        <rFont val="Calibri"/>
        <family val="2"/>
        <scheme val="minor"/>
      </rPr>
      <t>1. Странам необходимо использовать указанные цены при планировании, если им требуется конкретная модель ОХЦ конкретного производителя</t>
    </r>
  </si>
  <si>
    <t>&lt;30L</t>
  </si>
  <si>
    <t>30 - &lt;60L</t>
  </si>
  <si>
    <t>60 - &lt;90L</t>
  </si>
  <si>
    <t>90 - &lt;120L</t>
  </si>
  <si>
    <t>&gt;120L</t>
  </si>
  <si>
    <t>Berlinger</t>
  </si>
  <si>
    <t>Fridge-Tag 2 E</t>
  </si>
  <si>
    <t>Beyond Wireless</t>
  </si>
  <si>
    <r>
      <rPr>
        <b/>
        <sz val="14"/>
        <color theme="8" tint="-0.499984740745262"/>
        <rFont val="Calibri"/>
        <family val="2"/>
        <scheme val="minor"/>
      </rPr>
      <t xml:space="preserve">Инструкция </t>
    </r>
  </si>
  <si>
    <r>
      <rPr>
        <b/>
        <sz val="11"/>
        <color theme="0"/>
        <rFont val="Calibri"/>
        <family val="2"/>
        <scheme val="minor"/>
      </rPr>
      <t>Total unit cost
including service bundle cost $US</t>
    </r>
  </si>
  <si>
    <t>&lt;5L</t>
  </si>
  <si>
    <t>&gt;5L</t>
  </si>
  <si>
    <r>
      <rPr>
        <b/>
        <sz val="11"/>
        <rFont val="Calibri"/>
        <family val="2"/>
        <scheme val="minor"/>
      </rPr>
      <t>-</t>
    </r>
  </si>
  <si>
    <r>
      <rPr>
        <b/>
        <sz val="11"/>
        <color theme="0"/>
        <rFont val="Calibri"/>
        <family val="2"/>
        <scheme val="minor"/>
      </rPr>
      <t>Сегмент вместимости (л)</t>
    </r>
  </si>
  <si>
    <t>HTCD 160 SDD</t>
  </si>
  <si>
    <t>BFRV 55 SDD</t>
  </si>
  <si>
    <r>
      <rPr>
        <b/>
        <sz val="11"/>
        <color theme="0"/>
        <rFont val="Calibri"/>
        <family val="2"/>
        <scheme val="minor"/>
      </rPr>
      <t>Аккумуляция холода/</t>
    </r>
    <r>
      <rPr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Автономная работа (дни)</t>
    </r>
  </si>
  <si>
    <t>LogTag</t>
  </si>
  <si>
    <t>VaxTag 30DTR</t>
  </si>
  <si>
    <t>Fridge-Tag 2</t>
  </si>
  <si>
    <r>
      <rPr>
        <sz val="11"/>
        <color theme="1"/>
        <rFont val="Calibri"/>
        <family val="2"/>
        <scheme val="minor"/>
      </rPr>
      <t>4. Совокупная стоимость обслуживания указывается согласно плановым оценкам Гави. Для учреждений, находящихся максимально близко к распределительному пункту, следует указать нижнее предельное оценочное значение,
 а для учреждений, находящихся максимально далеко от распределительного пункта, используется верхнее предельное оценочное значение.</t>
    </r>
  </si>
  <si>
    <t>Nexleaf</t>
  </si>
  <si>
    <t>HETL-01</t>
  </si>
  <si>
    <t>VC 30 SDD</t>
  </si>
  <si>
    <r>
      <rPr>
        <b/>
        <sz val="11"/>
        <color theme="8" tint="-0.499984740745262"/>
        <rFont val="Calibri"/>
        <family val="2"/>
        <scheme val="minor"/>
      </rPr>
      <t>TOTAL</t>
    </r>
  </si>
  <si>
    <t>HBC 80</t>
  </si>
  <si>
    <t>HBC 150</t>
  </si>
  <si>
    <t>HBC 260</t>
  </si>
  <si>
    <t>HTD 40 SDD</t>
  </si>
  <si>
    <t>Ultra 16 SDD</t>
  </si>
  <si>
    <t>AOV</t>
  </si>
  <si>
    <t>AFVC 46</t>
  </si>
  <si>
    <t>TCW 2000 AC</t>
  </si>
  <si>
    <t>HBCD - 90</t>
  </si>
  <si>
    <t>CFD-50 SDD</t>
  </si>
  <si>
    <t>GVR 55 FF DC</t>
  </si>
  <si>
    <t>FFVC-1.7L</t>
  </si>
  <si>
    <t xml:space="preserve">Qingdao Leff </t>
  </si>
  <si>
    <t>VFS 048 SDD</t>
  </si>
  <si>
    <t>TCW 4000 AC</t>
  </si>
  <si>
    <t>TCW 40R SDD</t>
  </si>
  <si>
    <t>TCW 4000 SDD</t>
  </si>
  <si>
    <t>ZLF 80 AC</t>
  </si>
  <si>
    <t>TCW 40R AC</t>
  </si>
  <si>
    <t>TCW 80 AC</t>
  </si>
  <si>
    <t>HTC-112</t>
  </si>
  <si>
    <t>GVR 55 FF AC</t>
  </si>
  <si>
    <t>GVR 25 Lite</t>
  </si>
  <si>
    <t>VLS 026 RF SDD</t>
  </si>
  <si>
    <t>VLS 056 RF SDD</t>
  </si>
  <si>
    <t>ELPRO-BUCHS AG</t>
  </si>
  <si>
    <t>LIBERO Ti1</t>
  </si>
  <si>
    <r>
      <rPr>
        <i/>
        <sz val="11"/>
        <color theme="1"/>
        <rFont val="Calibri"/>
        <family val="2"/>
        <scheme val="minor"/>
      </rPr>
      <t>*Самая экономичная опция</t>
    </r>
  </si>
  <si>
    <t>VLS 054A SDD</t>
  </si>
  <si>
    <t>VLS 094A SDD</t>
  </si>
  <si>
    <t>VLS 154A SDD</t>
  </si>
  <si>
    <t>VLS 204A</t>
  </si>
  <si>
    <t>VLS 304A AC</t>
  </si>
  <si>
    <t>VLS 404A AC</t>
  </si>
  <si>
    <t>VLS 504A AC</t>
  </si>
  <si>
    <t>VLS 064 RF AC</t>
  </si>
  <si>
    <r>
      <rPr>
        <sz val="11"/>
        <color theme="0"/>
        <rFont val="Calibri"/>
        <family val="2"/>
        <scheme val="minor"/>
      </rPr>
      <t>Опция А</t>
    </r>
  </si>
  <si>
    <r>
      <rPr>
        <sz val="11"/>
        <color theme="0"/>
        <rFont val="Calibri"/>
        <family val="2"/>
        <scheme val="minor"/>
      </rPr>
      <t>Опция В</t>
    </r>
  </si>
  <si>
    <r>
      <rPr>
        <sz val="11"/>
        <color theme="0"/>
        <rFont val="Calibri"/>
        <family val="2"/>
        <scheme val="minor"/>
      </rPr>
      <t>Опция С</t>
    </r>
  </si>
  <si>
    <r>
      <t xml:space="preserve">          c) При планировании совокупной стоимости обслуживания страны должны руководствоваться </t>
    </r>
    <r>
      <rPr>
        <b/>
        <sz val="11"/>
        <color theme="1"/>
        <rFont val="Calibri"/>
        <family val="2"/>
        <scheme val="minor"/>
      </rPr>
      <t>нижним пределом</t>
    </r>
    <r>
      <rPr>
        <sz val="11"/>
        <color theme="1"/>
        <rFont val="Calibri"/>
        <family val="2"/>
        <scheme val="minor"/>
      </rPr>
      <t xml:space="preserve"> (например, 400 долл. США для подключаемого к сети оборудования) для установки ОХЦ в лечебно-профилактических учреждениях 
 с низкими затратами на транспортировку внутри страны (например, при небольших сроках и высококачественной инфраструктуре), </t>
    </r>
    <r>
      <rPr>
        <b/>
        <sz val="11"/>
        <color theme="1"/>
        <rFont val="Calibri"/>
        <family val="2"/>
        <scheme val="minor"/>
      </rPr>
      <t>верхним пределом</t>
    </r>
    <r>
      <rPr>
        <sz val="11"/>
        <color theme="1"/>
        <rFont val="Calibri"/>
        <family val="2"/>
        <scheme val="minor"/>
      </rPr>
      <t xml:space="preserve"> (например, 2150 долл. США для 
 неподключаемого к сети оборудования) для установки ОХЦ в лечебно-профилактических учреждениях с высокими затратами на транспортировку внутри страны (например, при значительных сроках и низком качестве инфраструктуры 
), а также </t>
    </r>
    <r>
      <rPr>
        <b/>
        <sz val="11"/>
        <color theme="1"/>
        <rFont val="Calibri"/>
        <family val="2"/>
        <scheme val="minor"/>
      </rPr>
      <t>промежуточными значениями</t>
    </r>
    <r>
      <rPr>
        <sz val="11"/>
        <color theme="1"/>
        <rFont val="Calibri"/>
        <family val="2"/>
        <scheme val="minor"/>
      </rPr>
      <t xml:space="preserve"> в зависимости от ситуации. Заказ небольшого количества единиц оборудования может способствовать приближению бюджетов к верхним пределам.</t>
    </r>
  </si>
  <si>
    <r>
      <t>4. Форму «</t>
    </r>
    <r>
      <rPr>
        <sz val="11"/>
        <color theme="8"/>
        <rFont val="Calibri"/>
        <family val="2"/>
        <scheme val="minor"/>
      </rPr>
      <t>Обзор опций ОХЦ</t>
    </r>
    <r>
      <rPr>
        <sz val="11"/>
        <color theme="1"/>
        <rFont val="Calibri"/>
        <family val="2"/>
        <scheme val="minor"/>
      </rPr>
      <t>» необходимо использовать для сравнения общих бюджетов по выбранным моделям ОХЦ</t>
    </r>
  </si>
  <si>
    <r>
      <rPr>
        <b/>
        <sz val="11"/>
        <color theme="5"/>
        <rFont val="Calibri"/>
        <family val="2"/>
        <scheme val="minor"/>
      </rPr>
      <t>ДЕЙСТВИЕ СТРАНЫ -&gt;</t>
    </r>
    <r>
      <rPr>
        <sz val="11"/>
        <color theme="1"/>
        <rFont val="Calibri"/>
        <family val="2"/>
        <scheme val="minor"/>
      </rPr>
      <t xml:space="preserve"> На этой форме странам необходимо:</t>
    </r>
  </si>
  <si>
    <r>
      <rPr>
        <sz val="11"/>
        <color theme="1"/>
        <rFont val="Calibri"/>
        <family val="2"/>
        <scheme val="minor"/>
      </rPr>
      <t>- Поля</t>
    </r>
    <r>
      <rPr>
        <b/>
        <sz val="11"/>
        <color theme="1"/>
        <rFont val="Calibri"/>
        <family val="2"/>
        <scheme val="minor"/>
      </rPr>
      <t xml:space="preserve"> «Модель оборудования», «Вместимость вакцин», «Емкость брутто морозильной камеры» </t>
    </r>
    <r>
      <rPr>
        <sz val="11"/>
        <color theme="1"/>
        <rFont val="Calibri"/>
        <family val="2"/>
        <scheme val="minor"/>
      </rPr>
      <t>и «</t>
    </r>
    <r>
      <rPr>
        <b/>
        <sz val="11"/>
        <color theme="1"/>
        <rFont val="Calibri"/>
        <family val="2"/>
        <scheme val="minor"/>
      </rPr>
      <t xml:space="preserve">Ориентировочные цены по PQS» </t>
    </r>
    <r>
      <rPr>
        <sz val="11"/>
        <color theme="1"/>
        <rFont val="Calibri"/>
        <family val="2"/>
        <scheme val="minor"/>
      </rPr>
      <t>заполняются автоматически на основе формы «</t>
    </r>
    <r>
      <rPr>
        <sz val="11"/>
        <color theme="8"/>
        <rFont val="Calibri"/>
        <family val="2"/>
        <scheme val="minor"/>
      </rPr>
      <t xml:space="preserve">Прайс-лист указанной модели ОХЦ
</t>
    </r>
    <r>
      <rPr>
        <sz val="11"/>
        <color theme="1"/>
        <rFont val="Calibri"/>
        <family val="2"/>
        <scheme val="minor"/>
      </rPr>
      <t>».</t>
    </r>
  </si>
  <si>
    <r>
      <rPr>
        <sz val="11"/>
        <rFont val="Calibri"/>
        <family val="2"/>
        <scheme val="minor"/>
      </rPr>
      <t xml:space="preserve">- Цены на термоконтейнеры и сумки-холодильники являются расчетными. Закупка этих устройств возможна только после предварительной квалификации PQS. Поэтому точная стоимость и количество устройств могут измениться. </t>
    </r>
  </si>
  <si>
    <r>
      <rPr>
        <i/>
        <sz val="11"/>
        <rFont val="Calibri"/>
        <family val="2"/>
        <scheme val="minor"/>
      </rPr>
      <t xml:space="preserve">            а) Выбрать необходимую </t>
    </r>
    <r>
      <rPr>
        <b/>
        <i/>
        <sz val="11"/>
        <rFont val="Calibri"/>
        <family val="2"/>
        <scheme val="minor"/>
      </rPr>
      <t>«Модель оборудования»</t>
    </r>
    <r>
      <rPr>
        <i/>
        <sz val="11"/>
        <rFont val="Calibri"/>
        <family val="2"/>
        <scheme val="minor"/>
      </rPr>
      <t xml:space="preserve"> напротив перечисленных типов оборудования. </t>
    </r>
  </si>
  <si>
    <r>
      <rPr>
        <i/>
        <sz val="11"/>
        <rFont val="Calibri"/>
        <family val="2"/>
        <scheme val="minor"/>
      </rPr>
      <t xml:space="preserve">            b) Заполнить поля </t>
    </r>
    <r>
      <rPr>
        <b/>
        <i/>
        <sz val="11"/>
        <rFont val="Calibri"/>
        <family val="2"/>
        <scheme val="minor"/>
      </rPr>
      <t>«Прогнозируемая совокупная стоимость обслуживания»</t>
    </r>
    <r>
      <rPr>
        <i/>
        <sz val="11"/>
        <rFont val="Calibri"/>
        <family val="2"/>
        <scheme val="minor"/>
      </rPr>
      <t xml:space="preserve"> и </t>
    </r>
    <r>
      <rPr>
        <b/>
        <i/>
        <sz val="11"/>
        <rFont val="Calibri"/>
        <family val="2"/>
        <scheme val="minor"/>
      </rPr>
      <t>«Количество единиц оборудования».</t>
    </r>
    <r>
      <rPr>
        <i/>
        <sz val="11"/>
        <rFont val="Calibri"/>
        <family val="2"/>
        <scheme val="minor"/>
      </rPr>
      <t xml:space="preserve"> </t>
    </r>
  </si>
  <si>
    <r>
      <t>Раздел 1 этой формы заполняется автоматически в зависимости данных страны в форме «</t>
    </r>
    <r>
      <rPr>
        <sz val="11"/>
        <color rgb="FF0070C0"/>
        <rFont val="Calibri"/>
        <family val="2"/>
        <scheme val="minor"/>
      </rPr>
      <t>Выбор опции А/В/С_модели ОХЦ</t>
    </r>
    <r>
      <rPr>
        <sz val="11"/>
        <color theme="1"/>
        <rFont val="Calibri"/>
        <family val="2"/>
        <scheme val="minor"/>
      </rPr>
      <t>».</t>
    </r>
  </si>
  <si>
    <t>Опция A_Выбор модели ОХЦ'</t>
  </si>
  <si>
    <r>
      <rPr>
        <b/>
        <u/>
        <sz val="14"/>
        <color theme="8" tint="-0.499984740745262"/>
        <rFont val="Calibri"/>
        <family val="2"/>
        <scheme val="minor"/>
      </rPr>
      <t>Ссылки на формы в данном файле</t>
    </r>
  </si>
  <si>
    <t>Обзор опций ОХЦ'</t>
  </si>
  <si>
    <t>Опция С_Выбор модели ОХЦ'</t>
  </si>
  <si>
    <t>Опция В_Выбор модели ОХЦ'</t>
  </si>
  <si>
    <t>Прайс-лист указанной модели ОХЦ'</t>
  </si>
  <si>
    <r>
      <rPr>
        <b/>
        <sz val="11"/>
        <color theme="0"/>
        <rFont val="Calibri"/>
        <family val="2"/>
        <scheme val="minor"/>
      </rPr>
      <t>Общий бюджет (вкл. дополнительный резерв 6 % и стоимость международных грузоперевозок)</t>
    </r>
  </si>
  <si>
    <r>
      <rPr>
        <b/>
        <sz val="11"/>
        <color theme="0"/>
        <rFont val="Calibri"/>
        <family val="2"/>
        <scheme val="minor"/>
      </rPr>
      <t>Итого расчетная стоимость международных грузоперевозок, долл. США</t>
    </r>
  </si>
  <si>
    <r>
      <rPr>
        <i/>
        <sz val="11"/>
        <rFont val="Calibri"/>
        <family val="2"/>
        <scheme val="minor"/>
      </rPr>
      <t xml:space="preserve">            a) </t>
    </r>
    <r>
      <rPr>
        <b/>
        <i/>
        <sz val="11"/>
        <rFont val="Calibri"/>
        <family val="2"/>
        <scheme val="minor"/>
      </rPr>
      <t>Финализировать</t>
    </r>
    <r>
      <rPr>
        <i/>
        <sz val="11"/>
        <rFont val="Calibri"/>
        <family val="2"/>
        <scheme val="minor"/>
      </rPr>
      <t xml:space="preserve"> опцию модели ОХЦ (ячейка E11)</t>
    </r>
  </si>
  <si>
    <r>
      <rPr>
        <i/>
        <sz val="11"/>
        <rFont val="Calibri"/>
        <family val="2"/>
        <scheme val="minor"/>
      </rPr>
      <t xml:space="preserve">            b) </t>
    </r>
    <r>
      <rPr>
        <b/>
        <i/>
        <sz val="11"/>
        <rFont val="Calibri"/>
        <family val="2"/>
        <scheme val="minor"/>
      </rPr>
      <t>Обосновать</t>
    </r>
    <r>
      <rPr>
        <i/>
        <sz val="11"/>
        <rFont val="Calibri"/>
        <family val="2"/>
        <scheme val="minor"/>
      </rPr>
      <t xml:space="preserve"> выбор опции модели ОХЦ (ячейка А18)</t>
    </r>
  </si>
  <si>
    <r>
      <rPr>
        <b/>
        <sz val="11"/>
        <rFont val="Calibri"/>
        <family val="2"/>
        <scheme val="minor"/>
      </rPr>
      <t>Предпочтительная опция страны</t>
    </r>
  </si>
  <si>
    <r>
      <rPr>
        <b/>
        <sz val="22"/>
        <color theme="1"/>
        <rFont val="Calibri"/>
        <family val="2"/>
        <scheme val="minor"/>
      </rPr>
      <t>Краткое сравнение выбора стран</t>
    </r>
  </si>
  <si>
    <t>ZLF 30 AC-spare parts</t>
  </si>
  <si>
    <t>GVR 25 Lite-spare parts</t>
  </si>
  <si>
    <t>TCW 40R AC-spare parts</t>
  </si>
  <si>
    <t>GVR 50 AC-spare parts</t>
  </si>
  <si>
    <t>CFD-50-spare parts</t>
  </si>
  <si>
    <t>GVR 51 Lite AC-spare parts</t>
  </si>
  <si>
    <t>VLS 204A-spare parts</t>
  </si>
  <si>
    <t>HBC 80-spare parts</t>
  </si>
  <si>
    <t>GVR 75 Lite AC-spare parts</t>
  </si>
  <si>
    <t>ZLF 80 AC-spare parts</t>
  </si>
  <si>
    <t>TCW 80 AC-spare parts</t>
  </si>
  <si>
    <t>VLS 304A AC-spare parts</t>
  </si>
  <si>
    <t>GVR 99 Lite AC-spare parts</t>
  </si>
  <si>
    <t>ZLF 100 AC-spare parts</t>
  </si>
  <si>
    <t>GVR 100 AC-spare parts</t>
  </si>
  <si>
    <t>HBC 150-spare parts</t>
  </si>
  <si>
    <t>ZLF 150 AC-spare parts</t>
  </si>
  <si>
    <t>VLS 404A AC-spare parts</t>
  </si>
  <si>
    <t>VC 225 ILR-spare parts</t>
  </si>
  <si>
    <t>HBC 260-spare parts</t>
  </si>
  <si>
    <t>GVR 225 AC-spare parts</t>
  </si>
  <si>
    <t>TCW 4000 AC-spare parts</t>
  </si>
  <si>
    <t>VLS 504A AC-spare parts</t>
  </si>
  <si>
    <t>HBCD - 90-spare parts</t>
  </si>
  <si>
    <t>GVR 55 FF AC-spare parts</t>
  </si>
  <si>
    <t>VLS 064 RF AC-spare parts</t>
  </si>
  <si>
    <t>TCW 2000 AC-spare parts</t>
  </si>
  <si>
    <t>DW-25W147-spare parts</t>
  </si>
  <si>
    <t>MF 114-spare parts</t>
  </si>
  <si>
    <t>HBD 116-spare parts</t>
  </si>
  <si>
    <t>MF 214-spare parts</t>
  </si>
  <si>
    <t>TFW 3000 AC-spare parts</t>
  </si>
  <si>
    <t>DW-25W300-spare parts</t>
  </si>
  <si>
    <t>MF 314-spare parts</t>
  </si>
  <si>
    <t>HBD 286-spare parts</t>
  </si>
  <si>
    <t>BFRV 15 SDD-spare parts</t>
  </si>
  <si>
    <t>TCW 15R SDD-spare parts</t>
  </si>
  <si>
    <t>Ultra 16 SDD-spare parts</t>
  </si>
  <si>
    <t>HTC 40 SDD-spare parts</t>
  </si>
  <si>
    <t>VC 30 SDD-spare parts</t>
  </si>
  <si>
    <t>VLS 024 SDD-spare parts</t>
  </si>
  <si>
    <t>ZLF 30DC SDD-spare parts</t>
  </si>
  <si>
    <t>TCW 40R SDD-spare parts</t>
  </si>
  <si>
    <t>GVR 50 DC-spare parts</t>
  </si>
  <si>
    <t>CFD-50 SDD-spare parts</t>
  </si>
  <si>
    <t>VC 50 SDD-spare parts</t>
  </si>
  <si>
    <t>BFRV 55 SDD-spare parts</t>
  </si>
  <si>
    <t>VLS 054A SDD-spare parts</t>
  </si>
  <si>
    <t>HTC 110 SDD-spare parts</t>
  </si>
  <si>
    <t>HTC-112-spare parts</t>
  </si>
  <si>
    <t>VC 88 SDD-spare parts</t>
  </si>
  <si>
    <t>TCW 3043 SDD-spare parts</t>
  </si>
  <si>
    <t>VLS 094A SDD-spare parts</t>
  </si>
  <si>
    <t>GVR 100 DC-spare parts</t>
  </si>
  <si>
    <t>ZLF 100 DC-spare parts</t>
  </si>
  <si>
    <t>VC 110 SDD-spare parts</t>
  </si>
  <si>
    <t>ZLF 150DC-spare parts</t>
  </si>
  <si>
    <t>VC 200 SDD-spare parts</t>
  </si>
  <si>
    <t>VLS 154A SDD-spare parts</t>
  </si>
  <si>
    <t>TCW 4000 SDD-spare parts</t>
  </si>
  <si>
    <t>TCW 15 SDD-spare parts</t>
  </si>
  <si>
    <t>TCW 40 SDD-spare parts</t>
  </si>
  <si>
    <t>VLS 026 RF SDD-spare parts</t>
  </si>
  <si>
    <t>HTCD 90 SDD-spare parts</t>
  </si>
  <si>
    <t>VLS 056 RF SDD-spare parts</t>
  </si>
  <si>
    <t>VC 60 SDD-spare parts</t>
  </si>
  <si>
    <t>GVR 55 FF DC-spare parts</t>
  </si>
  <si>
    <t>TCW 2043 SDD-spare parts</t>
  </si>
  <si>
    <t>HTCD 160 SDD-spare parts</t>
  </si>
  <si>
    <t>VC 150 SDD-spare parts</t>
  </si>
  <si>
    <t>HTD 40 SDD-spare parts</t>
  </si>
  <si>
    <t>TFW 40 SDD-spare parts</t>
  </si>
  <si>
    <t>Цены на запасные части см. в каталоге поставок ЮНИСЕФ по ссылке</t>
  </si>
  <si>
    <t>HTC-120</t>
  </si>
  <si>
    <t>HBC-120</t>
  </si>
  <si>
    <t>HTC-240</t>
  </si>
  <si>
    <t>HBC-240</t>
  </si>
  <si>
    <t>FFCB-15L</t>
  </si>
  <si>
    <t>HBC-120-spare parts</t>
  </si>
  <si>
    <t>HBC-240-spare parts</t>
  </si>
  <si>
    <t>HTC-120-spare parts</t>
  </si>
  <si>
    <t>HTC-240-spare parts</t>
  </si>
  <si>
    <t>NA</t>
  </si>
  <si>
    <t>Solar Panel Mounting</t>
  </si>
  <si>
    <t>Pole Mount</t>
  </si>
  <si>
    <t>Ground Mount</t>
  </si>
  <si>
    <t>N/A</t>
  </si>
  <si>
    <r>
      <rPr>
        <b/>
        <sz val="11"/>
        <color theme="0"/>
        <rFont val="Calibri"/>
        <family val="2"/>
        <scheme val="minor"/>
      </rPr>
      <t>Ориентировочная совокупная стоимость обслуживания, долл. США (нижний предел с напольными солнечными панелями)</t>
    </r>
  </si>
  <si>
    <r>
      <rPr>
        <b/>
        <sz val="11"/>
        <color theme="0"/>
        <rFont val="Calibri"/>
        <family val="2"/>
        <scheme val="minor"/>
      </rPr>
      <t>Ориентировочная совокупная стоимость обслуживания, долл. США (верхний предел с напольными солнечными панелями для SDD)</t>
    </r>
  </si>
  <si>
    <r>
      <rPr>
        <b/>
        <i/>
        <sz val="11"/>
        <color theme="1"/>
        <rFont val="Calibri"/>
        <family val="2"/>
        <scheme val="minor"/>
      </rPr>
      <t>См. эти колонки для установок с мачтовыми солнечными панелями</t>
    </r>
  </si>
  <si>
    <r>
      <rPr>
        <b/>
        <i/>
        <sz val="11"/>
        <color theme="1"/>
        <rFont val="Calibri"/>
        <family val="2"/>
        <scheme val="minor"/>
      </rPr>
      <t xml:space="preserve">См. эти колонки для подключаемого к сети оборудования SB и установок с </t>
    </r>
    <r>
      <rPr>
        <b/>
        <i/>
        <u/>
        <sz val="11"/>
        <color theme="1"/>
        <rFont val="Calibri"/>
        <family val="2"/>
        <scheme val="minor"/>
      </rPr>
      <t>наземными</t>
    </r>
    <r>
      <rPr>
        <b/>
        <i/>
        <sz val="11"/>
        <color theme="1"/>
        <rFont val="Calibri"/>
        <family val="2"/>
        <scheme val="minor"/>
      </rPr>
      <t xml:space="preserve"> солнечными панелями</t>
    </r>
  </si>
  <si>
    <r>
      <rPr>
        <b/>
        <sz val="11"/>
        <color theme="0"/>
        <rFont val="Calibri"/>
        <family val="2"/>
        <scheme val="minor"/>
      </rPr>
      <t>Ориентировочная совокупная стоимость обслуживания, долл. США (верхний предел, установка на мачте)</t>
    </r>
  </si>
  <si>
    <r>
      <rPr>
        <b/>
        <sz val="11"/>
        <color theme="0"/>
        <rFont val="Calibri"/>
        <family val="2"/>
        <scheme val="minor"/>
      </rPr>
      <t>Ориентировочная совокупная стоимость обслуживания, долл. США (нижний предел, установка на мачте)</t>
    </r>
  </si>
  <si>
    <r>
      <rPr>
        <b/>
        <sz val="11"/>
        <color theme="0"/>
        <rFont val="Calibri"/>
        <family val="2"/>
        <scheme val="minor"/>
      </rPr>
      <t>Общая стоимость за единицу, долл. США</t>
    </r>
    <r>
      <rPr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(нижний предел, фармацевтический холодильник + напольная установка)</t>
    </r>
  </si>
  <si>
    <r>
      <rPr>
        <b/>
        <sz val="11"/>
        <color theme="0"/>
        <rFont val="Calibri"/>
        <family val="2"/>
        <scheme val="minor"/>
      </rPr>
      <t xml:space="preserve">Общая стоимость за единицу, долл. США </t>
    </r>
    <r>
      <rPr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(верхний предел, фармацевтический холодильник + напольная установка)</t>
    </r>
  </si>
  <si>
    <t>Общий бюджет (Все устройства)**</t>
  </si>
  <si>
    <t>_1. Walk-in cold rooms</t>
  </si>
  <si>
    <r>
      <rPr>
        <sz val="11"/>
        <rFont val="Calibri"/>
        <family val="2"/>
        <scheme val="minor"/>
      </rPr>
      <t>Foster</t>
    </r>
  </si>
  <si>
    <r>
      <rPr>
        <sz val="11"/>
        <rFont val="Calibri"/>
        <family val="2"/>
        <scheme val="minor"/>
      </rPr>
      <t>10 cbm</t>
    </r>
  </si>
  <si>
    <r>
      <rPr>
        <sz val="11"/>
        <rFont val="Calibri"/>
        <family val="2"/>
        <scheme val="minor"/>
      </rPr>
      <t>Porkka</t>
    </r>
  </si>
  <si>
    <r>
      <rPr>
        <sz val="11"/>
        <rFont val="Calibri"/>
        <family val="2"/>
        <scheme val="minor"/>
      </rPr>
      <t>Viessmann</t>
    </r>
  </si>
  <si>
    <r>
      <rPr>
        <sz val="11"/>
        <rFont val="Calibri"/>
        <family val="2"/>
        <scheme val="minor"/>
      </rPr>
      <t>Zhendre</t>
    </r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</si>
  <si>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</si>
  <si>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</si>
  <si>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20 cbm</t>
    </r>
  </si>
  <si>
    <r>
      <rPr>
        <b/>
        <sz val="18"/>
        <color theme="8" tint="-0.499984740745262"/>
        <rFont val="Calibri"/>
        <family val="2"/>
        <scheme val="minor"/>
      </rPr>
      <t xml:space="preserve">Прайс-лист на оборудование холодовой цепи </t>
    </r>
  </si>
  <si>
    <t>VLS 354A AC</t>
  </si>
  <si>
    <r>
      <rPr>
        <b/>
        <sz val="11"/>
        <color theme="1"/>
        <rFont val="Calibri"/>
        <family val="2"/>
        <scheme val="minor"/>
      </rPr>
      <t>_1. Walk in cold rooms</t>
    </r>
  </si>
  <si>
    <r>
      <rPr>
        <b/>
        <sz val="11"/>
        <color theme="0"/>
        <rFont val="Calibri"/>
        <family val="2"/>
        <scheme val="minor"/>
      </rPr>
      <t>Расчетная комиссия за закупку, долл. США</t>
    </r>
  </si>
  <si>
    <r>
      <rPr>
        <sz val="11"/>
        <rFont val="Calibri"/>
        <family val="2"/>
        <scheme val="minor"/>
      </rPr>
      <t>Foster 10 cbm (Mono cooling unit)</t>
    </r>
  </si>
  <si>
    <r>
      <rPr>
        <sz val="11"/>
        <rFont val="Calibri"/>
        <family val="2"/>
        <scheme val="minor"/>
      </rPr>
      <t>Foster 30 cbm (Mono cooling unit)</t>
    </r>
  </si>
  <si>
    <r>
      <rPr>
        <sz val="11"/>
        <rFont val="Calibri"/>
        <family val="2"/>
        <scheme val="minor"/>
      </rPr>
      <t>Foster 40 cbm (Mono cooling unit)</t>
    </r>
  </si>
  <si>
    <r>
      <rPr>
        <sz val="11"/>
        <rFont val="Calibri"/>
        <family val="2"/>
        <scheme val="minor"/>
      </rPr>
      <t>Haier 10 cbm  (Mono cooling unit)</t>
    </r>
  </si>
  <si>
    <r>
      <rPr>
        <sz val="11"/>
        <rFont val="Calibri"/>
        <family val="2"/>
        <scheme val="minor"/>
      </rPr>
      <t>Haier 30 cbm (Mono cooling unit)</t>
    </r>
  </si>
  <si>
    <r>
      <rPr>
        <sz val="11"/>
        <rFont val="Calibri"/>
        <family val="2"/>
        <scheme val="minor"/>
      </rPr>
      <t>Haier 30 cbm (Split cooling unit)</t>
    </r>
  </si>
  <si>
    <r>
      <rPr>
        <sz val="11"/>
        <rFont val="Calibri"/>
        <family val="2"/>
        <scheme val="minor"/>
      </rPr>
      <t>Haier 40 cbm  (Mono cooling unit)</t>
    </r>
  </si>
  <si>
    <r>
      <rPr>
        <sz val="11"/>
        <rFont val="Calibri"/>
        <family val="2"/>
        <scheme val="minor"/>
      </rPr>
      <t>Haier 40 cbm (Split cooling unit)</t>
    </r>
  </si>
  <si>
    <r>
      <rPr>
        <sz val="11"/>
        <rFont val="Calibri"/>
        <family val="2"/>
        <scheme val="minor"/>
      </rPr>
      <t>Porkka 10 cbm  (Mono cooling unit)</t>
    </r>
  </si>
  <si>
    <r>
      <rPr>
        <sz val="11"/>
        <rFont val="Calibri"/>
        <family val="2"/>
        <scheme val="minor"/>
      </rPr>
      <t>Porkka 30 cbm (Mono cooling unit)</t>
    </r>
  </si>
  <si>
    <r>
      <rPr>
        <sz val="11"/>
        <rFont val="Calibri"/>
        <family val="2"/>
        <scheme val="minor"/>
      </rPr>
      <t>Porkka 30 cbm (Split cooling unit)</t>
    </r>
  </si>
  <si>
    <r>
      <rPr>
        <sz val="11"/>
        <rFont val="Calibri"/>
        <family val="2"/>
        <scheme val="minor"/>
      </rPr>
      <t>Porkka 40 cbm  (Mono cooling unit)</t>
    </r>
  </si>
  <si>
    <r>
      <rPr>
        <sz val="11"/>
        <rFont val="Calibri"/>
        <family val="2"/>
        <scheme val="minor"/>
      </rPr>
      <t>Porkka 40 cbm (Split cooling unit)</t>
    </r>
  </si>
  <si>
    <r>
      <rPr>
        <sz val="11"/>
        <rFont val="Calibri"/>
        <family val="2"/>
        <scheme val="minor"/>
      </rPr>
      <t>Viessmann 10 cbm  (Mono cooling unit)</t>
    </r>
  </si>
  <si>
    <r>
      <rPr>
        <sz val="11"/>
        <rFont val="Calibri"/>
        <family val="2"/>
        <scheme val="minor"/>
      </rPr>
      <t>Viessmann 30 cbm (Mono cooling unit)</t>
    </r>
  </si>
  <si>
    <r>
      <rPr>
        <sz val="11"/>
        <rFont val="Calibri"/>
        <family val="2"/>
        <scheme val="minor"/>
      </rPr>
      <t>Viessmann 30 cbm (Split cooling unit)</t>
    </r>
  </si>
  <si>
    <r>
      <rPr>
        <sz val="11"/>
        <rFont val="Calibri"/>
        <family val="2"/>
        <scheme val="minor"/>
      </rPr>
      <t>Viessmann 40 cbm  (Mono cooling unit)</t>
    </r>
  </si>
  <si>
    <r>
      <rPr>
        <sz val="11"/>
        <rFont val="Calibri"/>
        <family val="2"/>
        <scheme val="minor"/>
      </rPr>
      <t>Viessmann 40 cbm (Split cooling unit)</t>
    </r>
  </si>
  <si>
    <r>
      <rPr>
        <sz val="11"/>
        <rFont val="Calibri"/>
        <family val="2"/>
        <scheme val="minor"/>
      </rPr>
      <t>Zhendre 10 cbm  (Mono cooling unit)</t>
    </r>
  </si>
  <si>
    <r>
      <rPr>
        <sz val="11"/>
        <rFont val="Calibri"/>
        <family val="2"/>
        <scheme val="minor"/>
      </rPr>
      <t>Zhendre 30 cbm (Mono cooling unit)</t>
    </r>
  </si>
  <si>
    <r>
      <rPr>
        <sz val="11"/>
        <rFont val="Calibri"/>
        <family val="2"/>
        <scheme val="minor"/>
      </rPr>
      <t>Zhendre 30 cbm (Split cooling unit)</t>
    </r>
  </si>
  <si>
    <r>
      <rPr>
        <sz val="11"/>
        <rFont val="Calibri"/>
        <family val="2"/>
        <scheme val="minor"/>
      </rPr>
      <t>Zhendre 40 cbm  (Mono cooling unit)</t>
    </r>
  </si>
  <si>
    <r>
      <rPr>
        <sz val="11"/>
        <rFont val="Calibri"/>
        <family val="2"/>
        <scheme val="minor"/>
      </rPr>
      <t>Zhendre 40 cbm (Split cooling unit)</t>
    </r>
  </si>
  <si>
    <r>
      <rPr>
        <sz val="11"/>
        <rFont val="Calibri"/>
        <family val="2"/>
        <scheme val="minor"/>
      </rPr>
      <t>Haier 40cbm (Mono cooling unit)</t>
    </r>
  </si>
  <si>
    <r>
      <rPr>
        <sz val="11"/>
        <rFont val="Calibri"/>
        <family val="2"/>
        <scheme val="minor"/>
      </rPr>
      <t>Haier 40cbm (Split cooling unit)</t>
    </r>
  </si>
  <si>
    <r>
      <rPr>
        <sz val="11"/>
        <rFont val="Calibri"/>
        <family val="2"/>
        <scheme val="minor"/>
      </rPr>
      <t>Porkka 40cbm (Mono cooling unit)</t>
    </r>
  </si>
  <si>
    <r>
      <rPr>
        <sz val="11"/>
        <rFont val="Calibri"/>
        <family val="2"/>
        <scheme val="minor"/>
      </rPr>
      <t>Porkka 40cbm (Split cooling unit)</t>
    </r>
  </si>
  <si>
    <r>
      <rPr>
        <sz val="11"/>
        <rFont val="Calibri"/>
        <family val="2"/>
        <scheme val="minor"/>
      </rPr>
      <t>Viessmann 40cbm (Mono cooling unit)</t>
    </r>
  </si>
  <si>
    <r>
      <rPr>
        <sz val="11"/>
        <rFont val="Calibri"/>
        <family val="2"/>
        <scheme val="minor"/>
      </rPr>
      <t>Viessmann 40cbm (Split cooling unit)</t>
    </r>
  </si>
  <si>
    <r>
      <rPr>
        <sz val="11"/>
        <rFont val="Calibri"/>
        <family val="2"/>
        <scheme val="minor"/>
      </rPr>
      <t>Zhendre 40cbm (Mono cooling unit)</t>
    </r>
  </si>
  <si>
    <r>
      <rPr>
        <sz val="11"/>
        <rFont val="Calibri"/>
        <family val="2"/>
        <scheme val="minor"/>
      </rPr>
      <t>Zhendre 40cbm (Split cooling unit)</t>
    </r>
  </si>
  <si>
    <r>
      <rPr>
        <sz val="11"/>
        <rFont val="Calibri"/>
        <family val="2"/>
        <scheme val="minor"/>
      </rPr>
      <t xml:space="preserve">- Механизм финансирования подразумевает поддержку приобретения </t>
    </r>
    <r>
      <rPr>
        <b/>
        <sz val="11"/>
        <rFont val="Calibri"/>
        <family val="2"/>
        <scheme val="minor"/>
      </rPr>
      <t>запасных частей к новому ОХЦ</t>
    </r>
    <r>
      <rPr>
        <sz val="11"/>
        <rFont val="Calibri"/>
        <family val="2"/>
        <scheme val="minor"/>
      </rPr>
      <t>. Цены на запасные части см. в каталоге поставок ЮНИСЕФ</t>
    </r>
  </si>
  <si>
    <t>Sollatek</t>
  </si>
  <si>
    <t>HVS-1000</t>
  </si>
  <si>
    <r>
      <rPr>
        <i/>
        <sz val="11"/>
        <color rgb="FFFF0000"/>
        <rFont val="Calibri"/>
        <family val="2"/>
        <scheme val="minor"/>
      </rPr>
      <t xml:space="preserve">Примечание: </t>
    </r>
    <r>
      <rPr>
        <i/>
        <u/>
        <sz val="11"/>
        <color rgb="FFFF0000"/>
        <rFont val="Calibri"/>
        <family val="2"/>
        <scheme val="minor"/>
      </rPr>
      <t xml:space="preserve">Страна ДОЛЖНА указать предпочтительную опцию ниже только после заполнения всех трех вариантов моделей ОХЦ в формах на голубом фоне (Выбор опции А/В/С_модели ОХЦ) </t>
    </r>
  </si>
  <si>
    <t>SVS-5K-1P-ER</t>
  </si>
  <si>
    <t>SVS-10K-1P-ER</t>
  </si>
  <si>
    <t>SVS45E 45A 10kVA 120-288V</t>
  </si>
  <si>
    <t>SVS-10K-TP</t>
  </si>
  <si>
    <t>AVR3LE020, 20Amps/phase</t>
  </si>
  <si>
    <t>SVS-15K-TP</t>
  </si>
  <si>
    <t>SVS-20K-TP</t>
  </si>
  <si>
    <t>AVR3LE030, 30Amps/phase</t>
  </si>
  <si>
    <t>SVS-30K-TP</t>
  </si>
  <si>
    <t>AVR3LE050, 50Amps/phase</t>
  </si>
  <si>
    <t>Sagar</t>
  </si>
  <si>
    <t>Blowkings</t>
  </si>
  <si>
    <t>BK-VC-FF 1.6L</t>
  </si>
  <si>
    <t>SVS04-22E, 4A 1kVA 100-290V</t>
  </si>
  <si>
    <t>SVS04-22 4A 1KVA 230V</t>
  </si>
  <si>
    <t xml:space="preserve">*Закупки регуляторов напряжения ограничиваются только оборудованием для хранения вакцин против Covid   </t>
  </si>
  <si>
    <t xml:space="preserve">2. Ориентировочные цены по PQS взяты из последней редакции прайс-листа PQS ВОЗ на ноябрь 2020 года. См. ссылку: </t>
  </si>
  <si>
    <r>
      <rPr>
        <b/>
        <sz val="11"/>
        <color theme="1"/>
        <rFont val="Calibri"/>
        <family val="2"/>
        <scheme val="minor"/>
      </rPr>
      <t>_5. On grid ILR_without freezer comp.</t>
    </r>
  </si>
  <si>
    <r>
      <rPr>
        <b/>
        <sz val="11"/>
        <color theme="0"/>
        <rFont val="Calibri"/>
        <family val="2"/>
        <scheme val="minor"/>
      </rPr>
      <t>_6. On grid ILR_with freezer comp.</t>
    </r>
  </si>
  <si>
    <r>
      <rPr>
        <b/>
        <sz val="11"/>
        <color theme="0"/>
        <rFont val="Calibri"/>
        <family val="2"/>
        <scheme val="minor"/>
      </rPr>
      <t>_7. On grid freezers</t>
    </r>
  </si>
  <si>
    <r>
      <rPr>
        <b/>
        <sz val="11"/>
        <color theme="1"/>
        <rFont val="Calibri"/>
        <family val="2"/>
        <scheme val="minor"/>
      </rPr>
      <t>_8. Off grid SDD refrigerators_without freezer comp.</t>
    </r>
  </si>
  <si>
    <r>
      <rPr>
        <b/>
        <sz val="11"/>
        <color theme="1"/>
        <rFont val="Calibri"/>
        <family val="2"/>
        <scheme val="minor"/>
      </rPr>
      <t>_9. Off grid SDD refrigerators_with freezer comp.</t>
    </r>
  </si>
  <si>
    <r>
      <rPr>
        <b/>
        <sz val="11"/>
        <color theme="0"/>
        <rFont val="Calibri"/>
        <family val="2"/>
        <scheme val="minor"/>
      </rPr>
      <t>_10. Off grid SDD freezer</t>
    </r>
  </si>
  <si>
    <r>
      <rPr>
        <b/>
        <sz val="11"/>
        <color theme="0"/>
        <rFont val="Calibri"/>
        <family val="2"/>
        <scheme val="minor"/>
      </rPr>
      <t>_11. Temperature monitoring device_30DTR</t>
    </r>
  </si>
  <si>
    <r>
      <rPr>
        <b/>
        <sz val="11"/>
        <color theme="1"/>
        <rFont val="Calibri"/>
        <family val="2"/>
        <scheme val="minor"/>
      </rPr>
      <t>_12. Remote temperature monitoring devices_RTMDs</t>
    </r>
  </si>
  <si>
    <t>_4. Leasing Walk-in cold room or freezer room</t>
  </si>
  <si>
    <r>
      <rPr>
        <b/>
        <sz val="11"/>
        <color theme="1"/>
        <rFont val="Calibri"/>
        <family val="2"/>
        <scheme val="minor"/>
      </rPr>
      <t>_4. Leasing Walk in cold rooms or freezer room</t>
    </r>
  </si>
  <si>
    <r>
      <rPr>
        <b/>
        <sz val="11"/>
        <color theme="0"/>
        <rFont val="Calibri"/>
        <family val="2"/>
        <scheme val="minor"/>
      </rPr>
      <t xml:space="preserve">Комиссии за закупки (% бюджета в ЮНИСЕФ: 5 %) </t>
    </r>
    <r>
      <rPr>
        <b/>
        <sz val="11"/>
        <color rgb="FFFF0000"/>
        <rFont val="Calibri"/>
        <family val="2"/>
        <scheme val="minor"/>
      </rPr>
      <t>Ввести %</t>
    </r>
  </si>
  <si>
    <r>
      <rPr>
        <b/>
        <sz val="11"/>
        <color theme="0"/>
        <rFont val="Calibri"/>
        <family val="2"/>
        <scheme val="minor"/>
      </rPr>
      <t>Общий бюджет на оборудование (не включая расходы на лизинг)</t>
    </r>
  </si>
  <si>
    <r>
      <rPr>
        <b/>
        <sz val="11"/>
        <color theme="0"/>
        <rFont val="Calibri"/>
        <family val="2"/>
        <scheme val="minor"/>
      </rPr>
      <t>Общие лизинговые комиссии</t>
    </r>
  </si>
  <si>
    <r>
      <rPr>
        <b/>
        <sz val="11"/>
        <color theme="0"/>
        <rFont val="Calibri"/>
        <family val="2"/>
        <scheme val="minor"/>
      </rPr>
      <t>Общий бюджет (включая дополнительный резерв 6 %, стоимость международных грузоперевозок, лизинговые комиссии и комиссии ЮНИСЕФ за закупки или заключение контрактов), долл. США</t>
    </r>
  </si>
  <si>
    <r>
      <t>3. Форму «</t>
    </r>
    <r>
      <rPr>
        <sz val="11"/>
        <color theme="8"/>
        <rFont val="Calibri"/>
        <family val="2"/>
        <scheme val="minor"/>
      </rPr>
      <t>Выбор опции А/В/С_модели ОХЦ</t>
    </r>
    <r>
      <rPr>
        <sz val="11"/>
        <color theme="1"/>
        <rFont val="Calibri"/>
        <family val="2"/>
        <scheme val="minor"/>
      </rPr>
      <t xml:space="preserve">» необходимо использовать для составления бюджета на запрашиваемое ОХЦ (в целом). Составление </t>
    </r>
    <r>
      <rPr>
        <b/>
        <sz val="11"/>
        <color theme="1"/>
        <rFont val="Calibri"/>
        <family val="2"/>
        <scheme val="minor"/>
      </rPr>
      <t>всех 3 вариантов/бюджетов является обязательным и должно отражать выбор 3 различных брендов (за исключением безморозных термоконтейнеров, для которых в данный момент на рынке представлен только 1 вариант).</t>
    </r>
    <r>
      <rPr>
        <sz val="11"/>
        <color theme="1"/>
        <rFont val="Calibri"/>
        <family val="2"/>
        <scheme val="minor"/>
      </rPr>
      <t xml:space="preserve"> 
Для каждой категории продукта и каждого размера оборудования (при выборе множества опций различного размера/объема в пределах одной категории продукта, например большого фармацевтического холодильника и небольшого фармацевтического холодильника) количество единиц должно оставаться одним и тем же во всех трех бюджетных формах. Например, если требуется 100 единиц фармацевтических холодильников объемом 120 л, в каждом варианте бюджета должно содержаться указанное количество техники разных брендов.</t>
    </r>
  </si>
  <si>
    <r>
      <rPr>
        <b/>
        <sz val="11"/>
        <rFont val="Calibri"/>
        <family val="2"/>
        <scheme val="minor"/>
      </rPr>
      <t>- С</t>
    </r>
    <r>
      <rPr>
        <sz val="11"/>
        <rFont val="Calibri"/>
        <family val="2"/>
        <scheme val="minor"/>
      </rPr>
      <t xml:space="preserve">траны должны </t>
    </r>
    <r>
      <rPr>
        <b/>
        <sz val="11"/>
        <rFont val="Calibri"/>
        <family val="2"/>
        <scheme val="minor"/>
      </rPr>
      <t>отдельно запросить 30 DTR или УУКТ и/или регуляторы напряжения</t>
    </r>
    <r>
      <rPr>
        <sz val="11"/>
        <rFont val="Calibri"/>
        <family val="2"/>
        <scheme val="minor"/>
      </rPr>
      <t xml:space="preserve"> в строках шаблона в случае </t>
    </r>
    <r>
      <rPr>
        <b/>
        <sz val="11"/>
        <rFont val="Calibri"/>
        <family val="2"/>
        <scheme val="minor"/>
      </rPr>
      <t>закупки для имеющегося (в стране) оборудования</t>
    </r>
    <r>
      <rPr>
        <sz val="11"/>
        <rFont val="Calibri"/>
        <family val="2"/>
        <scheme val="minor"/>
      </rPr>
      <t xml:space="preserve"> (в соответствующих случаях) только для ЛПУ, где планируется хранение вакцин против Covid. </t>
    </r>
  </si>
  <si>
    <r>
      <rPr>
        <i/>
        <sz val="11"/>
        <color rgb="FFC00000"/>
        <rFont val="Calibri"/>
        <family val="2"/>
        <scheme val="minor"/>
      </rPr>
      <t>**Общий бюджет теперь отражает общие бюджетные потребности, включая стоимость оборудования, резерв, расходы на международные грузоперевозки, расходы на лизинг и комиссии ЮНИСЕФ за закупки и заключение контрактов по каждой опции</t>
    </r>
  </si>
  <si>
    <r>
      <rPr>
        <b/>
        <i/>
        <sz val="16"/>
        <color rgb="FFC00000"/>
        <rFont val="Calibri"/>
        <family val="2"/>
        <scheme val="minor"/>
      </rPr>
      <t xml:space="preserve">Раздел 2: </t>
    </r>
    <r>
      <rPr>
        <b/>
        <i/>
        <sz val="16"/>
        <color rgb="FFC00000"/>
        <rFont val="Calibri"/>
        <family val="2"/>
        <scheme val="minor"/>
      </rPr>
      <t>Обоснуйте итоговый выбор опции ниже</t>
    </r>
  </si>
  <si>
    <r>
      <rPr>
        <i/>
        <sz val="11"/>
        <color theme="1"/>
        <rFont val="Calibri"/>
        <family val="2"/>
        <scheme val="minor"/>
      </rPr>
      <t>Общие расходы на лизинг*</t>
    </r>
  </si>
  <si>
    <r>
      <rPr>
        <i/>
        <sz val="11"/>
        <color rgb="FFC00000"/>
        <rFont val="Calibri"/>
        <family val="2"/>
        <scheme val="minor"/>
      </rPr>
      <t>*Включает комиссии за заключение контрактов на закупки</t>
    </r>
  </si>
  <si>
    <r>
      <rPr>
        <b/>
        <i/>
        <sz val="16"/>
        <color rgb="FFC00000"/>
        <rFont val="Calibri"/>
        <family val="2"/>
        <scheme val="minor"/>
      </rPr>
      <t xml:space="preserve">Раздел 1: </t>
    </r>
    <r>
      <rPr>
        <b/>
        <i/>
        <sz val="16"/>
        <color rgb="FFC00000"/>
        <rFont val="Calibri"/>
        <family val="2"/>
        <scheme val="minor"/>
      </rPr>
      <t>Сравнение экономичности вариантов модели ОХЦ</t>
    </r>
  </si>
  <si>
    <r>
      <t xml:space="preserve"> - </t>
    </r>
    <r>
      <rPr>
        <b/>
        <sz val="11"/>
        <color theme="1"/>
        <rFont val="Calibri"/>
        <family val="2"/>
        <scheme val="minor"/>
      </rPr>
      <t>Общий бюджет (все устройства):</t>
    </r>
    <r>
      <rPr>
        <sz val="11"/>
        <color theme="1"/>
        <rFont val="Calibri"/>
        <family val="2"/>
        <scheme val="minor"/>
      </rPr>
      <t xml:space="preserve"> сравнение общих расходов на закупку ОХЦ для всех устройств (вкл. резерв 6 %, стоимость грузоперевозок, расходы на лизинг и комиссии ЮНИСЕФ за закупку) по каждой опции и выявление самой экономичной опции на базе среднего значения «долл. США/ОХЦ».</t>
    </r>
  </si>
  <si>
    <r>
      <t xml:space="preserve">- </t>
    </r>
    <r>
      <rPr>
        <b/>
        <sz val="11"/>
        <color theme="1"/>
        <rFont val="Calibri"/>
        <family val="2"/>
        <scheme val="minor"/>
      </rPr>
      <t>Общие расходы на лизинг:</t>
    </r>
    <r>
      <rPr>
        <sz val="11"/>
        <color theme="1"/>
        <rFont val="Calibri"/>
        <family val="2"/>
        <scheme val="minor"/>
      </rPr>
      <t xml:space="preserve"> сравнение общих расходов на лизинг (включая комиссии за заключение контрактов на закупки)</t>
    </r>
  </si>
  <si>
    <r>
      <rPr>
        <i/>
        <sz val="11"/>
        <color theme="1"/>
        <rFont val="Calibri"/>
        <family val="2"/>
        <scheme val="minor"/>
      </rPr>
      <t>Общее количество единиц WICR в долгосрочный лизинг</t>
    </r>
  </si>
  <si>
    <r>
      <rPr>
        <i/>
        <sz val="11"/>
        <color theme="1"/>
        <rFont val="Calibri"/>
        <family val="2"/>
        <scheme val="minor"/>
      </rPr>
      <t>Общее количество единиц WICR в краткосрочный («восполняющий») лизинг</t>
    </r>
  </si>
  <si>
    <t>_2. Walk-in cold rooms with freezers</t>
  </si>
  <si>
    <t>_3. Short term lease for Walk-in cold rooms</t>
  </si>
  <si>
    <r>
      <rPr>
        <b/>
        <sz val="11"/>
        <color theme="1"/>
        <rFont val="Calibri"/>
        <family val="2"/>
        <scheme val="minor"/>
      </rPr>
      <t>_13. Standard vaccine carriers</t>
    </r>
  </si>
  <si>
    <r>
      <rPr>
        <b/>
        <sz val="11"/>
        <color theme="1"/>
        <rFont val="Calibri"/>
        <family val="2"/>
        <scheme val="minor"/>
      </rPr>
      <t>_14. Freeze free vaccine carriers</t>
    </r>
  </si>
  <si>
    <r>
      <rPr>
        <b/>
        <sz val="11"/>
        <color theme="1"/>
        <rFont val="Calibri"/>
        <family val="2"/>
        <scheme val="minor"/>
      </rPr>
      <t>_16. Freeze free cold boxes</t>
    </r>
  </si>
  <si>
    <t>_15. Standard cold box</t>
  </si>
  <si>
    <r>
      <rPr>
        <b/>
        <sz val="11"/>
        <color theme="1"/>
        <rFont val="Calibri"/>
        <family val="2"/>
        <scheme val="minor"/>
      </rPr>
      <t xml:space="preserve">_17. Voltage regulators for equipment </t>
    </r>
  </si>
  <si>
    <r>
      <rPr>
        <b/>
        <sz val="11"/>
        <color theme="1"/>
        <rFont val="Calibri"/>
        <family val="2"/>
        <scheme val="minor"/>
      </rPr>
      <t>_2. Walk in cold rooms with freezers</t>
    </r>
  </si>
  <si>
    <r>
      <rPr>
        <b/>
        <sz val="11"/>
        <color theme="1"/>
        <rFont val="Calibri"/>
        <family val="2"/>
        <scheme val="minor"/>
      </rPr>
      <t>_3. Short term lease for Walk in cold rooms</t>
    </r>
  </si>
  <si>
    <r>
      <rPr>
        <b/>
        <sz val="11"/>
        <color theme="1"/>
        <rFont val="Calibri"/>
        <family val="2"/>
        <scheme val="minor"/>
      </rPr>
      <t>_15. Standard vaccine cold boxes</t>
    </r>
  </si>
  <si>
    <r>
      <rPr>
        <sz val="11"/>
        <color theme="1"/>
        <rFont val="Calibri"/>
        <family val="2"/>
        <scheme val="minor"/>
      </rPr>
      <t xml:space="preserve">- С бюджета на оборудование взимается </t>
    </r>
    <r>
      <rPr>
        <b/>
        <sz val="11"/>
        <color theme="1"/>
        <rFont val="Calibri"/>
        <family val="2"/>
        <scheme val="minor"/>
      </rPr>
      <t>комиссия за закупку 5 %</t>
    </r>
    <r>
      <rPr>
        <sz val="11"/>
        <color theme="1"/>
        <rFont val="Calibri"/>
        <family val="2"/>
        <scheme val="minor"/>
      </rPr>
      <t xml:space="preserve"> для покрытия административных затрат ЮНИСЕФ. Со стран, выбравших лизинг холодовых комнат или морозильных камер, взимается программный взнос в размере 8 % от общего лизингового бюджета.</t>
    </r>
  </si>
  <si>
    <r>
      <rPr>
        <sz val="11"/>
        <color theme="1"/>
        <rFont val="Calibri"/>
        <family val="2"/>
        <scheme val="minor"/>
      </rPr>
      <t xml:space="preserve">- В </t>
    </r>
    <r>
      <rPr>
        <b/>
        <sz val="11"/>
        <color theme="1"/>
        <rFont val="Calibri"/>
        <family val="2"/>
        <scheme val="minor"/>
      </rPr>
      <t>бюджет</t>
    </r>
    <r>
      <rPr>
        <sz val="11"/>
        <color theme="1"/>
        <rFont val="Calibri"/>
        <family val="2"/>
        <scheme val="minor"/>
      </rPr>
      <t xml:space="preserve"> заложен </t>
    </r>
    <r>
      <rPr>
        <b/>
        <sz val="11"/>
        <color theme="1"/>
        <rFont val="Calibri"/>
        <family val="2"/>
        <scheme val="minor"/>
      </rPr>
      <t>резерв 6 % от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общей стоимости оборудования.</t>
    </r>
    <r>
      <rPr>
        <sz val="11"/>
        <color theme="1"/>
        <rFont val="Calibri"/>
        <family val="2"/>
        <scheme val="minor"/>
      </rPr>
      <t xml:space="preserve"> Это позволит покрыть расходы, связанные с колебанием курса валют, демерредж и сопутствующие издержки.</t>
    </r>
  </si>
  <si>
    <r>
      <rPr>
        <b/>
        <sz val="14"/>
        <color theme="8" tint="-0.499984740745262"/>
        <rFont val="Calibri"/>
        <family val="2"/>
        <scheme val="minor"/>
      </rPr>
      <t>Поддержка ОХЦ в рамках COVAX</t>
    </r>
  </si>
  <si>
    <r>
      <t xml:space="preserve">1. Данный шаблон заполняется ВСЕМИ странами, подающими заявку на поддержку ОХЦ в рамках COVAX. </t>
    </r>
    <r>
      <rPr>
        <b/>
        <sz val="11"/>
        <rFont val="Calibri"/>
        <family val="2"/>
        <scheme val="minor"/>
      </rPr>
      <t>Для рассмотрения заявки необходимо заполнить все 3 формы моделей ОХЦ.</t>
    </r>
  </si>
  <si>
    <r>
      <t xml:space="preserve">          a) В целях планирования бюджета совокупная стоимость обслуживания является следующей: 
                        Для </t>
    </r>
    <r>
      <rPr>
        <b/>
        <sz val="11"/>
        <color theme="1"/>
        <rFont val="Calibri"/>
        <family val="2"/>
        <scheme val="minor"/>
      </rPr>
      <t>холодовых комнат</t>
    </r>
    <r>
      <rPr>
        <sz val="11"/>
        <color theme="1"/>
        <rFont val="Calibri"/>
        <family val="2"/>
        <scheme val="minor"/>
      </rPr>
      <t>: 11 000–15 000 долл. США (10 м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); 16 500–23 000 долл. США (30 м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), 18 500–26 000 долл. США (40 м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)
                               </t>
    </r>
    <r>
      <rPr>
        <b/>
        <sz val="11"/>
        <color theme="1"/>
        <rFont val="Calibri"/>
        <family val="2"/>
        <scheme val="minor"/>
      </rPr>
      <t>Двойные холодовые комнаты и морозильные камеры</t>
    </r>
    <r>
      <rPr>
        <sz val="11"/>
        <color theme="1"/>
        <rFont val="Calibri"/>
        <family val="2"/>
        <scheme val="minor"/>
      </rPr>
      <t>: 26 000–38 000 долл. США (25 м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WIC / 15 м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WIF) 
</t>
    </r>
    <r>
      <rPr>
        <b/>
        <sz val="11"/>
        <color theme="1"/>
        <rFont val="Calibri"/>
        <family val="2"/>
        <scheme val="minor"/>
      </rPr>
      <t xml:space="preserve">                               Подключаемое к сети оборудование: 400–1350 долл. США,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  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Неподключаемое к сети оборудование: 650–2150 долл. США (наземные панели), 1300–4000 долл. США (панели с установкой на мачте)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                               Удаленные устройства контроля температуры (УУКТ): 200–400 долл. США</t>
    </r>
  </si>
  <si>
    <r>
      <t xml:space="preserve">          - </t>
    </r>
    <r>
      <rPr>
        <b/>
        <sz val="11"/>
        <color theme="1"/>
        <rFont val="Calibri"/>
        <family val="2"/>
        <scheme val="minor"/>
      </rPr>
      <t xml:space="preserve">Общее количество единиц ОХЦ для закупки (WICR+ILR+SDD): </t>
    </r>
    <r>
      <rPr>
        <sz val="11"/>
        <color theme="1"/>
        <rFont val="Calibri"/>
        <family val="2"/>
        <scheme val="minor"/>
      </rPr>
      <t>сравнение общего количества единиц WICR, WIFR, ILR и SDD, закупаемого согласно опциям А, В и С</t>
    </r>
  </si>
  <si>
    <r>
      <t xml:space="preserve">- </t>
    </r>
    <r>
      <rPr>
        <b/>
        <sz val="11"/>
        <color theme="1"/>
        <rFont val="Calibri"/>
        <family val="2"/>
        <scheme val="minor"/>
      </rPr>
      <t>Общее количество WICR/FR в лизинг:</t>
    </r>
    <r>
      <rPr>
        <sz val="11"/>
        <color theme="1"/>
        <rFont val="Calibri"/>
        <family val="2"/>
        <scheme val="minor"/>
      </rPr>
      <t xml:space="preserve"> сравнение общего количества единиц WICR, предлагаемого в долгосрочный и краткосрочный лизинг</t>
    </r>
  </si>
  <si>
    <t>Общее количество единиц ОХЦ для закупки (WICR+ILR+SDD)</t>
  </si>
  <si>
    <r>
      <rPr>
        <b/>
        <sz val="11"/>
        <color theme="5"/>
        <rFont val="Calibri"/>
        <family val="2"/>
        <scheme val="minor"/>
      </rPr>
      <t>@Translators -- Translation of Row 3 in this row&gt;&gt;&gt;&gt;&gt;&gt;</t>
    </r>
  </si>
  <si>
    <r>
      <rPr>
        <b/>
        <sz val="11"/>
        <color theme="5"/>
        <rFont val="Calibri"/>
        <family val="2"/>
        <scheme val="minor"/>
      </rPr>
      <t>@Translators: Translation of column A in this column</t>
    </r>
  </si>
  <si>
    <r>
      <rPr>
        <i/>
        <sz val="11"/>
        <color theme="4"/>
        <rFont val="Calibri"/>
        <family val="2"/>
        <scheme val="minor"/>
      </rPr>
      <t xml:space="preserve">Цель этой формы — позволить принимающим решение лицам сравнить стоимость вариантов ОХЦ, введенных в формы выбора модели ОХЦ (самая экономичная опция подсвечивается зеленым цветом). </t>
    </r>
    <r>
      <rPr>
        <i/>
        <sz val="11"/>
        <color theme="4"/>
        <rFont val="Calibri"/>
        <family val="2"/>
        <scheme val="minor"/>
      </rPr>
      <t>Общее количество единиц и стоимость (ячейки B11–D12) заполняются автоматически на основе введенных данных (Выбор опции А/В/С_модели ОХЦ).</t>
    </r>
  </si>
  <si>
    <r>
      <t xml:space="preserve">2. Форма </t>
    </r>
    <r>
      <rPr>
        <sz val="11"/>
        <color theme="8"/>
        <rFont val="Calibri"/>
        <family val="2"/>
        <scheme val="minor"/>
      </rPr>
      <t>«Прайс-лист указанной модели ОХЦ</t>
    </r>
    <r>
      <rPr>
        <sz val="11"/>
        <color theme="1"/>
        <rFont val="Calibri"/>
        <family val="2"/>
        <scheme val="minor"/>
      </rPr>
      <t xml:space="preserve">» представляет собой обзор планируемых цен по типу оборудования: </t>
    </r>
    <r>
      <rPr>
        <b/>
        <sz val="11"/>
        <color theme="1"/>
        <rFont val="Calibri"/>
        <family val="2"/>
        <scheme val="minor"/>
      </rPr>
      <t xml:space="preserve">Ориентировочная цена за единицу оборудования по PQS +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         Совокупная стоимость обслуживания.</t>
    </r>
    <r>
      <rPr>
        <sz val="11"/>
        <color theme="1"/>
        <rFont val="Calibri"/>
        <family val="2"/>
        <scheme val="minor"/>
      </rPr>
      <t xml:space="preserve"> Заявителям НЕ НУЖНО заполнять эту форму.</t>
    </r>
  </si>
  <si>
    <r>
      <rPr>
        <sz val="11"/>
        <color theme="1"/>
        <rFont val="Calibri"/>
        <family val="2"/>
        <scheme val="minor"/>
      </rPr>
      <t>*Закупки УУКТ ограничиваются только оборудованием для хранения вакцин против Covid</t>
    </r>
  </si>
  <si>
    <r>
      <rPr>
        <b/>
        <sz val="18"/>
        <color theme="5"/>
        <rFont val="Calibri"/>
        <family val="2"/>
        <scheme val="minor"/>
      </rPr>
      <t>@Translators -- Do not change anything in the table below this row (3), except the text directly below here (column Q)</t>
    </r>
  </si>
  <si>
    <r>
      <rPr>
        <b/>
        <sz val="11"/>
        <color theme="0"/>
        <rFont val="Calibri"/>
        <family val="2"/>
        <scheme val="minor"/>
      </rPr>
      <t>Расчетный программный взнос, долл. США</t>
    </r>
  </si>
  <si>
    <r>
      <rPr>
        <b/>
        <sz val="14"/>
        <color theme="8" tint="-0.499984740745262"/>
        <rFont val="Calibri"/>
        <family val="2"/>
        <scheme val="minor"/>
      </rPr>
      <t>Заявитель</t>
    </r>
  </si>
  <si>
    <r>
      <rPr>
        <b/>
        <sz val="11"/>
        <color theme="5"/>
        <rFont val="Calibri"/>
        <family val="2"/>
        <scheme val="minor"/>
      </rPr>
      <t>ДЕЙСТВИЕ СТРАНЫ -&gt;</t>
    </r>
    <r>
      <rPr>
        <sz val="11"/>
        <color theme="1"/>
        <rFont val="Calibri"/>
        <family val="2"/>
        <scheme val="minor"/>
      </rPr>
      <t xml:space="preserve"> На этой форме странам необходимо:</t>
    </r>
  </si>
  <si>
    <r>
      <rPr>
        <b/>
        <sz val="11"/>
        <color theme="0"/>
        <rFont val="Calibri"/>
        <family val="2"/>
        <scheme val="minor"/>
      </rPr>
      <t>Тип оборудования</t>
    </r>
  </si>
  <si>
    <r>
      <rPr>
        <b/>
        <sz val="11"/>
        <color theme="0"/>
        <rFont val="Calibri"/>
        <family val="2"/>
        <scheme val="minor"/>
      </rPr>
      <t>Модель оборудования</t>
    </r>
  </si>
  <si>
    <r>
      <rPr>
        <b/>
        <sz val="11"/>
        <color theme="0"/>
        <rFont val="Calibri"/>
        <family val="2"/>
        <scheme val="minor"/>
      </rPr>
      <t>Производитель оборудования</t>
    </r>
  </si>
  <si>
    <r>
      <rPr>
        <b/>
        <sz val="11"/>
        <color theme="0"/>
        <rFont val="Calibri"/>
        <family val="2"/>
        <scheme val="minor"/>
      </rPr>
      <t>Вместимость вакцин (л)</t>
    </r>
  </si>
  <si>
    <r>
      <rPr>
        <b/>
        <sz val="11"/>
        <color theme="0"/>
        <rFont val="Calibri"/>
        <family val="2"/>
        <scheme val="minor"/>
      </rPr>
      <t>Емкость брутто морозильной камеры (л)</t>
    </r>
  </si>
  <si>
    <r>
      <rPr>
        <b/>
        <sz val="11"/>
        <color theme="0"/>
        <rFont val="Calibri"/>
        <family val="2"/>
        <scheme val="minor"/>
      </rPr>
      <t>Ориентировочная цена за единицу оборудования по PQS, долл. США</t>
    </r>
  </si>
  <si>
    <r>
      <rPr>
        <b/>
        <sz val="11"/>
        <color theme="0"/>
        <rFont val="Calibri"/>
        <family val="2"/>
        <scheme val="minor"/>
      </rPr>
      <t>Прогнозируемая совокупная стоимость обслуживания, долл. США</t>
    </r>
  </si>
  <si>
    <r>
      <rPr>
        <b/>
        <sz val="11"/>
        <color theme="0"/>
        <rFont val="Calibri"/>
        <family val="2"/>
        <scheme val="minor"/>
      </rPr>
      <t>Общая стоимость за единицу</t>
    </r>
    <r>
      <rPr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включая совокупную стоимость обслуживания, долл. США</t>
    </r>
  </si>
  <si>
    <r>
      <rPr>
        <b/>
        <sz val="11"/>
        <color theme="0"/>
        <rFont val="Calibri"/>
        <family val="2"/>
        <scheme val="minor"/>
      </rPr>
      <t>Количество оборудования</t>
    </r>
  </si>
  <si>
    <r>
      <rPr>
        <b/>
        <sz val="11"/>
        <color theme="0"/>
        <rFont val="Calibri"/>
        <family val="2"/>
        <scheme val="minor"/>
      </rPr>
      <t>Итого</t>
    </r>
    <r>
      <rPr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долл. США</t>
    </r>
  </si>
  <si>
    <r>
      <rPr>
        <b/>
        <sz val="11"/>
        <color theme="1"/>
        <rFont val="Calibri"/>
        <family val="2"/>
        <scheme val="minor"/>
      </rPr>
      <t xml:space="preserve">_1. </t>
    </r>
    <r>
      <rPr>
        <b/>
        <sz val="11"/>
        <color theme="1"/>
        <rFont val="Calibri"/>
        <family val="2"/>
        <scheme val="minor"/>
      </rPr>
      <t>Холодовые комнаты</t>
    </r>
  </si>
  <si>
    <r>
      <rPr>
        <b/>
        <sz val="11"/>
        <color rgb="FFFF0000"/>
        <rFont val="Calibri"/>
        <family val="2"/>
        <scheme val="minor"/>
      </rPr>
      <t>Выбрать из ниспадающего списка</t>
    </r>
  </si>
  <si>
    <r>
      <rPr>
        <b/>
        <sz val="11"/>
        <color rgb="FFFF0000"/>
        <rFont val="Calibri"/>
        <family val="2"/>
        <scheme val="minor"/>
      </rPr>
      <t xml:space="preserve">Ввести стоимость в диапазоне совокупной стоимости обслуживания </t>
    </r>
  </si>
  <si>
    <r>
      <rPr>
        <b/>
        <sz val="11"/>
        <color rgb="FFFF0000"/>
        <rFont val="Calibri"/>
        <family val="2"/>
        <scheme val="minor"/>
      </rPr>
      <t>Ввести количество</t>
    </r>
  </si>
  <si>
    <r>
      <rPr>
        <b/>
        <sz val="11"/>
        <color theme="1"/>
        <rFont val="Calibri"/>
        <family val="2"/>
        <scheme val="minor"/>
      </rPr>
      <t>_1. Walk in cold rooms</t>
    </r>
  </si>
  <si>
    <r>
      <rPr>
        <b/>
        <sz val="11"/>
        <color theme="1"/>
        <rFont val="Calibri"/>
        <family val="2"/>
        <scheme val="minor"/>
      </rPr>
      <t xml:space="preserve">_1. </t>
    </r>
    <r>
      <rPr>
        <b/>
        <sz val="11"/>
        <color theme="1"/>
        <rFont val="Calibri"/>
        <family val="2"/>
        <scheme val="minor"/>
      </rPr>
      <t>Холодовые комнаты</t>
    </r>
  </si>
  <si>
    <r>
      <rPr>
        <b/>
        <sz val="11"/>
        <color theme="1"/>
        <rFont val="Calibri"/>
        <family val="2"/>
        <scheme val="minor"/>
      </rPr>
      <t xml:space="preserve">_2. </t>
    </r>
    <r>
      <rPr>
        <b/>
        <sz val="11"/>
        <color theme="1"/>
        <rFont val="Calibri"/>
        <family val="2"/>
        <scheme val="minor"/>
      </rPr>
      <t>Холодовые комнаты с морозильными камерами</t>
    </r>
  </si>
  <si>
    <r>
      <rPr>
        <b/>
        <sz val="11"/>
        <color theme="1"/>
        <rFont val="Calibri"/>
        <family val="2"/>
        <scheme val="minor"/>
      </rPr>
      <t xml:space="preserve">_3. </t>
    </r>
    <r>
      <rPr>
        <b/>
        <sz val="11"/>
        <color theme="1"/>
        <rFont val="Calibri"/>
        <family val="2"/>
        <scheme val="minor"/>
      </rPr>
      <t>Краткосрочный лизинг холодовых комнат</t>
    </r>
  </si>
  <si>
    <r>
      <rPr>
        <b/>
        <sz val="11"/>
        <color theme="1"/>
        <rFont val="Calibri"/>
        <family val="2"/>
        <scheme val="minor"/>
      </rPr>
      <t xml:space="preserve">_4. </t>
    </r>
    <r>
      <rPr>
        <b/>
        <sz val="11"/>
        <color theme="1"/>
        <rFont val="Calibri"/>
        <family val="2"/>
        <scheme val="minor"/>
      </rPr>
      <t>Лизинг холодовых комнат или морозильной камеры</t>
    </r>
  </si>
  <si>
    <r>
      <rPr>
        <b/>
        <sz val="11"/>
        <color theme="1"/>
        <rFont val="Calibri"/>
        <family val="2"/>
        <scheme val="minor"/>
      </rPr>
      <t xml:space="preserve">_5. </t>
    </r>
    <r>
      <rPr>
        <b/>
        <sz val="11"/>
        <color theme="1"/>
        <rFont val="Calibri"/>
        <family val="2"/>
        <scheme val="minor"/>
      </rPr>
      <t>Подключаемый к сети фармацевтический холодильник (ILR) без морозильной камеры.</t>
    </r>
  </si>
  <si>
    <r>
      <rPr>
        <b/>
        <sz val="11"/>
        <color theme="0"/>
        <rFont val="Calibri"/>
        <family val="2"/>
        <scheme val="minor"/>
      </rPr>
      <t xml:space="preserve">_6. </t>
    </r>
    <r>
      <rPr>
        <b/>
        <sz val="11"/>
        <color theme="0"/>
        <rFont val="Calibri"/>
        <family val="2"/>
        <scheme val="minor"/>
      </rPr>
      <t>Подключаемый к сети фармацевтический холодильник (ILR) с морозильной камерой.</t>
    </r>
  </si>
  <si>
    <r>
      <rPr>
        <b/>
        <sz val="11"/>
        <color theme="0"/>
        <rFont val="Calibri"/>
        <family val="2"/>
        <scheme val="minor"/>
      </rPr>
      <t>_6. On grid ILR_with freezer comp.</t>
    </r>
  </si>
  <si>
    <r>
      <rPr>
        <b/>
        <sz val="11"/>
        <color theme="0"/>
        <rFont val="Calibri"/>
        <family val="2"/>
        <scheme val="minor"/>
      </rPr>
      <t xml:space="preserve">_6. </t>
    </r>
    <r>
      <rPr>
        <b/>
        <sz val="11"/>
        <color theme="0"/>
        <rFont val="Calibri"/>
        <family val="2"/>
        <scheme val="minor"/>
      </rPr>
      <t>Подключаемый к сети фармацевтический холодильник (ILR) с морозильной камерой.</t>
    </r>
  </si>
  <si>
    <r>
      <rPr>
        <b/>
        <sz val="11"/>
        <color theme="0"/>
        <rFont val="Calibri"/>
        <family val="2"/>
        <scheme val="minor"/>
      </rPr>
      <t xml:space="preserve">_7. </t>
    </r>
    <r>
      <rPr>
        <b/>
        <sz val="11"/>
        <color theme="0"/>
        <rFont val="Calibri"/>
        <family val="2"/>
        <scheme val="minor"/>
      </rPr>
      <t>Подключаемые к сети морозильные камеры</t>
    </r>
  </si>
  <si>
    <r>
      <rPr>
        <b/>
        <sz val="11"/>
        <color theme="1"/>
        <rFont val="Calibri"/>
        <family val="2"/>
        <scheme val="minor"/>
      </rPr>
      <t xml:space="preserve">_8. </t>
    </r>
    <r>
      <rPr>
        <b/>
        <sz val="11"/>
        <color theme="1"/>
        <rFont val="Calibri"/>
        <family val="2"/>
        <scheme val="minor"/>
      </rPr>
      <t>Не подключаемые к сети холодильники с питанием от солнечных батарей (SSD) без морозильной камеры.</t>
    </r>
  </si>
  <si>
    <r>
      <rPr>
        <b/>
        <sz val="11"/>
        <color theme="1"/>
        <rFont val="Calibri"/>
        <family val="2"/>
        <scheme val="minor"/>
      </rPr>
      <t>_8. Off grid SDD refrigerators_without freezer comp.</t>
    </r>
  </si>
  <si>
    <r>
      <rPr>
        <b/>
        <sz val="11"/>
        <color theme="1"/>
        <rFont val="Calibri"/>
        <family val="2"/>
        <scheme val="minor"/>
      </rPr>
      <t xml:space="preserve">_8. </t>
    </r>
    <r>
      <rPr>
        <b/>
        <sz val="11"/>
        <color theme="1"/>
        <rFont val="Calibri"/>
        <family val="2"/>
        <scheme val="minor"/>
      </rPr>
      <t>Не подключаемые к сети холодильники с питанием от солнечных батарей (SSD) без морозильной камеры.</t>
    </r>
  </si>
  <si>
    <r>
      <rPr>
        <b/>
        <sz val="11"/>
        <color theme="1"/>
        <rFont val="Calibri"/>
        <family val="2"/>
        <scheme val="minor"/>
      </rPr>
      <t xml:space="preserve">_9. </t>
    </r>
    <r>
      <rPr>
        <b/>
        <sz val="11"/>
        <color theme="1"/>
        <rFont val="Calibri"/>
        <family val="2"/>
        <scheme val="minor"/>
      </rPr>
      <t>Не подключаемые к сети холодильники с питанием от солнечных батарей (SSD) с морозильной камерой.</t>
    </r>
  </si>
  <si>
    <r>
      <rPr>
        <b/>
        <sz val="11"/>
        <color theme="1"/>
        <rFont val="Calibri"/>
        <family val="2"/>
        <scheme val="minor"/>
      </rPr>
      <t>_9. Off grid SDD refrigerators_with freezer comp.</t>
    </r>
  </si>
  <si>
    <r>
      <rPr>
        <b/>
        <sz val="11"/>
        <color theme="1"/>
        <rFont val="Calibri"/>
        <family val="2"/>
        <scheme val="minor"/>
      </rPr>
      <t xml:space="preserve">_9. </t>
    </r>
    <r>
      <rPr>
        <b/>
        <sz val="11"/>
        <color theme="1"/>
        <rFont val="Calibri"/>
        <family val="2"/>
        <scheme val="minor"/>
      </rPr>
      <t>Не подключаемые к сети холодильники с питанием от солнечных батарей (SSD) с морозильной камерой.</t>
    </r>
  </si>
  <si>
    <r>
      <rPr>
        <b/>
        <sz val="11"/>
        <color theme="1"/>
        <rFont val="Calibri"/>
        <family val="2"/>
        <scheme val="minor"/>
      </rPr>
      <t>_9. Off grid SDD refrigerators_with freezer comp.</t>
    </r>
  </si>
  <si>
    <r>
      <rPr>
        <b/>
        <sz val="11"/>
        <color theme="1"/>
        <rFont val="Calibri"/>
        <family val="2"/>
        <scheme val="minor"/>
      </rPr>
      <t xml:space="preserve">_9. </t>
    </r>
    <r>
      <rPr>
        <b/>
        <sz val="11"/>
        <color theme="1"/>
        <rFont val="Calibri"/>
        <family val="2"/>
        <scheme val="minor"/>
      </rPr>
      <t>Не подключаемые к сети холодильники с питанием от солнечных батарей (SSD) с морозильной камерой.</t>
    </r>
  </si>
  <si>
    <r>
      <rPr>
        <b/>
        <sz val="11"/>
        <color theme="0"/>
        <rFont val="Calibri"/>
        <family val="2"/>
        <scheme val="minor"/>
      </rPr>
      <t xml:space="preserve">_10. </t>
    </r>
    <r>
      <rPr>
        <b/>
        <sz val="11"/>
        <color theme="0"/>
        <rFont val="Calibri"/>
        <family val="2"/>
        <scheme val="minor"/>
      </rPr>
      <t>Не подключаемая к сети морозильная камера с питанием от солнечных батарей (SSD)</t>
    </r>
  </si>
  <si>
    <r>
      <rPr>
        <b/>
        <sz val="11"/>
        <color theme="0"/>
        <rFont val="Calibri"/>
        <family val="2"/>
        <scheme val="minor"/>
      </rPr>
      <t>_10. Off grid SDD freezer</t>
    </r>
  </si>
  <si>
    <r>
      <rPr>
        <b/>
        <sz val="11"/>
        <color theme="0"/>
        <rFont val="Calibri"/>
        <family val="2"/>
        <scheme val="minor"/>
      </rPr>
      <t xml:space="preserve">_10. </t>
    </r>
    <r>
      <rPr>
        <b/>
        <sz val="11"/>
        <color theme="0"/>
        <rFont val="Calibri"/>
        <family val="2"/>
        <scheme val="minor"/>
      </rPr>
      <t>Не подключаемая к сети морозильная камера с питанием от солнечных батарей (SSD)</t>
    </r>
  </si>
  <si>
    <r>
      <rPr>
        <b/>
        <sz val="11"/>
        <color theme="0"/>
        <rFont val="Calibri"/>
        <family val="2"/>
        <scheme val="minor"/>
      </rPr>
      <t xml:space="preserve">_11. </t>
    </r>
    <r>
      <rPr>
        <b/>
        <sz val="11"/>
        <color theme="0"/>
        <rFont val="Calibri"/>
        <family val="2"/>
        <scheme val="minor"/>
      </rPr>
      <t>Устройство контроля температуры_30DTR</t>
    </r>
  </si>
  <si>
    <r>
      <rPr>
        <b/>
        <sz val="11"/>
        <color theme="1"/>
        <rFont val="Calibri"/>
        <family val="2"/>
        <scheme val="minor"/>
      </rPr>
      <t xml:space="preserve">_12. </t>
    </r>
    <r>
      <rPr>
        <b/>
        <sz val="11"/>
        <color theme="1"/>
        <rFont val="Calibri"/>
        <family val="2"/>
        <scheme val="minor"/>
      </rPr>
      <t>Удаленные устройства контроля температуры_УУКТ</t>
    </r>
  </si>
  <si>
    <r>
      <rPr>
        <b/>
        <sz val="11"/>
        <color theme="1"/>
        <rFont val="Calibri"/>
        <family val="2"/>
        <scheme val="minor"/>
      </rPr>
      <t>_12. Remote temperature monitoring devices_RTMDs</t>
    </r>
  </si>
  <si>
    <r>
      <rPr>
        <b/>
        <sz val="11"/>
        <color theme="1"/>
        <rFont val="Calibri"/>
        <family val="2"/>
        <scheme val="minor"/>
      </rPr>
      <t xml:space="preserve">_12. </t>
    </r>
    <r>
      <rPr>
        <b/>
        <sz val="11"/>
        <color theme="1"/>
        <rFont val="Calibri"/>
        <family val="2"/>
        <scheme val="minor"/>
      </rPr>
      <t>Удаленные устройства контроля температуры_УУКТ</t>
    </r>
  </si>
  <si>
    <r>
      <rPr>
        <b/>
        <sz val="11"/>
        <color theme="1"/>
        <rFont val="Calibri"/>
        <family val="2"/>
        <scheme val="minor"/>
      </rPr>
      <t xml:space="preserve">_13. </t>
    </r>
    <r>
      <rPr>
        <b/>
        <sz val="11"/>
        <color theme="1"/>
        <rFont val="Calibri"/>
        <family val="2"/>
        <scheme val="minor"/>
      </rPr>
      <t>Стандартные сумки-холодильники</t>
    </r>
  </si>
  <si>
    <r>
      <rPr>
        <b/>
        <sz val="11"/>
        <color theme="1"/>
        <rFont val="Calibri"/>
        <family val="2"/>
        <scheme val="minor"/>
      </rPr>
      <t xml:space="preserve">_14. </t>
    </r>
    <r>
      <rPr>
        <b/>
        <sz val="11"/>
        <color theme="1"/>
        <rFont val="Calibri"/>
        <family val="2"/>
        <scheme val="minor"/>
      </rPr>
      <t>Безморозные сумки-холодильники</t>
    </r>
  </si>
  <si>
    <r>
      <rPr>
        <b/>
        <sz val="11"/>
        <color theme="1"/>
        <rFont val="Calibri"/>
        <family val="2"/>
        <scheme val="minor"/>
      </rPr>
      <t xml:space="preserve">_15. </t>
    </r>
    <r>
      <rPr>
        <b/>
        <sz val="11"/>
        <color theme="1"/>
        <rFont val="Calibri"/>
        <family val="2"/>
        <scheme val="minor"/>
      </rPr>
      <t>Стандартные термоконтейнеры для вакцин</t>
    </r>
  </si>
  <si>
    <r>
      <rPr>
        <b/>
        <sz val="11"/>
        <color theme="1"/>
        <rFont val="Calibri"/>
        <family val="2"/>
        <scheme val="minor"/>
      </rPr>
      <t xml:space="preserve">_16. </t>
    </r>
    <r>
      <rPr>
        <b/>
        <sz val="11"/>
        <color theme="1"/>
        <rFont val="Calibri"/>
        <family val="2"/>
        <scheme val="minor"/>
      </rPr>
      <t>Безморозные термоконтейнеры</t>
    </r>
  </si>
  <si>
    <r>
      <rPr>
        <b/>
        <sz val="11"/>
        <color theme="1"/>
        <rFont val="Calibri"/>
        <family val="2"/>
        <scheme val="minor"/>
      </rPr>
      <t xml:space="preserve">_17. </t>
    </r>
    <r>
      <rPr>
        <b/>
        <sz val="11"/>
        <color theme="1"/>
        <rFont val="Calibri"/>
        <family val="2"/>
        <scheme val="minor"/>
      </rPr>
      <t xml:space="preserve">Регуляторы напряжения для оборудования </t>
    </r>
  </si>
  <si>
    <r>
      <rPr>
        <b/>
        <sz val="11"/>
        <color theme="8" tint="-0.499984740745262"/>
        <rFont val="Calibri"/>
        <family val="2"/>
        <scheme val="minor"/>
      </rPr>
      <t>TOTAL</t>
    </r>
  </si>
  <si>
    <r>
      <rPr>
        <b/>
        <sz val="11"/>
        <color theme="0"/>
        <rFont val="Calibri"/>
        <family val="2"/>
        <scheme val="minor"/>
      </rPr>
      <t>Type of equipment</t>
    </r>
  </si>
  <si>
    <r>
      <rPr>
        <b/>
        <sz val="11"/>
        <color theme="0"/>
        <rFont val="Calibri"/>
        <family val="2"/>
        <scheme val="minor"/>
      </rPr>
      <t>Equipment model</t>
    </r>
  </si>
  <si>
    <r>
      <rPr>
        <b/>
        <sz val="11"/>
        <color theme="0"/>
        <rFont val="Calibri"/>
        <family val="2"/>
        <scheme val="minor"/>
      </rPr>
      <t>Equipment make</t>
    </r>
  </si>
  <si>
    <r>
      <rPr>
        <b/>
        <sz val="11"/>
        <color theme="0"/>
        <rFont val="Calibri"/>
        <family val="2"/>
        <scheme val="minor"/>
      </rPr>
      <t>Vaccine capacity (L)</t>
    </r>
  </si>
  <si>
    <r>
      <rPr>
        <b/>
        <sz val="11"/>
        <color theme="0"/>
        <rFont val="Calibri"/>
        <family val="2"/>
        <scheme val="minor"/>
      </rPr>
      <t>Freezer gross volume (L)</t>
    </r>
  </si>
  <si>
    <r>
      <rPr>
        <b/>
        <sz val="11"/>
        <color theme="0"/>
        <rFont val="Calibri"/>
        <family val="2"/>
        <scheme val="minor"/>
      </rPr>
      <t>PQS indicative equipment unit price $US</t>
    </r>
  </si>
  <si>
    <r>
      <rPr>
        <b/>
        <sz val="11"/>
        <color theme="0"/>
        <rFont val="Calibri"/>
        <family val="2"/>
        <scheme val="minor"/>
      </rPr>
      <t>Estimated service bundle cost $US</t>
    </r>
  </si>
  <si>
    <r>
      <rPr>
        <b/>
        <sz val="11"/>
        <color theme="0"/>
        <rFont val="Calibri"/>
        <family val="2"/>
        <scheme val="minor"/>
      </rPr>
      <t>Total unit cost
including service bundle cost $US</t>
    </r>
  </si>
  <si>
    <r>
      <rPr>
        <b/>
        <sz val="11"/>
        <color theme="0"/>
        <rFont val="Calibri"/>
        <family val="2"/>
        <scheme val="minor"/>
      </rPr>
      <t>Number of equipment</t>
    </r>
  </si>
  <si>
    <r>
      <rPr>
        <b/>
        <sz val="11"/>
        <color theme="0"/>
        <rFont val="Calibri"/>
        <family val="2"/>
        <scheme val="minor"/>
      </rPr>
      <t>Total amount
$US</t>
    </r>
  </si>
  <si>
    <r>
      <rPr>
        <b/>
        <sz val="11"/>
        <color theme="5"/>
        <rFont val="Calibri"/>
        <family val="2"/>
        <scheme val="minor"/>
      </rPr>
      <t>@Translators: Translation of column A in this column</t>
    </r>
  </si>
  <si>
    <r>
      <rPr>
        <b/>
        <sz val="11"/>
        <color rgb="FFFF0000"/>
        <rFont val="Calibri"/>
        <family val="2"/>
        <scheme val="minor"/>
      </rPr>
      <t>Select from dropdown list</t>
    </r>
  </si>
  <si>
    <r>
      <rPr>
        <b/>
        <sz val="11"/>
        <color rgb="FFFF0000"/>
        <rFont val="Calibri"/>
        <family val="2"/>
        <scheme val="minor"/>
      </rPr>
      <t xml:space="preserve">Enter cost within service bundle price range </t>
    </r>
  </si>
  <si>
    <r>
      <rPr>
        <b/>
        <sz val="11"/>
        <color rgb="FFFF0000"/>
        <rFont val="Calibri"/>
        <family val="2"/>
        <scheme val="minor"/>
      </rPr>
      <t>Enter quantity</t>
    </r>
  </si>
  <si>
    <r>
      <rPr>
        <b/>
        <sz val="11"/>
        <color theme="5"/>
        <rFont val="Calibri"/>
        <family val="2"/>
        <scheme val="minor"/>
      </rPr>
      <t>@Translators -- Translation of Row 3 in this row&gt;&gt;&gt;&gt;&gt;&gt;</t>
    </r>
  </si>
  <si>
    <r>
      <rPr>
        <b/>
        <sz val="11"/>
        <color theme="0"/>
        <rFont val="Calibri"/>
        <family val="2"/>
        <scheme val="minor"/>
      </rPr>
      <t>Тип оборудования</t>
    </r>
  </si>
  <si>
    <r>
      <rPr>
        <b/>
        <sz val="11"/>
        <color theme="0"/>
        <rFont val="Calibri"/>
        <family val="2"/>
        <scheme val="minor"/>
      </rPr>
      <t>Модель оборудования</t>
    </r>
  </si>
  <si>
    <r>
      <rPr>
        <b/>
        <sz val="11"/>
        <color theme="0"/>
        <rFont val="Calibri"/>
        <family val="2"/>
        <scheme val="minor"/>
      </rPr>
      <t>Производитель оборудования</t>
    </r>
  </si>
  <si>
    <r>
      <rPr>
        <b/>
        <sz val="11"/>
        <color theme="0"/>
        <rFont val="Calibri"/>
        <family val="2"/>
        <scheme val="minor"/>
      </rPr>
      <t>Вместимость вакцин (л)</t>
    </r>
  </si>
  <si>
    <r>
      <rPr>
        <b/>
        <sz val="11"/>
        <color theme="0"/>
        <rFont val="Calibri"/>
        <family val="2"/>
        <scheme val="minor"/>
      </rPr>
      <t>Емкость брутто морозильной камеры (л)</t>
    </r>
  </si>
  <si>
    <r>
      <rPr>
        <b/>
        <sz val="11"/>
        <color theme="0"/>
        <rFont val="Calibri"/>
        <family val="2"/>
        <scheme val="minor"/>
      </rPr>
      <t>Ориентировочная цена за единицу оборудования по PQS, долл. США</t>
    </r>
  </si>
  <si>
    <r>
      <rPr>
        <b/>
        <sz val="11"/>
        <color theme="0"/>
        <rFont val="Calibri"/>
        <family val="2"/>
        <scheme val="minor"/>
      </rPr>
      <t>Прогнозируемая совокупная стоимость обслуживания, долл. США</t>
    </r>
  </si>
  <si>
    <r>
      <rPr>
        <b/>
        <sz val="11"/>
        <color theme="0"/>
        <rFont val="Calibri"/>
        <family val="2"/>
        <scheme val="minor"/>
      </rPr>
      <t>Общая стоимость за единицу</t>
    </r>
    <r>
      <rPr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включая совокупную стоимость обслуживания, долл. США</t>
    </r>
  </si>
  <si>
    <r>
      <rPr>
        <b/>
        <sz val="11"/>
        <color theme="0"/>
        <rFont val="Calibri"/>
        <family val="2"/>
        <scheme val="minor"/>
      </rPr>
      <t>Количество оборудования</t>
    </r>
  </si>
  <si>
    <r>
      <rPr>
        <b/>
        <sz val="11"/>
        <color theme="0"/>
        <rFont val="Calibri"/>
        <family val="2"/>
        <scheme val="minor"/>
      </rPr>
      <t>Итого</t>
    </r>
    <r>
      <rPr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долл. США</t>
    </r>
  </si>
  <si>
    <r>
      <rPr>
        <b/>
        <sz val="11"/>
        <color rgb="FFFF0000"/>
        <rFont val="Calibri"/>
        <family val="2"/>
        <scheme val="minor"/>
      </rPr>
      <t>Выбрать из ниспадающего списка</t>
    </r>
  </si>
  <si>
    <r>
      <rPr>
        <b/>
        <sz val="11"/>
        <color rgb="FFFF0000"/>
        <rFont val="Calibri"/>
        <family val="2"/>
        <scheme val="minor"/>
      </rPr>
      <t xml:space="preserve">Ввести стоимость в диапазоне совокупной стоимости обслуживания </t>
    </r>
  </si>
  <si>
    <r>
      <rPr>
        <b/>
        <sz val="11"/>
        <color rgb="FFFF0000"/>
        <rFont val="Calibri"/>
        <family val="2"/>
        <scheme val="minor"/>
      </rPr>
      <t>Ввести количество</t>
    </r>
  </si>
  <si>
    <r>
      <rPr>
        <b/>
        <sz val="11"/>
        <color theme="0"/>
        <rFont val="Calibri"/>
        <family val="2"/>
        <scheme val="minor"/>
      </rPr>
      <t>Общий бюджет на оборудование (не включая расходы на лизинг)</t>
    </r>
  </si>
  <si>
    <r>
      <rPr>
        <b/>
        <sz val="11"/>
        <color theme="0"/>
        <rFont val="Calibri"/>
        <family val="2"/>
        <scheme val="minor"/>
      </rPr>
      <t>Общий бюджет (вкл. дополнительный резерв 6 % и стоимость международных грузоперевозок)</t>
    </r>
  </si>
  <si>
    <r>
      <rPr>
        <b/>
        <sz val="11"/>
        <color theme="0"/>
        <rFont val="Calibri"/>
        <family val="2"/>
        <scheme val="minor"/>
      </rPr>
      <t xml:space="preserve">Комиссии за закупки (% бюджета в ЮНИСЕФ: 5 %) </t>
    </r>
    <r>
      <rPr>
        <b/>
        <sz val="11"/>
        <color rgb="FFFF0000"/>
        <rFont val="Calibri"/>
        <family val="2"/>
        <scheme val="minor"/>
      </rPr>
      <t>Ввести %</t>
    </r>
  </si>
  <si>
    <r>
      <rPr>
        <b/>
        <sz val="11"/>
        <color theme="0"/>
        <rFont val="Calibri"/>
        <family val="2"/>
        <scheme val="minor"/>
      </rPr>
      <t>Расчетная комиссия за закупку, долл. США</t>
    </r>
  </si>
  <si>
    <r>
      <rPr>
        <b/>
        <sz val="11"/>
        <color theme="0"/>
        <rFont val="Calibri"/>
        <family val="2"/>
        <scheme val="minor"/>
      </rPr>
      <t>Общие лизинговые комиссии</t>
    </r>
  </si>
  <si>
    <r>
      <rPr>
        <b/>
        <sz val="11"/>
        <color theme="0"/>
        <rFont val="Calibri"/>
        <family val="2"/>
        <scheme val="minor"/>
      </rPr>
      <t>Расчетный программный взнос, долл. США</t>
    </r>
  </si>
  <si>
    <r>
      <rPr>
        <b/>
        <sz val="11"/>
        <color theme="0"/>
        <rFont val="Calibri"/>
        <family val="2"/>
        <scheme val="minor"/>
      </rPr>
      <t>Общий бюджет (включая дополнительный резерв 6 %, стоимость международных грузоперевозок, лизинговые комиссии и комиссии ЮНИСЕФ за закупки или заключение контрактов), долл. США</t>
    </r>
  </si>
  <si>
    <r>
      <rPr>
        <b/>
        <sz val="11"/>
        <color theme="8" tint="-0.499984740745262"/>
        <rFont val="Calibri"/>
        <family val="2"/>
        <scheme val="minor"/>
      </rPr>
      <t>TOTAL</t>
    </r>
  </si>
  <si>
    <r>
      <rPr>
        <b/>
        <sz val="11"/>
        <color theme="0"/>
        <rFont val="Calibri"/>
        <family val="2"/>
        <scheme val="minor"/>
      </rPr>
      <t>Type of equipment</t>
    </r>
  </si>
  <si>
    <r>
      <rPr>
        <b/>
        <sz val="11"/>
        <color theme="0"/>
        <rFont val="Calibri"/>
        <family val="2"/>
        <scheme val="minor"/>
      </rPr>
      <t>Equipment model</t>
    </r>
  </si>
  <si>
    <r>
      <rPr>
        <b/>
        <sz val="11"/>
        <color theme="0"/>
        <rFont val="Calibri"/>
        <family val="2"/>
        <scheme val="minor"/>
      </rPr>
      <t>Equipment make</t>
    </r>
  </si>
  <si>
    <r>
      <rPr>
        <b/>
        <sz val="11"/>
        <color theme="0"/>
        <rFont val="Calibri"/>
        <family val="2"/>
        <scheme val="minor"/>
      </rPr>
      <t>Vaccine capacity (L)</t>
    </r>
  </si>
  <si>
    <r>
      <rPr>
        <b/>
        <sz val="11"/>
        <color theme="0"/>
        <rFont val="Calibri"/>
        <family val="2"/>
        <scheme val="minor"/>
      </rPr>
      <t>Freezer gross volume (L)</t>
    </r>
  </si>
  <si>
    <r>
      <rPr>
        <b/>
        <sz val="11"/>
        <color theme="0"/>
        <rFont val="Calibri"/>
        <family val="2"/>
        <scheme val="minor"/>
      </rPr>
      <t>PQS indicative equipment unit price $US</t>
    </r>
  </si>
  <si>
    <r>
      <rPr>
        <b/>
        <sz val="11"/>
        <color theme="0"/>
        <rFont val="Calibri"/>
        <family val="2"/>
        <scheme val="minor"/>
      </rPr>
      <t>Estimated service bundle cost $US</t>
    </r>
  </si>
  <si>
    <r>
      <rPr>
        <b/>
        <sz val="11"/>
        <color theme="0"/>
        <rFont val="Calibri"/>
        <family val="2"/>
        <scheme val="minor"/>
      </rPr>
      <t>Total unit cost
including service bundle cost $US</t>
    </r>
  </si>
  <si>
    <r>
      <rPr>
        <b/>
        <sz val="11"/>
        <color theme="0"/>
        <rFont val="Calibri"/>
        <family val="2"/>
        <scheme val="minor"/>
      </rPr>
      <t>Number of equipment</t>
    </r>
  </si>
  <si>
    <r>
      <rPr>
        <b/>
        <sz val="11"/>
        <color theme="0"/>
        <rFont val="Calibri"/>
        <family val="2"/>
        <scheme val="minor"/>
      </rPr>
      <t>Total amount
$US</t>
    </r>
  </si>
  <si>
    <r>
      <rPr>
        <b/>
        <sz val="11"/>
        <color theme="5"/>
        <rFont val="Calibri"/>
        <family val="2"/>
        <scheme val="minor"/>
      </rPr>
      <t>@Translators: Translation of column A in this column</t>
    </r>
  </si>
  <si>
    <r>
      <rPr>
        <b/>
        <sz val="11"/>
        <color rgb="FFFF0000"/>
        <rFont val="Calibri"/>
        <family val="2"/>
        <scheme val="minor"/>
      </rPr>
      <t>Select from dropdown list</t>
    </r>
  </si>
  <si>
    <r>
      <rPr>
        <b/>
        <sz val="11"/>
        <color rgb="FFFF0000"/>
        <rFont val="Calibri"/>
        <family val="2"/>
        <scheme val="minor"/>
      </rPr>
      <t xml:space="preserve">Enter cost within service bundle price range </t>
    </r>
  </si>
  <si>
    <r>
      <rPr>
        <b/>
        <sz val="11"/>
        <color rgb="FFFF0000"/>
        <rFont val="Calibri"/>
        <family val="2"/>
        <scheme val="minor"/>
      </rPr>
      <t>Enter quantity</t>
    </r>
  </si>
  <si>
    <r>
      <rPr>
        <b/>
        <sz val="11"/>
        <color theme="5"/>
        <rFont val="Calibri"/>
        <family val="2"/>
        <scheme val="minor"/>
      </rPr>
      <t>@Translators -- Translation of Row 3 in this row&gt;&gt;&gt;&gt;&gt;&gt;</t>
    </r>
  </si>
  <si>
    <r>
      <rPr>
        <b/>
        <sz val="11"/>
        <color theme="0"/>
        <rFont val="Calibri"/>
        <family val="2"/>
        <scheme val="minor"/>
      </rPr>
      <t>Тип оборудования</t>
    </r>
  </si>
  <si>
    <r>
      <rPr>
        <b/>
        <sz val="11"/>
        <color theme="0"/>
        <rFont val="Calibri"/>
        <family val="2"/>
        <scheme val="minor"/>
      </rPr>
      <t>Модель оборудования</t>
    </r>
  </si>
  <si>
    <r>
      <rPr>
        <b/>
        <sz val="11"/>
        <color theme="0"/>
        <rFont val="Calibri"/>
        <family val="2"/>
        <scheme val="minor"/>
      </rPr>
      <t>Производитель оборудования</t>
    </r>
  </si>
  <si>
    <r>
      <rPr>
        <b/>
        <sz val="11"/>
        <color theme="0"/>
        <rFont val="Calibri"/>
        <family val="2"/>
        <scheme val="minor"/>
      </rPr>
      <t>Вместимость вакцин (л)</t>
    </r>
  </si>
  <si>
    <r>
      <rPr>
        <b/>
        <sz val="11"/>
        <color theme="0"/>
        <rFont val="Calibri"/>
        <family val="2"/>
        <scheme val="minor"/>
      </rPr>
      <t>Емкость брутто морозильной камеры (л)</t>
    </r>
  </si>
  <si>
    <r>
      <rPr>
        <b/>
        <sz val="11"/>
        <color theme="0"/>
        <rFont val="Calibri"/>
        <family val="2"/>
        <scheme val="minor"/>
      </rPr>
      <t>Ориентировочная цена за единицу оборудования по PQS, долл. США</t>
    </r>
  </si>
  <si>
    <r>
      <rPr>
        <b/>
        <sz val="11"/>
        <color theme="0"/>
        <rFont val="Calibri"/>
        <family val="2"/>
        <scheme val="minor"/>
      </rPr>
      <t>Прогнозируемая совокупная стоимость обслуживания, долл. США</t>
    </r>
  </si>
  <si>
    <r>
      <rPr>
        <b/>
        <sz val="11"/>
        <color theme="0"/>
        <rFont val="Calibri"/>
        <family val="2"/>
        <scheme val="minor"/>
      </rPr>
      <t>Общая стоимость за единицу</t>
    </r>
    <r>
      <rPr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включая совокупную стоимость обслуживания, долл. США</t>
    </r>
  </si>
  <si>
    <r>
      <rPr>
        <b/>
        <sz val="11"/>
        <color theme="0"/>
        <rFont val="Calibri"/>
        <family val="2"/>
        <scheme val="minor"/>
      </rPr>
      <t>Количество оборудования</t>
    </r>
  </si>
  <si>
    <r>
      <rPr>
        <b/>
        <sz val="11"/>
        <color theme="0"/>
        <rFont val="Calibri"/>
        <family val="2"/>
        <scheme val="minor"/>
      </rPr>
      <t>Итого</t>
    </r>
    <r>
      <rPr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долл. США</t>
    </r>
  </si>
  <si>
    <r>
      <rPr>
        <b/>
        <sz val="11"/>
        <color rgb="FFFF0000"/>
        <rFont val="Calibri"/>
        <family val="2"/>
        <scheme val="minor"/>
      </rPr>
      <t>Выбрать из ниспадающего списка</t>
    </r>
  </si>
  <si>
    <r>
      <rPr>
        <b/>
        <sz val="11"/>
        <color rgb="FFFF0000"/>
        <rFont val="Calibri"/>
        <family val="2"/>
        <scheme val="minor"/>
      </rPr>
      <t xml:space="preserve">Ввести стоимость в диапазоне совокупной стоимости обслуживания </t>
    </r>
  </si>
  <si>
    <r>
      <rPr>
        <b/>
        <sz val="11"/>
        <color rgb="FFFF0000"/>
        <rFont val="Calibri"/>
        <family val="2"/>
        <scheme val="minor"/>
      </rPr>
      <t>Ввести количество</t>
    </r>
  </si>
  <si>
    <r>
      <rPr>
        <b/>
        <sz val="11"/>
        <color theme="0"/>
        <rFont val="Calibri"/>
        <family val="2"/>
        <scheme val="minor"/>
      </rPr>
      <t>Общий бюджет на оборудование (не включая расходы на лизинг)</t>
    </r>
  </si>
  <si>
    <r>
      <rPr>
        <b/>
        <sz val="11"/>
        <color theme="0"/>
        <rFont val="Calibri"/>
        <family val="2"/>
        <scheme val="minor"/>
      </rPr>
      <t>Общий бюджет (вкл. дополнительный резерв 6 % и стоимость международных грузоперевозок)</t>
    </r>
  </si>
  <si>
    <r>
      <rPr>
        <b/>
        <sz val="11"/>
        <color theme="0"/>
        <rFont val="Calibri"/>
        <family val="2"/>
        <scheme val="minor"/>
      </rPr>
      <t xml:space="preserve">Комиссии за закупки (% бюджета в ЮНИСЕФ: 5 %) </t>
    </r>
    <r>
      <rPr>
        <b/>
        <sz val="11"/>
        <color rgb="FFFF0000"/>
        <rFont val="Calibri"/>
        <family val="2"/>
        <scheme val="minor"/>
      </rPr>
      <t>Ввести %</t>
    </r>
  </si>
  <si>
    <r>
      <rPr>
        <b/>
        <sz val="11"/>
        <color theme="0"/>
        <rFont val="Calibri"/>
        <family val="2"/>
        <scheme val="minor"/>
      </rPr>
      <t>Расчетная комиссия за закупку, долл. США</t>
    </r>
  </si>
  <si>
    <r>
      <rPr>
        <b/>
        <sz val="11"/>
        <color theme="0"/>
        <rFont val="Calibri"/>
        <family val="2"/>
        <scheme val="minor"/>
      </rPr>
      <t>Общие лизинговые комиссии</t>
    </r>
  </si>
  <si>
    <r>
      <rPr>
        <b/>
        <sz val="11"/>
        <color theme="0"/>
        <rFont val="Calibri"/>
        <family val="2"/>
        <scheme val="minor"/>
      </rPr>
      <t>Расчетный программный взнос, долл. США</t>
    </r>
  </si>
  <si>
    <r>
      <rPr>
        <b/>
        <sz val="11"/>
        <color theme="0"/>
        <rFont val="Calibri"/>
        <family val="2"/>
        <scheme val="minor"/>
      </rPr>
      <t>Общий бюджет (включая дополнительный резерв 6 %, стоимость международных грузоперевозок, лизинговые комиссии и комиссии ЮНИСЕФ за закупки или заключение контрактов), долл. США</t>
    </r>
  </si>
  <si>
    <r>
      <rPr>
        <b/>
        <sz val="11"/>
        <color theme="0"/>
        <rFont val="Calibri"/>
        <family val="2"/>
        <scheme val="minor"/>
      </rPr>
      <t>Производитель оборудования</t>
    </r>
  </si>
  <si>
    <r>
      <rPr>
        <b/>
        <sz val="11"/>
        <color theme="0"/>
        <rFont val="Calibri"/>
        <family val="2"/>
        <scheme val="minor"/>
      </rPr>
      <t>Модель оборудования</t>
    </r>
  </si>
  <si>
    <r>
      <rPr>
        <b/>
        <sz val="11"/>
        <color theme="0"/>
        <rFont val="Calibri"/>
        <family val="2"/>
        <scheme val="minor"/>
      </rPr>
      <t>Вместимость вакцин (л)</t>
    </r>
  </si>
  <si>
    <r>
      <rPr>
        <b/>
        <sz val="11"/>
        <color theme="0"/>
        <rFont val="Calibri"/>
        <family val="2"/>
        <scheme val="minor"/>
      </rPr>
      <t>Емкость брутто морозильной камеры (л)</t>
    </r>
  </si>
  <si>
    <r>
      <rPr>
        <b/>
        <sz val="11"/>
        <color theme="0"/>
        <rFont val="Calibri"/>
        <family val="2"/>
        <scheme val="minor"/>
      </rPr>
      <t>Ориентировочная цена за единицу оборудования по PQS, долл. США</t>
    </r>
  </si>
  <si>
    <r>
      <rPr>
        <b/>
        <sz val="11"/>
        <color theme="1"/>
        <rFont val="Calibri"/>
        <family val="2"/>
        <scheme val="minor"/>
      </rPr>
      <t>Type of equipment</t>
    </r>
  </si>
  <si>
    <r>
      <rPr>
        <b/>
        <sz val="11"/>
        <rFont val="Calibri"/>
        <family val="2"/>
        <scheme val="minor"/>
      </rPr>
      <t>-</t>
    </r>
  </si>
  <si>
    <t>NA</t>
  </si>
  <si>
    <r>
      <rPr>
        <sz val="11"/>
        <rFont val="Calibri"/>
        <family val="2"/>
        <scheme val="minor"/>
      </rPr>
      <t>_1. Walk in cold rooms</t>
    </r>
  </si>
  <si>
    <t>_1. Walk-in cold rooms</t>
  </si>
  <si>
    <r>
      <rPr>
        <sz val="11"/>
        <rFont val="Calibri"/>
        <family val="2"/>
        <scheme val="minor"/>
      </rPr>
      <t>10 cbm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</si>
  <si>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</si>
  <si>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</si>
  <si>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</si>
  <si>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</si>
  <si>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r>
      <rPr>
        <sz val="11"/>
        <rFont val="Calibri"/>
        <family val="2"/>
        <scheme val="minor"/>
      </rPr>
      <t>_2. Walk in cold rooms with freezers</t>
    </r>
  </si>
  <si>
    <t>_1. Walk-in cold rooms</t>
  </si>
  <si>
    <r>
      <rPr>
        <sz val="11"/>
        <rFont val="Calibri"/>
        <family val="2"/>
        <scheme val="minor"/>
      </rPr>
      <t>10 cbm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</si>
  <si>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</si>
  <si>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</si>
  <si>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</si>
  <si>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</si>
  <si>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r>
      <rPr>
        <sz val="11"/>
        <rFont val="Calibri"/>
        <family val="2"/>
        <scheme val="minor"/>
      </rPr>
      <t>_3. Short term lease for Walk in cold rooms</t>
    </r>
  </si>
  <si>
    <t>_1. Walk-in cold rooms</t>
  </si>
  <si>
    <r>
      <rPr>
        <sz val="11"/>
        <rFont val="Calibri"/>
        <family val="2"/>
        <scheme val="minor"/>
      </rPr>
      <t>10 cbm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</si>
  <si>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</si>
  <si>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</si>
  <si>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</si>
  <si>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</si>
  <si>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r>
      <rPr>
        <sz val="11"/>
        <rFont val="Calibri"/>
        <family val="2"/>
        <scheme val="minor"/>
      </rPr>
      <t>_4. Leasing Walk in cold rooms or freezer room</t>
    </r>
  </si>
  <si>
    <t>_1. Walk-in cold rooms</t>
  </si>
  <si>
    <r>
      <rPr>
        <sz val="11"/>
        <rFont val="Calibri"/>
        <family val="2"/>
        <scheme val="minor"/>
      </rPr>
      <t>10 cbm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</si>
  <si>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</si>
  <si>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</si>
  <si>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</si>
  <si>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</si>
  <si>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_5. On grid ILR_without freezer comp.</t>
  </si>
  <si>
    <t>_1. Walk-in cold rooms</t>
  </si>
  <si>
    <r>
      <rPr>
        <sz val="11"/>
        <rFont val="Calibri"/>
        <family val="2"/>
        <scheme val="minor"/>
      </rPr>
      <t>Foster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</si>
  <si>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</si>
  <si>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</si>
  <si>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</si>
  <si>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</si>
  <si>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_6. On grid ILR_with freezer comp.</t>
  </si>
  <si>
    <t>_1. Walk-in cold rooms</t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</si>
  <si>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</si>
  <si>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Haier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</si>
  <si>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</si>
  <si>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</si>
  <si>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</si>
  <si>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</si>
  <si>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_7. On grid freezers</t>
  </si>
  <si>
    <t>_1. Walk-in cold rooms</t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</si>
  <si>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</si>
  <si>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Haier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</si>
  <si>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</si>
  <si>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</si>
  <si>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</si>
  <si>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</si>
  <si>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_8. Off grid SDD refrigerators_without freezer comp.</t>
  </si>
  <si>
    <t>_1. Walk-in cold rooms</t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</si>
  <si>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</si>
  <si>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Porkka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</si>
  <si>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</si>
  <si>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</si>
  <si>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</si>
  <si>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</si>
  <si>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_9. Off grid SDD refrigerators_with freezer comp.</t>
  </si>
  <si>
    <t>_1. Walk-in cold rooms</t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</si>
  <si>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</si>
  <si>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Porkka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</si>
  <si>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</si>
  <si>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</si>
  <si>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</si>
  <si>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</si>
  <si>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_10. Off grid SDD freezer</t>
  </si>
  <si>
    <t>_1. Walk-in cold rooms</t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</si>
  <si>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</si>
  <si>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Viessmann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</si>
  <si>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</si>
  <si>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</si>
  <si>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</si>
  <si>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</si>
  <si>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_11. Temperature monitoring device_30DTR</t>
  </si>
  <si>
    <t>_1. Walk-in cold rooms</t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</si>
  <si>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</si>
  <si>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Viessmann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</si>
  <si>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</si>
  <si>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</si>
  <si>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</si>
  <si>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</si>
  <si>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_12. Remote temperature monitoring devices_RTMDs</t>
  </si>
  <si>
    <t>_1. Walk-in cold rooms</t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</si>
  <si>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</si>
  <si>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Zhendre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</si>
  <si>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</si>
  <si>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</si>
  <si>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</si>
  <si>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</si>
  <si>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_13. Standard vaccine carriers</t>
  </si>
  <si>
    <t>_1. Walk-in cold rooms</t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</si>
  <si>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</si>
  <si>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Zhendre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</si>
  <si>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</si>
  <si>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</si>
  <si>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</si>
  <si>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</si>
  <si>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_14. Freeze free vaccine carriers</t>
  </si>
  <si>
    <t>_1. Walk-in cold rooms</t>
  </si>
  <si>
    <r>
      <rPr>
        <sz val="11"/>
        <rFont val="Calibri"/>
        <family val="2"/>
        <scheme val="minor"/>
      </rPr>
      <t>Foster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</si>
  <si>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</si>
  <si>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</si>
  <si>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</si>
  <si>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</si>
  <si>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_15. Standard vaccine cold boxes</t>
  </si>
  <si>
    <t>_1. Walk-in cold rooms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</si>
  <si>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</si>
  <si>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Haier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</si>
  <si>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</si>
  <si>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</si>
  <si>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</si>
  <si>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</si>
  <si>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_16. Freeze free cold boxes</t>
  </si>
  <si>
    <t>_1. Walk-in cold rooms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</si>
  <si>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</si>
  <si>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Haier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</si>
  <si>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</si>
  <si>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</si>
  <si>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</si>
  <si>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</si>
  <si>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 xml:space="preserve">_17. Voltage regulators for equipment </t>
  </si>
  <si>
    <t>_1. Walk-in cold rooms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</si>
  <si>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</si>
  <si>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Porkka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</si>
  <si>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</si>
  <si>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</si>
  <si>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</si>
  <si>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</si>
  <si>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_1. Walk-in cold rooms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</si>
  <si>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</si>
  <si>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Porkka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</si>
  <si>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</si>
  <si>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</si>
  <si>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</si>
  <si>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</si>
  <si>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_1. Walk-in cold rooms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</si>
  <si>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</si>
  <si>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Viessmann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</si>
  <si>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</si>
  <si>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</si>
  <si>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</si>
  <si>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</si>
  <si>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_1. Walk-in cold rooms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</si>
  <si>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</si>
  <si>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Viessmann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</si>
  <si>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</si>
  <si>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</si>
  <si>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</si>
  <si>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</si>
  <si>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_1. Walk-in cold rooms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</si>
  <si>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</si>
  <si>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Zhendre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</si>
  <si>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</si>
  <si>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</si>
  <si>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</si>
  <si>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</si>
  <si>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_1. Walk-in cold rooms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</si>
  <si>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</si>
  <si>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Zhendre</t>
    </r>
  </si>
  <si>
    <r>
      <rPr>
        <b/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</si>
  <si>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</si>
  <si>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</si>
  <si>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</si>
  <si>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</si>
  <si>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Haier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</si>
  <si>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</si>
  <si>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</si>
  <si>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</si>
  <si>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_2. Walk-in cold rooms with freezers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</si>
  <si>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</si>
  <si>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Haier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</si>
  <si>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</si>
  <si>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</si>
  <si>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</si>
  <si>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_2. Walk-in cold rooms with freezers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</si>
  <si>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</si>
  <si>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Porkka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</si>
  <si>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</si>
  <si>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</si>
  <si>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</si>
  <si>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_2. Walk-in cold rooms with freezers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</si>
  <si>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</si>
  <si>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Porkka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</si>
  <si>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</si>
  <si>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</si>
  <si>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</si>
  <si>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_2. Walk-in cold rooms with freezers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</si>
  <si>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</si>
  <si>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Viessmann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</si>
  <si>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</si>
  <si>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</si>
  <si>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</si>
  <si>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_2. Walk-in cold rooms with freezers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</si>
  <si>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</si>
  <si>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Viessmann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</si>
  <si>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</si>
  <si>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</si>
  <si>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</si>
  <si>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_2. Walk-in cold rooms with freezers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</si>
  <si>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</si>
  <si>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Zhendre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</si>
  <si>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</si>
  <si>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</si>
  <si>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</si>
  <si>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_2. Walk-in cold rooms with freezers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</si>
  <si>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</si>
  <si>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Zhendre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</si>
  <si>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</si>
  <si>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</si>
  <si>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</si>
  <si>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r>
      <rPr>
        <sz val="11"/>
        <rFont val="Calibri"/>
        <family val="2"/>
        <scheme val="minor"/>
      </rPr>
      <t>10 cbm</t>
    </r>
  </si>
  <si>
    <r>
      <rPr>
        <sz val="11"/>
        <rFont val="Calibri"/>
        <family val="2"/>
        <scheme val="minor"/>
      </rPr>
      <t>-</t>
    </r>
  </si>
  <si>
    <r>
      <rPr>
        <sz val="11"/>
        <rFont val="Calibri"/>
        <family val="2"/>
        <scheme val="minor"/>
      </rPr>
      <t>10 cbm</t>
    </r>
  </si>
  <si>
    <r>
      <rPr>
        <b/>
        <sz val="11"/>
        <rFont val="Calibri"/>
        <family val="2"/>
        <scheme val="minor"/>
      </rPr>
      <t>-</t>
    </r>
  </si>
  <si>
    <r>
      <rPr>
        <sz val="11"/>
        <rFont val="Calibri"/>
        <family val="2"/>
        <scheme val="minor"/>
      </rPr>
      <t>NA</t>
    </r>
  </si>
  <si>
    <r>
      <rPr>
        <sz val="11"/>
        <rFont val="Calibri"/>
        <family val="2"/>
        <scheme val="minor"/>
      </rPr>
      <t>NA</t>
    </r>
  </si>
  <si>
    <t>NA</t>
  </si>
  <si>
    <t>NA</t>
  </si>
  <si>
    <t>_3. Short term lease for Walk-in cold rooms</t>
  </si>
  <si>
    <r>
      <rPr>
        <sz val="11"/>
        <rFont val="Calibri"/>
        <family val="2"/>
        <scheme val="minor"/>
      </rPr>
      <t>-</t>
    </r>
  </si>
  <si>
    <r>
      <rPr>
        <sz val="11"/>
        <rFont val="Calibri"/>
        <family val="2"/>
        <scheme val="minor"/>
      </rPr>
      <t>20 cbm</t>
    </r>
  </si>
  <si>
    <r>
      <rPr>
        <b/>
        <sz val="11"/>
        <rFont val="Calibri"/>
        <family val="2"/>
        <scheme val="minor"/>
      </rPr>
      <t>-</t>
    </r>
  </si>
  <si>
    <r>
      <rPr>
        <sz val="11"/>
        <rFont val="Calibri"/>
        <family val="2"/>
        <scheme val="minor"/>
      </rPr>
      <t>NA</t>
    </r>
  </si>
  <si>
    <r>
      <rPr>
        <sz val="11"/>
        <rFont val="Calibri"/>
        <family val="2"/>
        <scheme val="minor"/>
      </rPr>
      <t>NA</t>
    </r>
  </si>
  <si>
    <t>NA</t>
  </si>
  <si>
    <t>NA</t>
  </si>
  <si>
    <t>_3. Short term lease for Walk-in cold rooms</t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</si>
  <si>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</si>
  <si>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-</t>
    </r>
  </si>
  <si>
    <r>
      <rPr>
        <sz val="11"/>
        <rFont val="Calibri"/>
        <family val="2"/>
        <scheme val="minor"/>
      </rPr>
      <t>30 cbm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</si>
  <si>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</si>
  <si>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</si>
  <si>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</si>
  <si>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NA</t>
  </si>
  <si>
    <t>NA</t>
  </si>
  <si>
    <t>_3. Short term lease for Walk-in cold rooms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</si>
  <si>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</si>
  <si>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-</t>
    </r>
  </si>
  <si>
    <r>
      <rPr>
        <sz val="11"/>
        <rFont val="Calibri"/>
        <family val="2"/>
        <scheme val="minor"/>
      </rPr>
      <t>40 cbm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</si>
  <si>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</si>
  <si>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</si>
  <si>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</si>
  <si>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NA</t>
  </si>
  <si>
    <t>NA</t>
  </si>
  <si>
    <r>
      <rPr>
        <sz val="11"/>
        <rFont val="Calibri"/>
        <family val="2"/>
        <scheme val="minor"/>
      </rPr>
      <t>10 cbm</t>
    </r>
  </si>
  <si>
    <r>
      <rPr>
        <sz val="11"/>
        <rFont val="Calibri"/>
        <family val="2"/>
        <scheme val="minor"/>
      </rPr>
      <t>-</t>
    </r>
  </si>
  <si>
    <r>
      <rPr>
        <sz val="11"/>
        <rFont val="Calibri"/>
        <family val="2"/>
        <scheme val="minor"/>
      </rPr>
      <t>10 cbm</t>
    </r>
  </si>
  <si>
    <r>
      <rPr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</si>
  <si>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</si>
  <si>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</si>
  <si>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</si>
  <si>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NA</t>
  </si>
  <si>
    <t>NA</t>
  </si>
  <si>
    <t>_4. Leasing Walk-in cold room or freezer room</t>
  </si>
  <si>
    <r>
      <rPr>
        <sz val="11"/>
        <rFont val="Calibri"/>
        <family val="2"/>
        <scheme val="minor"/>
      </rPr>
      <t>20 cbm</t>
    </r>
  </si>
  <si>
    <r>
      <rPr>
        <sz val="11"/>
        <rFont val="Calibri"/>
        <family val="2"/>
        <scheme val="minor"/>
      </rPr>
      <t>-</t>
    </r>
  </si>
  <si>
    <r>
      <rPr>
        <sz val="11"/>
        <rFont val="Calibri"/>
        <family val="2"/>
        <scheme val="minor"/>
      </rPr>
      <t>20 cbm</t>
    </r>
  </si>
  <si>
    <r>
      <rPr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</si>
  <si>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</si>
  <si>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</si>
  <si>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</si>
  <si>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NA</t>
  </si>
  <si>
    <t>NA</t>
  </si>
  <si>
    <t>_4. Leasing Walk-in cold room or freezer room</t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</si>
  <si>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</si>
  <si>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-</t>
    </r>
  </si>
  <si>
    <r>
      <rPr>
        <sz val="11"/>
        <rFont val="Calibri"/>
        <family val="2"/>
        <scheme val="minor"/>
      </rPr>
      <t>30 cbm</t>
    </r>
  </si>
  <si>
    <r>
      <rPr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</si>
  <si>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</si>
  <si>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</si>
  <si>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</si>
  <si>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NA</t>
  </si>
  <si>
    <t>NA</t>
  </si>
  <si>
    <t>_4. Leasing Walk-in cold room or freezer room</t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</si>
  <si>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</si>
  <si>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-</t>
    </r>
  </si>
  <si>
    <r>
      <rPr>
        <sz val="11"/>
        <rFont val="Calibri"/>
        <family val="2"/>
        <scheme val="minor"/>
      </rPr>
      <t>40 cbm</t>
    </r>
  </si>
  <si>
    <r>
      <rPr>
        <sz val="11"/>
        <rFont val="Calibri"/>
        <family val="2"/>
        <scheme val="minor"/>
      </rPr>
      <t>-</t>
    </r>
  </si>
  <si>
    <r>
      <rPr>
        <b/>
        <sz val="11"/>
        <rFont val="Calibri"/>
        <family val="2"/>
        <scheme val="minor"/>
      </rPr>
      <t>-</t>
    </r>
  </si>
  <si>
    <t>NA</t>
  </si>
  <si>
    <t>NA</t>
  </si>
  <si>
    <t>NA</t>
  </si>
  <si>
    <t>NA</t>
  </si>
  <si>
    <t>_5. On grid ILR_without freezer comp.</t>
  </si>
  <si>
    <t>-</t>
  </si>
  <si>
    <t>NA</t>
  </si>
  <si>
    <t>NA</t>
  </si>
  <si>
    <t>_5. On grid ILR_without freezer comp.</t>
  </si>
  <si>
    <t>&lt;30L</t>
  </si>
  <si>
    <t>-</t>
  </si>
  <si>
    <t>NA</t>
  </si>
  <si>
    <t>NA</t>
  </si>
  <si>
    <t>_5. On grid ILR_without freezer comp.</t>
  </si>
  <si>
    <t>-</t>
  </si>
  <si>
    <t>NA</t>
  </si>
  <si>
    <t>NA</t>
  </si>
  <si>
    <t>_5. On grid ILR_without freezer comp.</t>
  </si>
  <si>
    <t>30 - &lt;60L</t>
  </si>
  <si>
    <t xml:space="preserve">Godrej &amp; Boyce </t>
  </si>
  <si>
    <t>-</t>
  </si>
  <si>
    <t>NA</t>
  </si>
  <si>
    <t>NA</t>
  </si>
  <si>
    <t>_5. On grid ILR_without freezer comp.</t>
  </si>
  <si>
    <t>30 - &lt;60L</t>
  </si>
  <si>
    <t>-</t>
  </si>
  <si>
    <t>NA</t>
  </si>
  <si>
    <t>NA</t>
  </si>
  <si>
    <t>_5. On grid ILR_without freezer comp.</t>
  </si>
  <si>
    <t>30 - &lt;60L</t>
  </si>
  <si>
    <t xml:space="preserve">Godrej &amp; Boyce </t>
  </si>
  <si>
    <t>-</t>
  </si>
  <si>
    <t>NA</t>
  </si>
  <si>
    <t>NA</t>
  </si>
  <si>
    <t>_5. On grid ILR_without freezer comp.</t>
  </si>
  <si>
    <t>-</t>
  </si>
  <si>
    <t>NA</t>
  </si>
  <si>
    <t>NA</t>
  </si>
  <si>
    <t>_5. On grid ILR_without freezer comp.</t>
  </si>
  <si>
    <t>60 - &lt;90L</t>
  </si>
  <si>
    <t>Haier</t>
  </si>
  <si>
    <t>-</t>
  </si>
  <si>
    <t>NA</t>
  </si>
  <si>
    <t>NA</t>
  </si>
  <si>
    <t>_5. On grid ILR_without freezer comp.</t>
  </si>
  <si>
    <t>60 - &lt;90L</t>
  </si>
  <si>
    <t xml:space="preserve">Godrej &amp; Boyce </t>
  </si>
  <si>
    <t>-</t>
  </si>
  <si>
    <t>NA</t>
  </si>
  <si>
    <t>NA</t>
  </si>
  <si>
    <t>_5. On grid ILR_without freezer comp.</t>
  </si>
  <si>
    <t>60 - &lt;90L</t>
  </si>
  <si>
    <t>Zero</t>
  </si>
  <si>
    <t>-</t>
  </si>
  <si>
    <t>NA</t>
  </si>
  <si>
    <t>NA</t>
  </si>
  <si>
    <t>_5. On grid ILR_without freezer comp.</t>
  </si>
  <si>
    <t>60 - &lt;90L</t>
  </si>
  <si>
    <t>B Medical</t>
  </si>
  <si>
    <t>-</t>
  </si>
  <si>
    <t>NA</t>
  </si>
  <si>
    <t>NA</t>
  </si>
  <si>
    <t>_5. On grid ILR_without freezer comp.</t>
  </si>
  <si>
    <t>Vestfrost</t>
  </si>
  <si>
    <t>-</t>
  </si>
  <si>
    <t>NA</t>
  </si>
  <si>
    <t>NA</t>
  </si>
  <si>
    <t>_5. On grid ILR_without freezer comp.</t>
  </si>
  <si>
    <t>90 - &lt;120L</t>
  </si>
  <si>
    <t xml:space="preserve">Godrej &amp; Boyce </t>
  </si>
  <si>
    <t>-</t>
  </si>
  <si>
    <t>NA</t>
  </si>
  <si>
    <t>NA</t>
  </si>
  <si>
    <t>_5. On grid ILR_without freezer comp.</t>
  </si>
  <si>
    <t>90 - &lt;120L</t>
  </si>
  <si>
    <t>Zero</t>
  </si>
  <si>
    <t>-</t>
  </si>
  <si>
    <t>NA</t>
  </si>
  <si>
    <t>NA</t>
  </si>
  <si>
    <t>_5. On grid ILR_without freezer comp.</t>
  </si>
  <si>
    <t>90 - &lt;120L</t>
  </si>
  <si>
    <t xml:space="preserve">Godrej &amp; Boyce </t>
  </si>
  <si>
    <t>-</t>
  </si>
  <si>
    <t>NA</t>
  </si>
  <si>
    <t>NA</t>
  </si>
  <si>
    <t>_5. On grid ILR_without freezer comp.</t>
  </si>
  <si>
    <t>90 - &lt;120L</t>
  </si>
  <si>
    <t>Haier</t>
  </si>
  <si>
    <t>-</t>
  </si>
  <si>
    <t>NA</t>
  </si>
  <si>
    <t>NA</t>
  </si>
  <si>
    <t>_5. On grid ILR_without freezer comp.</t>
  </si>
  <si>
    <t>Haier</t>
  </si>
  <si>
    <t>-</t>
  </si>
  <si>
    <t>NA</t>
  </si>
  <si>
    <t>NA</t>
  </si>
  <si>
    <t>_5. On grid ILR_without freezer comp.</t>
  </si>
  <si>
    <t>&gt;120L</t>
  </si>
  <si>
    <t>Vestfrost</t>
  </si>
  <si>
    <t>-</t>
  </si>
  <si>
    <t>NA</t>
  </si>
  <si>
    <t>NA</t>
  </si>
  <si>
    <t>_5. On grid ILR_without freezer comp.</t>
  </si>
  <si>
    <t>&gt;120L</t>
  </si>
  <si>
    <t>Zero</t>
  </si>
  <si>
    <t>-</t>
  </si>
  <si>
    <t>NA</t>
  </si>
  <si>
    <t>NA</t>
  </si>
  <si>
    <t>_5. On grid ILR_without freezer comp.</t>
  </si>
  <si>
    <t>&gt;120L</t>
  </si>
  <si>
    <t>Vestfrost</t>
  </si>
  <si>
    <t>-</t>
  </si>
  <si>
    <t>NA</t>
  </si>
  <si>
    <t>NA</t>
  </si>
  <si>
    <t>_5. On grid ILR_without freezer comp.</t>
  </si>
  <si>
    <t>&gt;120L</t>
  </si>
  <si>
    <t>Haier</t>
  </si>
  <si>
    <t>-</t>
  </si>
  <si>
    <t>NA</t>
  </si>
  <si>
    <t>NA</t>
  </si>
  <si>
    <t>_5. On grid ILR_without freezer comp.</t>
  </si>
  <si>
    <t>&gt;120L</t>
  </si>
  <si>
    <t>-</t>
  </si>
  <si>
    <t>NA</t>
  </si>
  <si>
    <t>NA</t>
  </si>
  <si>
    <t>_5. On grid ILR_without freezer comp.</t>
  </si>
  <si>
    <t>&gt;120L</t>
  </si>
  <si>
    <t>Haier</t>
  </si>
  <si>
    <t>-</t>
  </si>
  <si>
    <t>NA</t>
  </si>
  <si>
    <t>NA</t>
  </si>
  <si>
    <t>_5. On grid ILR_without freezer comp.</t>
  </si>
  <si>
    <t>&gt;120L</t>
  </si>
  <si>
    <t xml:space="preserve">Godrej &amp; Boyce </t>
  </si>
  <si>
    <t>-</t>
  </si>
  <si>
    <t>NA</t>
  </si>
  <si>
    <t>NA</t>
  </si>
  <si>
    <t>_5. On grid ILR_without freezer comp.</t>
  </si>
  <si>
    <t>&gt;120L</t>
  </si>
  <si>
    <t>B Medical</t>
  </si>
  <si>
    <t>-</t>
  </si>
  <si>
    <t>NA</t>
  </si>
  <si>
    <t>NA</t>
  </si>
  <si>
    <t>_5. On grid ILR_without freezer comp.</t>
  </si>
  <si>
    <t>&gt;120L</t>
  </si>
  <si>
    <t>Vestfrost</t>
  </si>
  <si>
    <t>-</t>
  </si>
  <si>
    <t>NA</t>
  </si>
  <si>
    <t>NA</t>
  </si>
  <si>
    <t>_6. On grid ILR_with freezer comp.</t>
  </si>
  <si>
    <t>30 - &lt;60L</t>
  </si>
  <si>
    <t>Haier</t>
  </si>
  <si>
    <t>NA</t>
  </si>
  <si>
    <t>NA</t>
  </si>
  <si>
    <t>_6. On grid ILR_with freezer comp.</t>
  </si>
  <si>
    <t>30 - &lt;60L</t>
  </si>
  <si>
    <t xml:space="preserve">Godrej &amp; Boyce </t>
  </si>
  <si>
    <t>NA</t>
  </si>
  <si>
    <t>NA</t>
  </si>
  <si>
    <t>_6. On grid ILR_with freezer comp.</t>
  </si>
  <si>
    <t>30 - &lt;60L</t>
  </si>
  <si>
    <t>Vestfrost</t>
  </si>
  <si>
    <t>NA</t>
  </si>
  <si>
    <t>NA</t>
  </si>
  <si>
    <t>_6. On grid ILR_with freezer comp.</t>
  </si>
  <si>
    <t>60 - &lt;90L</t>
  </si>
  <si>
    <t>B Medical</t>
  </si>
  <si>
    <t>NA</t>
  </si>
  <si>
    <t>NA</t>
  </si>
  <si>
    <r>
      <rPr>
        <sz val="11"/>
        <color theme="0"/>
        <rFont val="Calibri"/>
        <family val="2"/>
        <scheme val="minor"/>
      </rPr>
      <t>_7. On grid freezers</t>
    </r>
  </si>
  <si>
    <t>90 - &lt;120L</t>
  </si>
  <si>
    <t>Aucma</t>
  </si>
  <si>
    <t>-</t>
  </si>
  <si>
    <t>NA</t>
  </si>
  <si>
    <t>NA</t>
  </si>
  <si>
    <r>
      <rPr>
        <sz val="11"/>
        <color theme="0"/>
        <rFont val="Calibri"/>
        <family val="2"/>
        <scheme val="minor"/>
      </rPr>
      <t>_7. On grid freezers</t>
    </r>
  </si>
  <si>
    <t>90 - &lt;120L</t>
  </si>
  <si>
    <t>Vestfrost</t>
  </si>
  <si>
    <t>-</t>
  </si>
  <si>
    <t>NA</t>
  </si>
  <si>
    <t>NA</t>
  </si>
  <si>
    <r>
      <rPr>
        <sz val="11"/>
        <color theme="0"/>
        <rFont val="Calibri"/>
        <family val="2"/>
        <scheme val="minor"/>
      </rPr>
      <t>_7. On grid freezers</t>
    </r>
  </si>
  <si>
    <t>&gt;120L</t>
  </si>
  <si>
    <t>Haier</t>
  </si>
  <si>
    <t>-</t>
  </si>
  <si>
    <t>NA</t>
  </si>
  <si>
    <t>NA</t>
  </si>
  <si>
    <r>
      <rPr>
        <sz val="11"/>
        <color theme="0"/>
        <rFont val="Calibri"/>
        <family val="2"/>
        <scheme val="minor"/>
      </rPr>
      <t>_7. On grid freezers</t>
    </r>
  </si>
  <si>
    <t>&gt;120L</t>
  </si>
  <si>
    <t>Vestfrost</t>
  </si>
  <si>
    <t>-</t>
  </si>
  <si>
    <t>NA</t>
  </si>
  <si>
    <t>NA</t>
  </si>
  <si>
    <r>
      <rPr>
        <sz val="11"/>
        <color theme="0"/>
        <rFont val="Calibri"/>
        <family val="2"/>
        <scheme val="minor"/>
      </rPr>
      <t>_7. On grid freezers</t>
    </r>
  </si>
  <si>
    <t>&gt;120L</t>
  </si>
  <si>
    <t>B Medical</t>
  </si>
  <si>
    <t>-</t>
  </si>
  <si>
    <t>NA</t>
  </si>
  <si>
    <t>NA</t>
  </si>
  <si>
    <r>
      <rPr>
        <sz val="11"/>
        <color theme="0"/>
        <rFont val="Calibri"/>
        <family val="2"/>
        <scheme val="minor"/>
      </rPr>
      <t>_7. On grid freezers</t>
    </r>
  </si>
  <si>
    <t>&gt;120L</t>
  </si>
  <si>
    <t>Aucma</t>
  </si>
  <si>
    <t>-</t>
  </si>
  <si>
    <t>NA</t>
  </si>
  <si>
    <t>NA</t>
  </si>
  <si>
    <r>
      <rPr>
        <sz val="11"/>
        <color theme="0"/>
        <rFont val="Calibri"/>
        <family val="2"/>
        <scheme val="minor"/>
      </rPr>
      <t>_7. On grid freezers</t>
    </r>
  </si>
  <si>
    <t>&gt;120L</t>
  </si>
  <si>
    <t>Vestfrost</t>
  </si>
  <si>
    <t>-</t>
  </si>
  <si>
    <t>NA</t>
  </si>
  <si>
    <t>NA</t>
  </si>
  <si>
    <r>
      <rPr>
        <sz val="11"/>
        <color theme="0"/>
        <rFont val="Calibri"/>
        <family val="2"/>
        <scheme val="minor"/>
      </rPr>
      <t>_7. On grid freezers</t>
    </r>
  </si>
  <si>
    <t>&gt;120L</t>
  </si>
  <si>
    <t>Haier</t>
  </si>
  <si>
    <t>-</t>
  </si>
  <si>
    <t>NA</t>
  </si>
  <si>
    <t>NA</t>
  </si>
  <si>
    <t>_8. Off grid SDD refrigerators_without freezer comp.</t>
  </si>
  <si>
    <t>&lt;30L</t>
  </si>
  <si>
    <t>-</t>
  </si>
  <si>
    <t>_8. Off grid SDD refrigerators_without freezer comp.</t>
  </si>
  <si>
    <t>&lt;30L</t>
  </si>
  <si>
    <t>B Medical</t>
  </si>
  <si>
    <t>-</t>
  </si>
  <si>
    <t>_8. Off grid SDD refrigerators_without freezer comp.</t>
  </si>
  <si>
    <t>&lt;30L</t>
  </si>
  <si>
    <t>B Medical</t>
  </si>
  <si>
    <t>-</t>
  </si>
  <si>
    <t>_8. Off grid SDD refrigerators_without freezer comp.</t>
  </si>
  <si>
    <t>&lt;30L</t>
  </si>
  <si>
    <t>Haier</t>
  </si>
  <si>
    <t>-</t>
  </si>
  <si>
    <t>_8. Off grid SDD refrigerators_without freezer comp.</t>
  </si>
  <si>
    <t>&lt;30L</t>
  </si>
  <si>
    <t>Dulas Solar</t>
  </si>
  <si>
    <t>-</t>
  </si>
  <si>
    <t>_8. Off grid SDD refrigerators_without freezer comp.</t>
  </si>
  <si>
    <t>&lt;30L</t>
  </si>
  <si>
    <t>Vestfrost</t>
  </si>
  <si>
    <t>-</t>
  </si>
  <si>
    <t>_8. Off grid SDD refrigerators_without freezer comp.</t>
  </si>
  <si>
    <t>&lt;30L</t>
  </si>
  <si>
    <t>_8. Off grid SDD refrigerators_without freezer comp.</t>
  </si>
  <si>
    <t>30 - &lt;60L</t>
  </si>
  <si>
    <t>B Medical</t>
  </si>
  <si>
    <t>-</t>
  </si>
  <si>
    <t>_8. Off grid SDD refrigerators_without freezer comp.</t>
  </si>
  <si>
    <t>30 - &lt;60L</t>
  </si>
  <si>
    <t xml:space="preserve">Godrej &amp; Boyce </t>
  </si>
  <si>
    <t>-</t>
  </si>
  <si>
    <t>_8. Off grid SDD refrigerators_without freezer comp.</t>
  </si>
  <si>
    <t>30 - &lt;60L</t>
  </si>
  <si>
    <t>Aucma</t>
  </si>
  <si>
    <t>-</t>
  </si>
  <si>
    <t>_8. Off grid SDD refrigerators_without freezer comp.</t>
  </si>
  <si>
    <t>30 - &lt;60L</t>
  </si>
  <si>
    <t>Dulas Solar</t>
  </si>
  <si>
    <t>-</t>
  </si>
  <si>
    <t>_8. Off grid SDD refrigerators_without freezer comp.</t>
  </si>
  <si>
    <t>30 - &lt;60L</t>
  </si>
  <si>
    <t>SunDanzer</t>
  </si>
  <si>
    <t>-</t>
  </si>
  <si>
    <t>_8. Off grid SDD refrigerators_without freezer comp.</t>
  </si>
  <si>
    <t>30 - &lt;60L</t>
  </si>
  <si>
    <t>Vestfrost</t>
  </si>
  <si>
    <t>-</t>
  </si>
  <si>
    <t>_8. Off grid SDD refrigerators_without freezer comp.</t>
  </si>
  <si>
    <t>30 - &lt;60L</t>
  </si>
  <si>
    <t>Haier</t>
  </si>
  <si>
    <t>-</t>
  </si>
  <si>
    <t>_8. Off grid SDD refrigerators_without freezer comp.</t>
  </si>
  <si>
    <t>60 - &lt;90L</t>
  </si>
  <si>
    <t>Haier</t>
  </si>
  <si>
    <t>-</t>
  </si>
  <si>
    <t>_8. Off grid SDD refrigerators_without freezer comp.</t>
  </si>
  <si>
    <t>60 - &lt;90L</t>
  </si>
  <si>
    <t>Dulas Solar</t>
  </si>
  <si>
    <t>-</t>
  </si>
  <si>
    <t>_8. Off grid SDD refrigerators_without freezer comp.</t>
  </si>
  <si>
    <t>60 - &lt;90L</t>
  </si>
  <si>
    <t>B Medical</t>
  </si>
  <si>
    <t>-</t>
  </si>
  <si>
    <t>_8. Off grid SDD refrigerators_without freezer comp.</t>
  </si>
  <si>
    <t>90 - &lt;120L</t>
  </si>
  <si>
    <t>Vestfrost</t>
  </si>
  <si>
    <t>-</t>
  </si>
  <si>
    <t>_8. Off grid SDD refrigerators_without freezer comp.</t>
  </si>
  <si>
    <t>90 - &lt;120L</t>
  </si>
  <si>
    <t xml:space="preserve">Godrej &amp; Boyce </t>
  </si>
  <si>
    <t>-</t>
  </si>
  <si>
    <t>_8. Off grid SDD refrigerators_without freezer comp.</t>
  </si>
  <si>
    <t>90 - &lt;120L</t>
  </si>
  <si>
    <t>Zero</t>
  </si>
  <si>
    <t>-</t>
  </si>
  <si>
    <t>_8. Off grid SDD refrigerators_without freezer comp.</t>
  </si>
  <si>
    <t>90 - &lt;120L</t>
  </si>
  <si>
    <t>Haier</t>
  </si>
  <si>
    <t>-</t>
  </si>
  <si>
    <t>_8. Off grid SDD refrigerators_without freezer comp.</t>
  </si>
  <si>
    <t>90 - &lt;120L</t>
  </si>
  <si>
    <t>Dulas Solar</t>
  </si>
  <si>
    <t>-</t>
  </si>
  <si>
    <t>_8. Off grid SDD refrigerators_without freezer comp.</t>
  </si>
  <si>
    <t>&gt;120L</t>
  </si>
  <si>
    <t>Zero</t>
  </si>
  <si>
    <t>-</t>
  </si>
  <si>
    <t>_8. Off grid SDD refrigerators_without freezer comp.</t>
  </si>
  <si>
    <t>&gt;120L</t>
  </si>
  <si>
    <t>Dulas Solar</t>
  </si>
  <si>
    <t>-</t>
  </si>
  <si>
    <t>_8. Off grid SDD refrigerators_without freezer comp.</t>
  </si>
  <si>
    <t>&gt;120L</t>
  </si>
  <si>
    <t>Vestfrost</t>
  </si>
  <si>
    <t>-</t>
  </si>
  <si>
    <t>_8. Off grid SDD refrigerators_without freezer comp.</t>
  </si>
  <si>
    <t>&gt;120L</t>
  </si>
  <si>
    <t>Haier</t>
  </si>
  <si>
    <t>-</t>
  </si>
  <si>
    <t>_8. Off grid SDD refrigerators_without freezer comp.</t>
  </si>
  <si>
    <t>&gt;120L</t>
  </si>
  <si>
    <t>B Medical</t>
  </si>
  <si>
    <t>-</t>
  </si>
  <si>
    <r>
      <rPr>
        <sz val="11"/>
        <color theme="0"/>
        <rFont val="Calibri"/>
        <family val="2"/>
        <scheme val="minor"/>
      </rPr>
      <t>_9. Off grid SDD refrigerators_with freezer comp.</t>
    </r>
  </si>
  <si>
    <t>&lt;30L</t>
  </si>
  <si>
    <t>B Medical</t>
  </si>
  <si>
    <r>
      <rPr>
        <sz val="11"/>
        <color theme="0"/>
        <rFont val="Calibri"/>
        <family val="2"/>
        <scheme val="minor"/>
      </rPr>
      <t>_9. Off grid SDD refrigerators_with freezer comp.</t>
    </r>
  </si>
  <si>
    <t>30 - &lt;60L</t>
  </si>
  <si>
    <t>B Medical</t>
  </si>
  <si>
    <r>
      <rPr>
        <sz val="11"/>
        <color theme="0"/>
        <rFont val="Calibri"/>
        <family val="2"/>
        <scheme val="minor"/>
      </rPr>
      <t>_9. Off grid SDD refrigerators_with freezer comp.</t>
    </r>
  </si>
  <si>
    <t>Vestfrost</t>
  </si>
  <si>
    <r>
      <rPr>
        <sz val="11"/>
        <color theme="0"/>
        <rFont val="Calibri"/>
        <family val="2"/>
        <scheme val="minor"/>
      </rPr>
      <t>_9. Off grid SDD refrigerators_with freezer comp.</t>
    </r>
  </si>
  <si>
    <t>30 - &lt;60L</t>
  </si>
  <si>
    <t>Haier</t>
  </si>
  <si>
    <r>
      <rPr>
        <sz val="11"/>
        <color theme="0"/>
        <rFont val="Calibri"/>
        <family val="2"/>
        <scheme val="minor"/>
      </rPr>
      <t>_9. Off grid SDD refrigerators_with freezer comp.</t>
    </r>
  </si>
  <si>
    <t>30 - &lt;60L</t>
  </si>
  <si>
    <t>Vestfrost</t>
  </si>
  <si>
    <r>
      <rPr>
        <sz val="11"/>
        <color theme="0"/>
        <rFont val="Calibri"/>
        <family val="2"/>
        <scheme val="minor"/>
      </rPr>
      <t>_9. Off grid SDD refrigerators_with freezer comp.</t>
    </r>
  </si>
  <si>
    <t>30 - &lt;60L</t>
  </si>
  <si>
    <t>Dulas Solar</t>
  </si>
  <si>
    <r>
      <rPr>
        <sz val="11"/>
        <color theme="0"/>
        <rFont val="Calibri"/>
        <family val="2"/>
        <scheme val="minor"/>
      </rPr>
      <t>_9. Off grid SDD refrigerators_with freezer comp.</t>
    </r>
  </si>
  <si>
    <t>30 - &lt;60L</t>
  </si>
  <si>
    <t xml:space="preserve">Godrej &amp; Boyce </t>
  </si>
  <si>
    <r>
      <rPr>
        <sz val="11"/>
        <color theme="0"/>
        <rFont val="Calibri"/>
        <family val="2"/>
        <scheme val="minor"/>
      </rPr>
      <t>_9. Off grid SDD refrigerators_with freezer comp.</t>
    </r>
  </si>
  <si>
    <t>60 - &lt;90L</t>
  </si>
  <si>
    <t>B Medical</t>
  </si>
  <si>
    <r>
      <rPr>
        <sz val="11"/>
        <color theme="0"/>
        <rFont val="Calibri"/>
        <family val="2"/>
        <scheme val="minor"/>
      </rPr>
      <t>_9. Off grid SDD refrigerators_with freezer comp.</t>
    </r>
  </si>
  <si>
    <t>90 - &lt;120L</t>
  </si>
  <si>
    <t>Haier</t>
  </si>
  <si>
    <r>
      <rPr>
        <sz val="11"/>
        <color theme="0"/>
        <rFont val="Calibri"/>
        <family val="2"/>
        <scheme val="minor"/>
      </rPr>
      <t>_9. Off grid SDD refrigerators_with freezer comp.</t>
    </r>
  </si>
  <si>
    <t>90 - &lt;120L</t>
  </si>
  <si>
    <t>Dulas Solar</t>
  </si>
  <si>
    <r>
      <rPr>
        <sz val="11"/>
        <color theme="0"/>
        <rFont val="Calibri"/>
        <family val="2"/>
        <scheme val="minor"/>
      </rPr>
      <t>_10. Off grid SDD freezer</t>
    </r>
  </si>
  <si>
    <t>30 - &lt;60L</t>
  </si>
  <si>
    <t>Vestfrost</t>
  </si>
  <si>
    <t>-</t>
  </si>
  <si>
    <r>
      <rPr>
        <sz val="11"/>
        <color theme="0"/>
        <rFont val="Calibri"/>
        <family val="2"/>
        <scheme val="minor"/>
      </rPr>
      <t>_10. Off grid SDD freezer</t>
    </r>
  </si>
  <si>
    <t>30 - &lt;60L</t>
  </si>
  <si>
    <t>Haier</t>
  </si>
  <si>
    <t>-</t>
  </si>
  <si>
    <r>
      <rPr>
        <sz val="11"/>
        <color theme="0"/>
        <rFont val="Calibri"/>
        <family val="2"/>
        <scheme val="minor"/>
      </rPr>
      <t>_10. Off grid SDD freezer</t>
    </r>
  </si>
  <si>
    <t>60 - &lt;90L</t>
  </si>
  <si>
    <t>B Medical</t>
  </si>
  <si>
    <t>-</t>
  </si>
  <si>
    <t>_11. Temperature monitoring device_30DTR</t>
  </si>
  <si>
    <t>-</t>
  </si>
  <si>
    <t>Haier</t>
  </si>
  <si>
    <t>-</t>
  </si>
  <si>
    <t>-</t>
  </si>
  <si>
    <t>-</t>
  </si>
  <si>
    <t>NA</t>
  </si>
  <si>
    <t>NA</t>
  </si>
  <si>
    <t>_11. Temperature monitoring device_30DTR</t>
  </si>
  <si>
    <t>-</t>
  </si>
  <si>
    <t>-</t>
  </si>
  <si>
    <t>-</t>
  </si>
  <si>
    <t>-</t>
  </si>
  <si>
    <t>NA</t>
  </si>
  <si>
    <t>NA</t>
  </si>
  <si>
    <t>_11. Temperature monitoring device_30DTR</t>
  </si>
  <si>
    <t>-</t>
  </si>
  <si>
    <t>-</t>
  </si>
  <si>
    <t>-</t>
  </si>
  <si>
    <t>-</t>
  </si>
  <si>
    <t>NA</t>
  </si>
  <si>
    <t>NA</t>
  </si>
  <si>
    <t>_11. Temperature monitoring device_30DTR</t>
  </si>
  <si>
    <t>-</t>
  </si>
  <si>
    <t>Berlinger</t>
  </si>
  <si>
    <t>-</t>
  </si>
  <si>
    <t>-</t>
  </si>
  <si>
    <t>-</t>
  </si>
  <si>
    <t>NA</t>
  </si>
  <si>
    <t>NA</t>
  </si>
  <si>
    <t>_11. Temperature monitoring device_30DTR</t>
  </si>
  <si>
    <t>-</t>
  </si>
  <si>
    <t>-</t>
  </si>
  <si>
    <t>-</t>
  </si>
  <si>
    <t>-</t>
  </si>
  <si>
    <t>NA</t>
  </si>
  <si>
    <t>NA</t>
  </si>
  <si>
    <t>_12. Remote temperature monitoring devices_RTMDs</t>
  </si>
  <si>
    <t>-</t>
  </si>
  <si>
    <t>-</t>
  </si>
  <si>
    <t>-</t>
  </si>
  <si>
    <t>-</t>
  </si>
  <si>
    <t>NA</t>
  </si>
  <si>
    <t>NA</t>
  </si>
  <si>
    <t>_12. Remote temperature monitoring devices_RTMDs</t>
  </si>
  <si>
    <t>-</t>
  </si>
  <si>
    <t>-</t>
  </si>
  <si>
    <t>-</t>
  </si>
  <si>
    <t>-</t>
  </si>
  <si>
    <t>NA</t>
  </si>
  <si>
    <t>NA</t>
  </si>
  <si>
    <t>_12. Remote temperature monitoring devices_RTMDs</t>
  </si>
  <si>
    <t>-</t>
  </si>
  <si>
    <t>Berlinger</t>
  </si>
  <si>
    <t>-</t>
  </si>
  <si>
    <t>-</t>
  </si>
  <si>
    <t>-</t>
  </si>
  <si>
    <t>NA</t>
  </si>
  <si>
    <t>NA</t>
  </si>
  <si>
    <t>_12. Remote temperature monitoring devices_RTMDs</t>
  </si>
  <si>
    <t>-</t>
  </si>
  <si>
    <t>Haier</t>
  </si>
  <si>
    <t>-</t>
  </si>
  <si>
    <t>-</t>
  </si>
  <si>
    <t>-</t>
  </si>
  <si>
    <t>NA</t>
  </si>
  <si>
    <t>NA</t>
  </si>
  <si>
    <t>_12. Remote temperature monitoring devices_RTMDs</t>
  </si>
  <si>
    <t>-</t>
  </si>
  <si>
    <t>Beyond Wireless</t>
  </si>
  <si>
    <t>-</t>
  </si>
  <si>
    <t>-</t>
  </si>
  <si>
    <t>-</t>
  </si>
  <si>
    <t>NA</t>
  </si>
  <si>
    <t>NA</t>
  </si>
  <si>
    <t>_14. Freeze free vaccine carriers</t>
  </si>
  <si>
    <t>-</t>
  </si>
  <si>
    <t>NA</t>
  </si>
  <si>
    <t>NA</t>
  </si>
  <si>
    <t>_14. Freeze free vaccine carriers</t>
  </si>
  <si>
    <t>&lt;5L</t>
  </si>
  <si>
    <t>-</t>
  </si>
  <si>
    <t>NA</t>
  </si>
  <si>
    <t>NA</t>
  </si>
  <si>
    <t>_14. Freeze free vaccine carriers</t>
  </si>
  <si>
    <t>&lt;5L</t>
  </si>
  <si>
    <t>-</t>
  </si>
  <si>
    <t>NA</t>
  </si>
  <si>
    <t>NA</t>
  </si>
  <si>
    <t>_16. Freeze free cold boxes</t>
  </si>
  <si>
    <t xml:space="preserve">Qingdao Leff </t>
  </si>
  <si>
    <t>-</t>
  </si>
  <si>
    <t>NA</t>
  </si>
  <si>
    <t>NA</t>
  </si>
  <si>
    <t xml:space="preserve">_17. Voltage regulators for equipment </t>
  </si>
  <si>
    <t>-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</si>
  <si>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</si>
  <si>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</si>
  <si>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</si>
  <si>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</si>
  <si>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</si>
  <si>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</si>
  <si>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</si>
  <si>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Sollatek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</si>
  <si>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</si>
  <si>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</si>
  <si>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</si>
  <si>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</si>
  <si>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</si>
  <si>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</si>
  <si>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</si>
  <si>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Haier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</si>
  <si>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</si>
  <si>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</si>
  <si>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</si>
  <si>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</si>
  <si>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</si>
  <si>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</si>
  <si>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</si>
  <si>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</si>
  <si>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</si>
  <si>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</si>
  <si>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</si>
  <si>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</si>
  <si>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</si>
  <si>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</si>
  <si>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Sagar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</si>
  <si>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</si>
  <si>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</si>
  <si>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</si>
  <si>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</si>
  <si>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</si>
  <si>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</si>
  <si>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</si>
  <si>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Sollatek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</si>
  <si>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</si>
  <si>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</si>
  <si>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</si>
  <si>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</si>
  <si>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</si>
  <si>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</si>
  <si>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</si>
  <si>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Sagar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</si>
  <si>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</si>
  <si>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</si>
  <si>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</si>
  <si>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</si>
  <si>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</si>
  <si>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</si>
  <si>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</si>
  <si>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Sollatek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</si>
  <si>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</si>
  <si>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</si>
  <si>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</si>
  <si>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</si>
  <si>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</si>
  <si>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</si>
  <si>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</si>
  <si>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Sagar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</si>
  <si>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</si>
  <si>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</si>
  <si>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</si>
  <si>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</si>
  <si>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</si>
  <si>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</si>
  <si>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</si>
  <si>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Sagar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</si>
  <si>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</si>
  <si>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</si>
  <si>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</si>
  <si>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</si>
  <si>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</si>
  <si>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</si>
  <si>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</si>
  <si>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Sollatek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</si>
  <si>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</si>
  <si>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</si>
  <si>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</si>
  <si>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</si>
  <si>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</si>
  <si>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</si>
  <si>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</si>
  <si>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Sagar</t>
  </si>
  <si>
    <t>-</t>
  </si>
  <si>
    <t>-</t>
  </si>
  <si>
    <t>-</t>
  </si>
  <si>
    <t>NA</t>
  </si>
  <si>
    <t>NA</t>
  </si>
  <si>
    <t xml:space="preserve">_17. Voltage regulators for equipment </t>
  </si>
  <si>
    <t>-</t>
  </si>
  <si>
    <t>Sollatek</t>
  </si>
  <si>
    <t>-</t>
  </si>
  <si>
    <t>-</t>
  </si>
  <si>
    <t>-</t>
  </si>
  <si>
    <t>NA</t>
  </si>
  <si>
    <t>NA</t>
  </si>
  <si>
    <t>-</t>
  </si>
  <si>
    <t>Zero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</si>
  <si>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</si>
  <si>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</si>
  <si>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</si>
  <si>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</si>
  <si>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</si>
  <si>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</si>
  <si>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</si>
  <si>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</si>
  <si>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</si>
  <si>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 xml:space="preserve">Godrej &amp; Boyce 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</si>
  <si>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</si>
  <si>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</si>
  <si>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</si>
  <si>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</si>
  <si>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</si>
  <si>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</si>
  <si>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</si>
  <si>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</si>
  <si>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</si>
  <si>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</si>
  <si>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</si>
  <si>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</si>
  <si>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</si>
  <si>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</si>
  <si>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</si>
  <si>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</si>
  <si>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</si>
  <si>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</si>
  <si>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</si>
  <si>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 xml:space="preserve">Godrej &amp; Boyce 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</si>
  <si>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</si>
  <si>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</si>
  <si>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</si>
  <si>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</si>
  <si>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</si>
  <si>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</si>
  <si>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</si>
  <si>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</si>
  <si>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</si>
  <si>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Aucma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</si>
  <si>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</si>
  <si>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</si>
  <si>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</si>
  <si>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</si>
  <si>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</si>
  <si>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</si>
  <si>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</si>
  <si>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</si>
  <si>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</si>
  <si>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 xml:space="preserve">Godrej &amp; Boyce 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</si>
  <si>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</si>
  <si>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</si>
  <si>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</si>
  <si>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</si>
  <si>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</si>
  <si>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</si>
  <si>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</si>
  <si>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</si>
  <si>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</si>
  <si>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</si>
  <si>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</si>
  <si>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</si>
  <si>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</si>
  <si>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</si>
  <si>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</si>
  <si>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</si>
  <si>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</si>
  <si>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</si>
  <si>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</si>
  <si>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</si>
  <si>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</si>
  <si>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</si>
  <si>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</si>
  <si>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</si>
  <si>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</si>
  <si>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</si>
  <si>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</si>
  <si>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</si>
  <si>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</si>
  <si>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 xml:space="preserve">Godrej &amp; Boyce 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</si>
  <si>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</si>
  <si>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</si>
  <si>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</si>
  <si>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</si>
  <si>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</si>
  <si>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</si>
  <si>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</si>
  <si>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</si>
  <si>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</si>
  <si>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Zero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</si>
  <si>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</si>
  <si>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</si>
  <si>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</si>
  <si>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</si>
  <si>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</si>
  <si>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</si>
  <si>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</si>
  <si>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</si>
  <si>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</si>
  <si>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</si>
  <si>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</si>
  <si>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</si>
  <si>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</si>
  <si>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</si>
  <si>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</si>
  <si>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</si>
  <si>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</si>
  <si>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</si>
  <si>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</si>
  <si>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</si>
  <si>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</si>
  <si>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</si>
  <si>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</si>
  <si>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</si>
  <si>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</si>
  <si>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</si>
  <si>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</si>
  <si>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</si>
  <si>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</si>
  <si>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 xml:space="preserve">Godrej &amp; Boyce 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</si>
  <si>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</si>
  <si>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</si>
  <si>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</si>
  <si>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</si>
  <si>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</si>
  <si>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</si>
  <si>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</si>
  <si>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</si>
  <si>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</si>
  <si>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Zero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</si>
  <si>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</si>
  <si>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</si>
  <si>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</si>
  <si>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</si>
  <si>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</si>
  <si>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</si>
  <si>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</si>
  <si>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</si>
  <si>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</si>
  <si>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 xml:space="preserve">Godrej &amp; Boyce 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</si>
  <si>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</si>
  <si>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</si>
  <si>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</si>
  <si>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</si>
  <si>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</si>
  <si>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</si>
  <si>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</si>
  <si>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</si>
  <si>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</si>
  <si>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</si>
  <si>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NA</t>
  </si>
  <si>
    <t>NA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</si>
  <si>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</si>
  <si>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</si>
  <si>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</si>
  <si>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</si>
  <si>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</si>
  <si>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</si>
  <si>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</si>
  <si>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</si>
  <si>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</si>
  <si>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</si>
  <si>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</si>
  <si>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Zero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</si>
  <si>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</si>
  <si>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</si>
  <si>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</si>
  <si>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</si>
  <si>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</si>
  <si>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</si>
  <si>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</si>
  <si>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</si>
  <si>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</si>
  <si>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</si>
  <si>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</si>
  <si>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</si>
  <si>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</si>
  <si>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</si>
  <si>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</si>
  <si>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</si>
  <si>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</si>
  <si>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</si>
  <si>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</si>
  <si>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</si>
  <si>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</si>
  <si>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</si>
  <si>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</si>
  <si>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</si>
  <si>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</si>
  <si>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</si>
  <si>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</si>
  <si>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</si>
  <si>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Dulas Solar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</si>
  <si>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</si>
  <si>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</si>
  <si>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</si>
  <si>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</si>
  <si>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</si>
  <si>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</si>
  <si>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</si>
  <si>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</si>
  <si>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</si>
  <si>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</si>
  <si>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</si>
  <si>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</si>
  <si>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</si>
  <si>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</si>
  <si>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</si>
  <si>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</si>
  <si>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</si>
  <si>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</si>
  <si>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</si>
  <si>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 xml:space="preserve">Godrej &amp; Boyce 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</si>
  <si>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</si>
  <si>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</si>
  <si>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</si>
  <si>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</si>
  <si>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</si>
  <si>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</si>
  <si>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</si>
  <si>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</si>
  <si>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</si>
  <si>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</si>
  <si>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</si>
  <si>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</si>
  <si>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</si>
  <si>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</si>
  <si>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</si>
  <si>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</si>
  <si>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</si>
  <si>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</si>
  <si>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</si>
  <si>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</si>
  <si>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</si>
  <si>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</si>
  <si>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</si>
  <si>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</si>
  <si>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</si>
  <si>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</si>
  <si>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</si>
  <si>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</si>
  <si>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</si>
  <si>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</si>
  <si>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</si>
  <si>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</si>
  <si>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</si>
  <si>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</si>
  <si>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</si>
  <si>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</si>
  <si>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</si>
  <si>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</si>
  <si>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</si>
  <si>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 xml:space="preserve">Godrej &amp; Boyce 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</si>
  <si>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</si>
  <si>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</si>
  <si>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</si>
  <si>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</si>
  <si>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</si>
  <si>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</si>
  <si>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</si>
  <si>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</si>
  <si>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</si>
  <si>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</si>
  <si>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</si>
  <si>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</si>
  <si>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</si>
  <si>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</si>
  <si>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</si>
  <si>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</si>
  <si>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</si>
  <si>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</si>
  <si>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</si>
  <si>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</si>
  <si>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</si>
  <si>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</si>
  <si>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</si>
  <si>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</si>
  <si>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</si>
  <si>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</si>
  <si>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</si>
  <si>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</si>
  <si>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</si>
  <si>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Aucma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</si>
  <si>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</si>
  <si>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</si>
  <si>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</si>
  <si>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</si>
  <si>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</si>
  <si>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</si>
  <si>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</si>
  <si>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</si>
  <si>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</si>
  <si>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</si>
  <si>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</si>
  <si>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</si>
  <si>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</si>
  <si>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</si>
  <si>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</si>
  <si>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</si>
  <si>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</si>
  <si>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</si>
  <si>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</si>
  <si>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</si>
  <si>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</si>
  <si>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</si>
  <si>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</si>
  <si>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</si>
  <si>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</si>
  <si>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</si>
  <si>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</si>
  <si>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</si>
  <si>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</si>
  <si>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</si>
  <si>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</si>
  <si>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</si>
  <si>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</si>
  <si>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</si>
  <si>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</si>
  <si>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</si>
  <si>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</si>
  <si>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</si>
  <si>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</si>
  <si>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</si>
  <si>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</si>
  <si>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</si>
  <si>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</si>
  <si>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</si>
  <si>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</si>
  <si>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</si>
  <si>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</si>
  <si>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</si>
  <si>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</si>
  <si>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Aucma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</si>
  <si>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</si>
  <si>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</si>
  <si>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</si>
  <si>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</si>
  <si>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</si>
  <si>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</si>
  <si>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</si>
  <si>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</si>
  <si>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</si>
  <si>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</si>
  <si>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</si>
  <si>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</si>
  <si>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</si>
  <si>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</si>
  <si>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</si>
  <si>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</si>
  <si>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</si>
  <si>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</si>
  <si>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</si>
  <si>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</si>
  <si>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</si>
  <si>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</si>
  <si>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</si>
  <si>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</si>
  <si>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</si>
  <si>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</si>
  <si>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</si>
  <si>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</si>
  <si>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</si>
  <si>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SunDanzer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</si>
  <si>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</si>
  <si>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</si>
  <si>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</si>
  <si>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</si>
  <si>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</si>
  <si>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</si>
  <si>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</si>
  <si>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</si>
  <si>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</si>
  <si>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</si>
  <si>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</si>
  <si>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</si>
  <si>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</si>
  <si>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</si>
  <si>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</si>
  <si>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</si>
  <si>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</si>
  <si>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</si>
  <si>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</si>
  <si>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</si>
  <si>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</si>
  <si>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</si>
  <si>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</si>
  <si>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</si>
  <si>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</si>
  <si>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</si>
  <si>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</si>
  <si>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</si>
  <si>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</si>
  <si>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</si>
  <si>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</si>
  <si>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</si>
  <si>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</si>
  <si>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</si>
  <si>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</si>
  <si>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</si>
  <si>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</si>
  <si>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</si>
  <si>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</si>
  <si>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Dulas Solar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</si>
  <si>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</si>
  <si>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</si>
  <si>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</si>
  <si>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</si>
  <si>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</si>
  <si>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</si>
  <si>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</si>
  <si>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</si>
  <si>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</si>
  <si>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</si>
  <si>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</si>
  <si>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</si>
  <si>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</si>
  <si>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</si>
  <si>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</si>
  <si>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</si>
  <si>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</si>
  <si>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</si>
  <si>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</si>
  <si>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Zero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</si>
  <si>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</si>
  <si>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</si>
  <si>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</si>
  <si>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</si>
  <si>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</si>
  <si>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</si>
  <si>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</si>
  <si>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</si>
  <si>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</si>
  <si>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</si>
  <si>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</si>
  <si>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</si>
  <si>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</si>
  <si>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</si>
  <si>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</si>
  <si>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</si>
  <si>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</si>
  <si>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</si>
  <si>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</si>
  <si>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 xml:space="preserve">Godrej &amp; Boyce 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</si>
  <si>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</si>
  <si>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</si>
  <si>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</si>
  <si>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</si>
  <si>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</si>
  <si>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</si>
  <si>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</si>
  <si>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</si>
  <si>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</si>
  <si>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Aucma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</si>
  <si>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</si>
  <si>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</si>
  <si>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</si>
  <si>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</si>
  <si>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</si>
  <si>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</si>
  <si>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</si>
  <si>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</si>
  <si>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</si>
  <si>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Dulas Solar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</si>
  <si>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</si>
  <si>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</si>
  <si>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</si>
  <si>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</si>
  <si>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</si>
  <si>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</si>
  <si>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</si>
  <si>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</si>
  <si>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</si>
  <si>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SunDanzer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</si>
  <si>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</si>
  <si>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</si>
  <si>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</si>
  <si>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</si>
  <si>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</si>
  <si>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</si>
  <si>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</si>
  <si>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</si>
  <si>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</si>
  <si>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</si>
  <si>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</si>
  <si>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</si>
  <si>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</si>
  <si>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</si>
  <si>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</si>
  <si>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</si>
  <si>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</si>
  <si>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</si>
  <si>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</si>
  <si>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</si>
  <si>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</si>
  <si>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</si>
  <si>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</si>
  <si>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</si>
  <si>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</si>
  <si>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</si>
  <si>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</si>
  <si>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</si>
  <si>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</si>
  <si>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</si>
  <si>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</si>
  <si>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</si>
  <si>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</si>
  <si>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</si>
  <si>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</si>
  <si>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</si>
  <si>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</si>
  <si>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</si>
  <si>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</si>
  <si>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Dulas Solar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</si>
  <si>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</si>
  <si>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</si>
  <si>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</si>
  <si>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</si>
  <si>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</si>
  <si>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</si>
  <si>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</si>
  <si>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</si>
  <si>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</si>
  <si>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</si>
  <si>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</si>
  <si>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</si>
  <si>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</si>
  <si>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</si>
  <si>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</si>
  <si>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</si>
  <si>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</si>
  <si>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</si>
  <si>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</si>
  <si>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</si>
  <si>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</si>
  <si>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</si>
  <si>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</si>
  <si>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</si>
  <si>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</si>
  <si>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</si>
  <si>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</si>
  <si>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</si>
  <si>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</si>
  <si>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 xml:space="preserve">Godrej &amp; Boyce 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</si>
  <si>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</si>
  <si>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</si>
  <si>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</si>
  <si>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</si>
  <si>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</si>
  <si>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</si>
  <si>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</si>
  <si>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</si>
  <si>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</si>
  <si>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Zero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</si>
  <si>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</si>
  <si>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</si>
  <si>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</si>
  <si>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</si>
  <si>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</si>
  <si>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</si>
  <si>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</si>
  <si>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</si>
  <si>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</si>
  <si>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</si>
  <si>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</si>
  <si>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</si>
  <si>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</si>
  <si>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</si>
  <si>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</si>
  <si>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</si>
  <si>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</si>
  <si>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</si>
  <si>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</si>
  <si>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Dulas Solar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</si>
  <si>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</si>
  <si>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</si>
  <si>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</si>
  <si>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</si>
  <si>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</si>
  <si>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</si>
  <si>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</si>
  <si>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</si>
  <si>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</si>
  <si>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Zero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</si>
  <si>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</si>
  <si>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</si>
  <si>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</si>
  <si>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</si>
  <si>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</si>
  <si>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</si>
  <si>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</si>
  <si>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</si>
  <si>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</si>
  <si>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Dulas Solar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</si>
  <si>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</si>
  <si>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</si>
  <si>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</si>
  <si>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</si>
  <si>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</si>
  <si>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</si>
  <si>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</si>
  <si>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</si>
  <si>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</si>
  <si>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</si>
  <si>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</si>
  <si>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</si>
  <si>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</si>
  <si>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</si>
  <si>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</si>
  <si>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</si>
  <si>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</si>
  <si>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</si>
  <si>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</si>
  <si>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</si>
  <si>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</si>
  <si>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</si>
  <si>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</si>
  <si>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</si>
  <si>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</si>
  <si>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</si>
  <si>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</si>
  <si>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</si>
  <si>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</si>
  <si>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</si>
  <si>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</si>
  <si>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</si>
  <si>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</si>
  <si>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</si>
  <si>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</si>
  <si>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</si>
  <si>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</si>
  <si>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</si>
  <si>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</si>
  <si>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</si>
  <si>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</si>
  <si>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</si>
  <si>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</si>
  <si>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</si>
  <si>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</si>
  <si>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</si>
  <si>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</si>
  <si>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</si>
  <si>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</si>
  <si>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</si>
  <si>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</si>
  <si>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</si>
  <si>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</si>
  <si>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</si>
  <si>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</si>
  <si>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</si>
  <si>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</si>
  <si>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</si>
  <si>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</si>
  <si>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</si>
  <si>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</si>
  <si>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</si>
  <si>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</si>
  <si>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</si>
  <si>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</si>
  <si>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</si>
  <si>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</si>
  <si>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</si>
  <si>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</si>
  <si>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</si>
  <si>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</si>
  <si>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</si>
  <si>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</si>
  <si>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</si>
  <si>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</si>
  <si>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</si>
  <si>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</si>
  <si>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</si>
  <si>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</si>
  <si>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</si>
  <si>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</si>
  <si>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</si>
  <si>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</si>
  <si>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</si>
  <si>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</si>
  <si>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</si>
  <si>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</si>
  <si>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</si>
  <si>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</si>
  <si>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Dulas Solar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</si>
  <si>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</si>
  <si>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</si>
  <si>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</si>
  <si>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</si>
  <si>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</si>
  <si>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</si>
  <si>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</si>
  <si>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</si>
  <si>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</si>
  <si>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 xml:space="preserve">Godrej &amp; Boyce 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</si>
  <si>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</si>
  <si>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</si>
  <si>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</si>
  <si>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</si>
  <si>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</si>
  <si>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</si>
  <si>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</si>
  <si>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</si>
  <si>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</si>
  <si>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</si>
  <si>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</si>
  <si>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</si>
  <si>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</si>
  <si>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</si>
  <si>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</si>
  <si>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</si>
  <si>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</si>
  <si>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</si>
  <si>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</si>
  <si>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</si>
  <si>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</si>
  <si>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</si>
  <si>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</si>
  <si>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</si>
  <si>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</si>
  <si>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</si>
  <si>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</si>
  <si>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</si>
  <si>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</si>
  <si>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Dulas Solar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</si>
  <si>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</si>
  <si>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</si>
  <si>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</si>
  <si>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</si>
  <si>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</si>
  <si>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</si>
  <si>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</si>
  <si>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</si>
  <si>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</si>
  <si>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Vestfrost</t>
  </si>
  <si>
    <t>VFS 048 SDD-spare parts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</si>
  <si>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</si>
  <si>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</si>
  <si>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</si>
  <si>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</si>
  <si>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</si>
  <si>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</si>
  <si>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</si>
  <si>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</si>
  <si>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</si>
  <si>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Haier</t>
  </si>
  <si>
    <t>-</t>
  </si>
  <si>
    <t>-</t>
  </si>
  <si>
    <t>-</t>
  </si>
  <si>
    <t>-</t>
  </si>
  <si>
    <t>NA</t>
  </si>
  <si>
    <t>NA</t>
  </si>
  <si>
    <t>-</t>
  </si>
  <si>
    <t>-</t>
  </si>
  <si>
    <t>-</t>
  </si>
  <si>
    <t>B Medical</t>
  </si>
  <si>
    <t>-</t>
  </si>
  <si>
    <t>-</t>
  </si>
  <si>
    <t>-</t>
  </si>
  <si>
    <t>-</t>
  </si>
  <si>
    <t>NA</t>
  </si>
  <si>
    <t>NA</t>
  </si>
  <si>
    <t>-</t>
  </si>
  <si>
    <t>-</t>
  </si>
  <si>
    <r>
      <t xml:space="preserve">Программный взнос (% расходов на лизинг в ЮНИСЕФ: 8 %) </t>
    </r>
    <r>
      <rPr>
        <b/>
        <sz val="11"/>
        <rFont val="Calibri"/>
        <family val="2"/>
        <scheme val="minor"/>
      </rPr>
      <t>Ввести %</t>
    </r>
  </si>
  <si>
    <t>Blulog</t>
  </si>
  <si>
    <t>TDL2-5Y data logger (WICR Model)+ 3 years data/portal access</t>
  </si>
  <si>
    <t>Ikhaya</t>
  </si>
  <si>
    <t>VM 1000 (WICR Model)+ 3 years data/portal access</t>
  </si>
  <si>
    <t>ICE3 EXTRA - MODEL BC440 (2 WICR Model) + 3 years data/portal access</t>
  </si>
  <si>
    <t>TDL2-5Y data logger (2 WICR Model) + 3 years data/portal access</t>
  </si>
  <si>
    <t>VM 1000 (2 WICR Model)+ 3 years data/portal access</t>
  </si>
  <si>
    <t>ICE3 EXTRA - MODEL BC440 (3 WICR Model)+ 3 years data/portal access</t>
  </si>
  <si>
    <t>TDL2-5Y data logger (3 WICR Model)+ 3 years data/portal access</t>
  </si>
  <si>
    <t>VM 1000 (Refrigerator model)+ 3 years data/portal access</t>
  </si>
  <si>
    <t>TDL2-5Y data logger (Refrigerator Model)+ 3 years data/portal access</t>
  </si>
  <si>
    <t>ICE3 (WICR Model BC141) + 3 years data/portal access</t>
  </si>
  <si>
    <t>ColdTrace 5 (Refrigerator model CT5) + 3 years data/portal access</t>
  </si>
  <si>
    <t>Fridge-tag 3 GSM (Refrigerator model) + 3 years data/portal access</t>
  </si>
  <si>
    <t>Haier U-Cool (Refrigerator model) + 3 years data/portal access</t>
  </si>
  <si>
    <t>ICE3 (Refrigerator Model BC141) + 3 years data/portal access</t>
  </si>
  <si>
    <t>ADVC24</t>
  </si>
  <si>
    <t>APEX</t>
  </si>
  <si>
    <t>AIDVC24</t>
  </si>
  <si>
    <t>Blow Kings</t>
  </si>
  <si>
    <t>VDC 24-CF</t>
  </si>
  <si>
    <t xml:space="preserve">Nilkamal </t>
  </si>
  <si>
    <t>BBVC23</t>
  </si>
  <si>
    <t>AIVC44 LR</t>
  </si>
  <si>
    <t>BK-VC 1.7-CF</t>
  </si>
  <si>
    <t>BCVC44-A</t>
  </si>
  <si>
    <t>B  Medical</t>
  </si>
  <si>
    <t>RCW1</t>
  </si>
  <si>
    <t>AVC46</t>
  </si>
  <si>
    <t>AIVC46</t>
  </si>
  <si>
    <t>BK-VC 2.6-CF</t>
  </si>
  <si>
    <t>BCVC46</t>
  </si>
  <si>
    <t>RCW4</t>
  </si>
  <si>
    <t>BK-VC 3.4-CF</t>
  </si>
  <si>
    <t>5-15 L</t>
  </si>
  <si>
    <t>AICB243S</t>
  </si>
  <si>
    <t>CB-55-CF</t>
  </si>
  <si>
    <t>RCB324SS</t>
  </si>
  <si>
    <t>RCW8</t>
  </si>
  <si>
    <t>ACB264SL</t>
  </si>
  <si>
    <t>AICB156L</t>
  </si>
  <si>
    <t>CB-12-CF</t>
  </si>
  <si>
    <t>RCB264SL</t>
  </si>
  <si>
    <t>RCW12</t>
  </si>
  <si>
    <t>&gt;15L</t>
  </si>
  <si>
    <t>AICB444L</t>
  </si>
  <si>
    <t>RCB246LS</t>
  </si>
  <si>
    <t>ACB503L</t>
  </si>
  <si>
    <t>AICB503L</t>
  </si>
  <si>
    <t>CB-20-CF</t>
  </si>
  <si>
    <t>RCB444L-A</t>
  </si>
  <si>
    <t>RCW25</t>
  </si>
  <si>
    <t>_18. Ice packs</t>
  </si>
  <si>
    <t>0.3L</t>
  </si>
  <si>
    <t>AIP3</t>
  </si>
  <si>
    <t>AIIP03</t>
  </si>
  <si>
    <t>BK V4H</t>
  </si>
  <si>
    <t>BIP-3</t>
  </si>
  <si>
    <t>Icepack 0.3L - set of 24</t>
  </si>
  <si>
    <t>0.4L</t>
  </si>
  <si>
    <t>AIP4</t>
  </si>
  <si>
    <t>AIIP04</t>
  </si>
  <si>
    <t>BK 4</t>
  </si>
  <si>
    <t>BIP-4</t>
  </si>
  <si>
    <t>0.6L</t>
  </si>
  <si>
    <t>AIP6</t>
  </si>
  <si>
    <t>AIIP06</t>
  </si>
  <si>
    <t>BK 6</t>
  </si>
  <si>
    <t>BIP-6</t>
  </si>
  <si>
    <t>Icepack 0.6L - set of 24</t>
  </si>
  <si>
    <t>_19. Spare parts for new ILR equipment without freezer</t>
  </si>
  <si>
    <t>_20. Spare parts for new ILR equipment with freezer</t>
  </si>
  <si>
    <t>_21. Spare parts for new freezer equipment</t>
  </si>
  <si>
    <t>_22. Spare parts for new SDD without freezer comp.</t>
  </si>
  <si>
    <t>_23. Spare parts for new SDD with freezer comp.</t>
  </si>
  <si>
    <t>_24. Spare parts for new SDD freezer</t>
  </si>
  <si>
    <t>_19. Запасные части для новых фармацевтических холодильников</t>
  </si>
  <si>
    <t>_18. Пакеты со льдом</t>
  </si>
  <si>
    <t>_20. Запасные части для новых фармацевтических холодильников с морозильной камерой</t>
  </si>
  <si>
    <t>_21. Запасные части для новых морозильных камер</t>
  </si>
  <si>
    <t>_22. Запасные части для новых SDD без морозильной камеры.</t>
  </si>
  <si>
    <t>_23. Запасные части для новых SDD с морозильной камерой.</t>
  </si>
  <si>
    <t>_24. Запасные части для новых морозильных камер SDD</t>
  </si>
  <si>
    <t xml:space="preserve">          b) Для целей бюджетного планирования была указана ориентировочная стоимость международных перевозок за единицу, хотя она может варьироваться в     
               зависимости от пункта назначения: доставка в морской порт по сравнению со странами, не имеющими выхода к морю. </t>
  </si>
  <si>
    <t>_1. Холодовые комнаты</t>
  </si>
  <si>
    <t>Стоимость международных грузоперевозок за единицу (Холодовые комнаты- Категория 1,2 )</t>
  </si>
  <si>
    <t>Стоимость международных грузоперевозок за единицу (холодильники / морозильники- Категория 5-10 )</t>
  </si>
  <si>
    <t>_11. Устройство контроля температуры_30DTR</t>
  </si>
  <si>
    <t>Стоимость международных грузоперевозок за единицу (Устройство контроля температуры- Категория 11 )</t>
  </si>
  <si>
    <t>_12. Удаленные устройства контроля температуры_УУКТ</t>
  </si>
  <si>
    <t>Стоимость международных грузоперевозок за единицу (Удаленные устройства контроля температуры- Категория 12 )</t>
  </si>
  <si>
    <t>_13. Стандартные сумки-холодильники</t>
  </si>
  <si>
    <t>Стоимость международных грузоперевозок за единицу (носители вакцины- Категория 13,14 )</t>
  </si>
  <si>
    <t>Стоимость международных грузоперевозок за единицу (холодильная камера- Категория 15,16 )</t>
  </si>
  <si>
    <t>Стоимость международных грузоперевозок за единицу (регуляторы напряжения- Категория 17 )</t>
  </si>
  <si>
    <t>Стоимость международных грузоперевозок за единицу (пакеты со льдом- Категория 18 )</t>
  </si>
  <si>
    <t>GVR 25 Lite DC</t>
  </si>
  <si>
    <t xml:space="preserve">d) RTMD является обязательным для CCE центрального / регионального уровня. Для прогулки в холодных и / или морозильных камерах выберите подходящий стабилизатор напряжения.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</si>
</sst>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#,##0.0"/>
    <numFmt numFmtId="166" formatCode="0.0%"/>
    <numFmt numFmtId="167" formatCode="&quot;$&quot;#,##0"/>
    <numFmt numFmtId="168" formatCode="[$$-409]#,##0_ ;\-[$$-409]#,##0\ "/>
    <numFmt numFmtId="169" formatCode="[$$-409]#,##0"/>
    <numFmt numFmtId="170" formatCode="[$$-2C09]#,##0"/>
    <numFmt numFmtId="171" formatCode="&quot;$&quot;#,##0.00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u/>
      <sz val="14"/>
      <color theme="8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8"/>
      <color theme="5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4C6E7"/>
        <bgColor indexed="64"/>
      </patternFill>
    </fill>
  </fills>
  <borders count="82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4"/>
      </top>
      <bottom style="medium">
        <color theme="4"/>
      </bottom>
      <diagonal/>
    </border>
    <border>
      <left style="medium">
        <color indexed="64"/>
      </left>
      <right/>
      <top/>
      <bottom style="medium">
        <color theme="4"/>
      </bottom>
      <diagonal/>
    </border>
    <border>
      <left/>
      <right style="medium">
        <color indexed="64"/>
      </right>
      <top/>
      <bottom style="medium">
        <color theme="4"/>
      </bottom>
      <diagonal/>
    </border>
    <border>
      <left style="medium">
        <color indexed="64"/>
      </left>
      <right/>
      <top style="medium">
        <color theme="4"/>
      </top>
      <bottom/>
      <diagonal/>
    </border>
    <border>
      <left/>
      <right style="medium">
        <color indexed="64"/>
      </right>
      <top style="medium">
        <color theme="4"/>
      </top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164" fontId="10" fillId="0" borderId="0" applyFont="0" applyFill="0" applyBorder="0" applyAlignment="0" applyProtection="0"/>
  </cellStyleXfs>
  <cellXfs count="352">
    <xf numFmtId="0" fontId="0" fillId="0" borderId="0" xfId="0"/>
    <xf numFmtId="0" fontId="0" fillId="0" borderId="6" xfId="0" applyBorder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3" fontId="0" fillId="0" borderId="9" xfId="0" applyNumberFormat="1" applyBorder="1" applyAlignment="1">
      <alignment vertical="center"/>
    </xf>
    <xf numFmtId="0" fontId="1" fillId="15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15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vertical="top" wrapText="1"/>
    </xf>
    <xf numFmtId="0" fontId="0" fillId="5" borderId="9" xfId="0" applyFill="1" applyBorder="1" applyAlignment="1">
      <alignment vertical="center" wrapText="1"/>
    </xf>
    <xf numFmtId="0" fontId="4" fillId="16" borderId="9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4" fillId="8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10" borderId="9" xfId="0" applyFill="1" applyBorder="1" applyAlignment="1">
      <alignment vertical="center" wrapText="1"/>
    </xf>
    <xf numFmtId="0" fontId="0" fillId="11" borderId="9" xfId="0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0" fillId="0" borderId="9" xfId="0" applyFont="1" applyBorder="1" applyAlignment="1">
      <alignment horizontal="left" vertical="center" wrapText="1"/>
    </xf>
    <xf numFmtId="37" fontId="1" fillId="15" borderId="15" xfId="0" applyNumberFormat="1" applyFont="1" applyFill="1" applyBorder="1" applyAlignment="1">
      <alignment horizontal="center" vertical="center" wrapText="1"/>
    </xf>
    <xf numFmtId="37" fontId="1" fillId="15" borderId="14" xfId="0" applyNumberFormat="1" applyFont="1" applyFill="1" applyBorder="1" applyAlignment="1">
      <alignment horizontal="center" vertical="center" wrapText="1"/>
    </xf>
    <xf numFmtId="37" fontId="0" fillId="0" borderId="9" xfId="0" applyNumberFormat="1" applyFont="1" applyBorder="1" applyAlignment="1">
      <alignment vertical="center" wrapText="1"/>
    </xf>
    <xf numFmtId="37" fontId="0" fillId="0" borderId="0" xfId="0" applyNumberFormat="1"/>
    <xf numFmtId="165" fontId="0" fillId="0" borderId="9" xfId="0" applyNumberFormat="1" applyBorder="1" applyAlignment="1">
      <alignment horizontal="right" vertical="center"/>
    </xf>
    <xf numFmtId="165" fontId="0" fillId="12" borderId="9" xfId="0" applyNumberFormat="1" applyFill="1" applyBorder="1" applyAlignment="1">
      <alignment horizontal="right" vertical="center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5" borderId="9" xfId="0" applyFont="1" applyFill="1" applyBorder="1" applyAlignment="1" applyProtection="1">
      <alignment vertical="center" wrapText="1"/>
      <protection locked="0"/>
    </xf>
    <xf numFmtId="0" fontId="0" fillId="0" borderId="9" xfId="0" applyFont="1" applyBorder="1" applyAlignment="1" applyProtection="1">
      <alignment vertical="center" wrapText="1"/>
      <protection locked="0"/>
    </xf>
    <xf numFmtId="0" fontId="3" fillId="6" borderId="9" xfId="0" applyFont="1" applyFill="1" applyBorder="1" applyAlignment="1" applyProtection="1">
      <alignment vertical="center" wrapText="1"/>
      <protection locked="0"/>
    </xf>
    <xf numFmtId="0" fontId="1" fillId="16" borderId="9" xfId="0" applyFont="1" applyFill="1" applyBorder="1" applyAlignment="1" applyProtection="1">
      <alignment vertical="center" wrapText="1"/>
      <protection locked="0"/>
    </xf>
    <xf numFmtId="0" fontId="3" fillId="13" borderId="9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4" borderId="9" xfId="0" applyFont="1" applyFill="1" applyBorder="1" applyAlignment="1" applyProtection="1">
      <alignment vertical="center" wrapText="1"/>
      <protection locked="0"/>
    </xf>
    <xf numFmtId="0" fontId="3" fillId="7" borderId="9" xfId="0" applyFont="1" applyFill="1" applyBorder="1" applyAlignment="1" applyProtection="1">
      <alignment vertical="center" wrapText="1"/>
      <protection locked="0"/>
    </xf>
    <xf numFmtId="0" fontId="3" fillId="9" borderId="9" xfId="0" applyFont="1" applyFill="1" applyBorder="1" applyAlignment="1" applyProtection="1">
      <alignment vertical="center" wrapText="1"/>
      <protection locked="0"/>
    </xf>
    <xf numFmtId="0" fontId="3" fillId="10" borderId="9" xfId="0" applyFont="1" applyFill="1" applyBorder="1" applyAlignment="1" applyProtection="1">
      <alignment vertical="center" wrapText="1"/>
      <protection locked="0"/>
    </xf>
    <xf numFmtId="0" fontId="3" fillId="11" borderId="9" xfId="0" applyFont="1" applyFill="1" applyBorder="1" applyAlignment="1" applyProtection="1">
      <alignment vertical="center" wrapText="1"/>
      <protection locked="0"/>
    </xf>
    <xf numFmtId="0" fontId="6" fillId="14" borderId="9" xfId="0" applyFont="1" applyFill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37" fontId="0" fillId="0" borderId="0" xfId="0" applyNumberFormat="1" applyProtection="1">
      <protection locked="0"/>
    </xf>
    <xf numFmtId="0" fontId="2" fillId="0" borderId="0" xfId="0" applyFont="1" applyBorder="1" applyAlignment="1">
      <alignment vertical="top" wrapText="1"/>
    </xf>
    <xf numFmtId="0" fontId="0" fillId="0" borderId="0" xfId="0" applyProtection="1">
      <protection locked="0"/>
    </xf>
    <xf numFmtId="0" fontId="0" fillId="0" borderId="20" xfId="0" applyFont="1" applyBorder="1" applyAlignment="1">
      <alignment vertical="center"/>
    </xf>
    <xf numFmtId="0" fontId="0" fillId="0" borderId="6" xfId="0" applyBorder="1" applyAlignment="1">
      <alignment wrapText="1"/>
    </xf>
    <xf numFmtId="0" fontId="12" fillId="0" borderId="0" xfId="0" applyFont="1"/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/>
      <protection locked="0"/>
    </xf>
    <xf numFmtId="0" fontId="12" fillId="0" borderId="6" xfId="0" applyFont="1" applyBorder="1"/>
    <xf numFmtId="0" fontId="12" fillId="0" borderId="0" xfId="0" applyFont="1" applyAlignment="1">
      <alignment vertical="top"/>
    </xf>
    <xf numFmtId="0" fontId="13" fillId="0" borderId="12" xfId="0" applyFont="1" applyBorder="1" applyAlignment="1"/>
    <xf numFmtId="0" fontId="13" fillId="0" borderId="13" xfId="0" applyFont="1" applyBorder="1" applyAlignment="1"/>
    <xf numFmtId="0" fontId="0" fillId="0" borderId="0" xfId="0" applyFont="1" applyProtection="1">
      <protection locked="0"/>
    </xf>
    <xf numFmtId="0" fontId="0" fillId="0" borderId="0" xfId="0" applyFont="1"/>
    <xf numFmtId="0" fontId="13" fillId="0" borderId="16" xfId="0" applyFont="1" applyBorder="1" applyAlignment="1"/>
    <xf numFmtId="0" fontId="0" fillId="0" borderId="0" xfId="0" applyFont="1" applyBorder="1" applyAlignment="1">
      <alignment vertical="center" wrapText="1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horizontal="right" vertical="center" wrapText="1"/>
    </xf>
    <xf numFmtId="37" fontId="0" fillId="0" borderId="26" xfId="0" applyNumberFormat="1" applyFont="1" applyBorder="1" applyAlignment="1" applyProtection="1">
      <alignment vertical="center" wrapText="1"/>
      <protection locked="0"/>
    </xf>
    <xf numFmtId="37" fontId="0" fillId="0" borderId="27" xfId="0" applyNumberFormat="1" applyFont="1" applyBorder="1" applyAlignment="1">
      <alignment vertical="center" wrapText="1"/>
    </xf>
    <xf numFmtId="37" fontId="1" fillId="15" borderId="8" xfId="0" applyNumberFormat="1" applyFont="1" applyFill="1" applyBorder="1" applyAlignment="1">
      <alignment horizontal="center" vertical="center" wrapText="1"/>
    </xf>
    <xf numFmtId="37" fontId="1" fillId="15" borderId="29" xfId="0" applyNumberFormat="1" applyFont="1" applyFill="1" applyBorder="1" applyAlignment="1">
      <alignment horizontal="center" vertical="center" wrapText="1"/>
    </xf>
    <xf numFmtId="37" fontId="1" fillId="15" borderId="30" xfId="0" applyNumberFormat="1" applyFont="1" applyFill="1" applyBorder="1" applyAlignment="1">
      <alignment horizontal="center" vertical="center" wrapText="1"/>
    </xf>
    <xf numFmtId="37" fontId="1" fillId="15" borderId="31" xfId="0" applyNumberFormat="1" applyFont="1" applyFill="1" applyBorder="1" applyAlignment="1">
      <alignment horizontal="center" vertical="center" wrapText="1"/>
    </xf>
    <xf numFmtId="37" fontId="5" fillId="15" borderId="14" xfId="0" applyNumberFormat="1" applyFont="1" applyFill="1" applyBorder="1" applyAlignment="1">
      <alignment horizontal="center" vertical="center" wrapText="1"/>
    </xf>
    <xf numFmtId="37" fontId="1" fillId="15" borderId="32" xfId="0" applyNumberFormat="1" applyFont="1" applyFill="1" applyBorder="1" applyAlignment="1">
      <alignment horizontal="center" vertical="center" wrapText="1"/>
    </xf>
    <xf numFmtId="37" fontId="5" fillId="15" borderId="33" xfId="0" applyNumberFormat="1" applyFont="1" applyFill="1" applyBorder="1" applyAlignment="1">
      <alignment horizontal="center" vertical="center" wrapText="1"/>
    </xf>
    <xf numFmtId="37" fontId="1" fillId="15" borderId="28" xfId="0" applyNumberFormat="1" applyFont="1" applyFill="1" applyBorder="1" applyAlignment="1">
      <alignment horizontal="center" vertical="center" wrapText="1"/>
    </xf>
    <xf numFmtId="0" fontId="0" fillId="6" borderId="9" xfId="0" applyFill="1" applyBorder="1" applyAlignment="1">
      <alignment vertical="center" wrapText="1"/>
    </xf>
    <xf numFmtId="0" fontId="0" fillId="0" borderId="9" xfId="0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14" borderId="9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7" xfId="0" applyBorder="1"/>
    <xf numFmtId="37" fontId="0" fillId="0" borderId="9" xfId="0" applyNumberFormat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0" fontId="4" fillId="20" borderId="34" xfId="0" applyFont="1" applyFill="1" applyBorder="1"/>
    <xf numFmtId="0" fontId="4" fillId="20" borderId="35" xfId="0" applyFont="1" applyFill="1" applyBorder="1" applyAlignment="1">
      <alignment horizontal="center" vertical="center"/>
    </xf>
    <xf numFmtId="167" fontId="0" fillId="0" borderId="38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21" borderId="0" xfId="0" applyFont="1" applyFill="1" applyBorder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37" fontId="0" fillId="0" borderId="10" xfId="0" applyNumberFormat="1" applyBorder="1" applyAlignment="1">
      <alignment horizontal="center" vertical="center"/>
    </xf>
    <xf numFmtId="167" fontId="0" fillId="0" borderId="47" xfId="0" applyNumberFormat="1" applyBorder="1" applyAlignment="1">
      <alignment horizontal="center" vertical="center"/>
    </xf>
    <xf numFmtId="0" fontId="4" fillId="20" borderId="48" xfId="0" applyFont="1" applyFill="1" applyBorder="1" applyAlignment="1">
      <alignment horizontal="center" vertical="center"/>
    </xf>
    <xf numFmtId="0" fontId="0" fillId="0" borderId="0" xfId="0" applyFont="1" applyBorder="1"/>
    <xf numFmtId="0" fontId="11" fillId="0" borderId="42" xfId="0" applyFont="1" applyBorder="1" applyAlignment="1" applyProtection="1">
      <alignment horizontal="left" vertical="top" wrapText="1"/>
      <protection locked="0"/>
    </xf>
    <xf numFmtId="0" fontId="11" fillId="0" borderId="52" xfId="0" applyFont="1" applyBorder="1" applyAlignment="1" applyProtection="1">
      <alignment horizontal="left" vertical="top"/>
      <protection locked="0"/>
    </xf>
    <xf numFmtId="0" fontId="11" fillId="0" borderId="43" xfId="0" applyFont="1" applyBorder="1" applyAlignment="1" applyProtection="1">
      <alignment horizontal="left" vertical="top"/>
      <protection locked="0"/>
    </xf>
    <xf numFmtId="0" fontId="0" fillId="0" borderId="42" xfId="0" applyFont="1" applyBorder="1"/>
    <xf numFmtId="0" fontId="0" fillId="0" borderId="43" xfId="0" applyFont="1" applyBorder="1"/>
    <xf numFmtId="0" fontId="6" fillId="0" borderId="42" xfId="0" applyFont="1" applyBorder="1" applyAlignment="1">
      <alignment horizontal="left" vertical="top" wrapText="1"/>
    </xf>
    <xf numFmtId="0" fontId="2" fillId="0" borderId="42" xfId="0" applyFont="1" applyBorder="1" applyAlignment="1">
      <alignment vertical="top" wrapText="1"/>
    </xf>
    <xf numFmtId="0" fontId="2" fillId="0" borderId="43" xfId="0" applyFont="1" applyBorder="1" applyAlignment="1">
      <alignment vertical="top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1" fillId="0" borderId="42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8" fillId="0" borderId="42" xfId="1" quotePrefix="1" applyBorder="1" applyAlignment="1" applyProtection="1">
      <alignment horizontal="left" vertical="top"/>
      <protection locked="0"/>
    </xf>
    <xf numFmtId="0" fontId="24" fillId="0" borderId="42" xfId="0" applyFont="1" applyBorder="1" applyAlignment="1" applyProtection="1">
      <alignment horizontal="left" vertical="top"/>
      <protection locked="0"/>
    </xf>
    <xf numFmtId="37" fontId="0" fillId="0" borderId="10" xfId="0" applyNumberFormat="1" applyFont="1" applyBorder="1" applyAlignment="1">
      <alignment horizontal="right" vertical="center" wrapText="1"/>
    </xf>
    <xf numFmtId="0" fontId="4" fillId="20" borderId="35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 applyProtection="1">
      <alignment vertical="center" wrapText="1"/>
      <protection locked="0"/>
    </xf>
    <xf numFmtId="0" fontId="0" fillId="24" borderId="9" xfId="0" applyFill="1" applyBorder="1" applyAlignment="1">
      <alignment vertical="center" wrapText="1"/>
    </xf>
    <xf numFmtId="0" fontId="0" fillId="25" borderId="9" xfId="0" applyFill="1" applyBorder="1" applyAlignment="1">
      <alignment vertical="center" wrapText="1"/>
    </xf>
    <xf numFmtId="0" fontId="0" fillId="26" borderId="9" xfId="0" applyFill="1" applyBorder="1" applyAlignment="1">
      <alignment vertical="center" wrapText="1"/>
    </xf>
    <xf numFmtId="0" fontId="0" fillId="27" borderId="9" xfId="0" applyFill="1" applyBorder="1" applyAlignment="1">
      <alignment vertical="center" wrapText="1"/>
    </xf>
    <xf numFmtId="0" fontId="4" fillId="19" borderId="9" xfId="0" applyFont="1" applyFill="1" applyBorder="1" applyAlignment="1">
      <alignment vertical="center" wrapText="1"/>
    </xf>
    <xf numFmtId="0" fontId="4" fillId="28" borderId="9" xfId="0" applyFont="1" applyFill="1" applyBorder="1" applyAlignment="1">
      <alignment vertical="center" wrapText="1"/>
    </xf>
    <xf numFmtId="0" fontId="8" fillId="0" borderId="43" xfId="1" applyBorder="1" applyAlignment="1">
      <alignment horizontal="left" vertical="top" wrapText="1"/>
    </xf>
    <xf numFmtId="37" fontId="0" fillId="0" borderId="9" xfId="0" applyNumberFormat="1" applyFont="1" applyBorder="1" applyAlignment="1" applyProtection="1">
      <alignment vertical="center" wrapText="1"/>
      <protection hidden="1"/>
    </xf>
    <xf numFmtId="0" fontId="0" fillId="0" borderId="0" xfId="0" applyBorder="1" applyAlignment="1">
      <alignment vertical="center" wrapText="1"/>
    </xf>
    <xf numFmtId="0" fontId="1" fillId="15" borderId="29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vertical="center"/>
    </xf>
    <xf numFmtId="165" fontId="0" fillId="0" borderId="10" xfId="0" applyNumberFormat="1" applyBorder="1" applyAlignment="1">
      <alignment horizontal="right" vertical="center"/>
    </xf>
    <xf numFmtId="0" fontId="1" fillId="15" borderId="22" xfId="0" applyFont="1" applyFill="1" applyBorder="1" applyAlignment="1">
      <alignment horizontal="center" vertical="center" wrapText="1"/>
    </xf>
    <xf numFmtId="3" fontId="0" fillId="0" borderId="25" xfId="0" applyNumberForma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68" xfId="0" applyNumberFormat="1" applyBorder="1" applyAlignment="1">
      <alignment vertical="center"/>
    </xf>
    <xf numFmtId="3" fontId="0" fillId="0" borderId="36" xfId="0" applyNumberFormat="1" applyFont="1" applyBorder="1" applyAlignment="1">
      <alignment vertical="center"/>
    </xf>
    <xf numFmtId="3" fontId="0" fillId="0" borderId="37" xfId="0" applyNumberFormat="1" applyFont="1" applyBorder="1" applyAlignment="1">
      <alignment vertical="center"/>
    </xf>
    <xf numFmtId="3" fontId="0" fillId="0" borderId="69" xfId="0" applyNumberFormat="1" applyBorder="1" applyAlignment="1">
      <alignment vertical="center"/>
    </xf>
    <xf numFmtId="165" fontId="0" fillId="0" borderId="25" xfId="0" applyNumberFormat="1" applyBorder="1" applyAlignment="1">
      <alignment horizontal="right" vertical="center"/>
    </xf>
    <xf numFmtId="0" fontId="1" fillId="15" borderId="73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6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3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3" fontId="0" fillId="0" borderId="74" xfId="0" applyNumberFormat="1" applyBorder="1" applyAlignment="1">
      <alignment vertical="center"/>
    </xf>
    <xf numFmtId="3" fontId="9" fillId="0" borderId="29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right" vertical="center" wrapText="1"/>
    </xf>
    <xf numFmtId="0" fontId="0" fillId="0" borderId="36" xfId="0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0" fillId="0" borderId="42" xfId="0" applyBorder="1"/>
    <xf numFmtId="0" fontId="0" fillId="0" borderId="0" xfId="0" applyBorder="1"/>
    <xf numFmtId="0" fontId="0" fillId="0" borderId="43" xfId="0" applyBorder="1"/>
    <xf numFmtId="0" fontId="0" fillId="0" borderId="4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7" fillId="0" borderId="2" xfId="0" applyNumberFormat="1" applyFont="1" applyBorder="1" applyAlignment="1" applyProtection="1">
      <alignment horizontal="left" vertical="top" wrapText="1"/>
      <protection locked="0"/>
    </xf>
    <xf numFmtId="3" fontId="9" fillId="0" borderId="36" xfId="0" applyNumberFormat="1" applyFont="1" applyFill="1" applyBorder="1" applyAlignment="1">
      <alignment horizontal="center" vertical="center" wrapText="1"/>
    </xf>
    <xf numFmtId="3" fontId="9" fillId="0" borderId="68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  <protection hidden="1"/>
    </xf>
    <xf numFmtId="0" fontId="0" fillId="0" borderId="0" xfId="0" quotePrefix="1" applyFont="1" applyAlignment="1" applyProtection="1">
      <alignment vertical="center"/>
      <protection locked="0"/>
    </xf>
    <xf numFmtId="0" fontId="0" fillId="0" borderId="43" xfId="0" quotePrefix="1" applyBorder="1"/>
    <xf numFmtId="0" fontId="8" fillId="0" borderId="42" xfId="1" quotePrefix="1" applyBorder="1"/>
    <xf numFmtId="0" fontId="0" fillId="0" borderId="42" xfId="0" applyBorder="1"/>
    <xf numFmtId="0" fontId="0" fillId="0" borderId="0" xfId="0" applyBorder="1"/>
    <xf numFmtId="0" fontId="0" fillId="0" borderId="43" xfId="0" applyBorder="1"/>
    <xf numFmtId="0" fontId="0" fillId="0" borderId="42" xfId="0" quotePrefix="1" applyBorder="1" applyAlignment="1">
      <alignment horizontal="left" vertical="center" wrapText="1" indent="4"/>
    </xf>
    <xf numFmtId="0" fontId="0" fillId="0" borderId="0" xfId="0" quotePrefix="1" applyBorder="1" applyAlignment="1">
      <alignment horizontal="left" vertical="center" wrapText="1" indent="4"/>
    </xf>
    <xf numFmtId="0" fontId="0" fillId="0" borderId="43" xfId="0" quotePrefix="1" applyBorder="1" applyAlignment="1">
      <alignment horizontal="left" vertical="center" wrapText="1" indent="4"/>
    </xf>
    <xf numFmtId="37" fontId="0" fillId="31" borderId="8" xfId="0" applyNumberFormat="1" applyFill="1" applyBorder="1" applyAlignment="1">
      <alignment horizontal="center" vertical="center"/>
    </xf>
    <xf numFmtId="37" fontId="0" fillId="31" borderId="29" xfId="0" applyNumberFormat="1" applyFill="1" applyBorder="1" applyAlignment="1">
      <alignment horizontal="center" vertical="center"/>
    </xf>
    <xf numFmtId="0" fontId="17" fillId="31" borderId="72" xfId="0" applyFont="1" applyFill="1" applyBorder="1" applyAlignment="1">
      <alignment vertical="center" wrapText="1"/>
    </xf>
    <xf numFmtId="0" fontId="29" fillId="0" borderId="0" xfId="0" applyFont="1"/>
    <xf numFmtId="167" fontId="0" fillId="0" borderId="78" xfId="0" applyNumberFormat="1" applyBorder="1" applyAlignment="1">
      <alignment horizontal="center" vertical="center"/>
    </xf>
    <xf numFmtId="168" fontId="0" fillId="31" borderId="29" xfId="0" applyNumberFormat="1" applyFill="1" applyBorder="1" applyAlignment="1">
      <alignment horizontal="center" vertical="center"/>
    </xf>
    <xf numFmtId="169" fontId="0" fillId="31" borderId="9" xfId="0" applyNumberFormat="1" applyFill="1" applyBorder="1" applyAlignment="1">
      <alignment horizontal="center" vertical="center"/>
    </xf>
    <xf numFmtId="170" fontId="0" fillId="31" borderId="9" xfId="0" applyNumberFormat="1" applyFill="1" applyBorder="1" applyAlignment="1">
      <alignment horizontal="center" vertical="center"/>
    </xf>
    <xf numFmtId="0" fontId="1" fillId="15" borderId="79" xfId="0" applyFont="1" applyFill="1" applyBorder="1" applyAlignment="1">
      <alignment horizontal="center" vertical="center" wrapText="1"/>
    </xf>
    <xf numFmtId="0" fontId="1" fillId="15" borderId="80" xfId="0" applyFont="1" applyFill="1" applyBorder="1" applyAlignment="1">
      <alignment horizontal="center" vertical="center" wrapText="1"/>
    </xf>
    <xf numFmtId="3" fontId="9" fillId="0" borderId="81" xfId="0" applyNumberFormat="1" applyFont="1" applyFill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/>
    </xf>
    <xf numFmtId="3" fontId="0" fillId="0" borderId="68" xfId="0" applyNumberFormat="1" applyBorder="1" applyAlignment="1">
      <alignment horizontal="center" vertical="center"/>
    </xf>
    <xf numFmtId="0" fontId="9" fillId="0" borderId="0" xfId="0" applyFont="1" applyFill="1" applyAlignment="1" applyProtection="1">
      <alignment vertical="center"/>
      <protection locked="0"/>
    </xf>
    <xf numFmtId="0" fontId="23" fillId="15" borderId="14" xfId="0" quotePrefix="1" applyFont="1" applyFill="1" applyBorder="1" applyAlignment="1">
      <alignment horizontal="center" vertical="center" wrapText="1"/>
    </xf>
    <xf numFmtId="0" fontId="30" fillId="0" borderId="0" xfId="0" quotePrefix="1" applyFont="1" applyAlignment="1" applyProtection="1">
      <alignment vertical="center"/>
      <protection locked="0"/>
    </xf>
    <xf numFmtId="0" fontId="0" fillId="0" borderId="0" xfId="0" applyBorder="1" applyAlignment="1">
      <alignment vertical="center" wrapText="1"/>
    </xf>
    <xf numFmtId="0" fontId="0" fillId="30" borderId="9" xfId="0" applyFill="1" applyBorder="1" applyAlignment="1">
      <alignment vertical="center" wrapText="1"/>
    </xf>
    <xf numFmtId="0" fontId="0" fillId="32" borderId="9" xfId="0" applyFill="1" applyBorder="1" applyAlignment="1">
      <alignment vertical="center" wrapText="1"/>
    </xf>
    <xf numFmtId="0" fontId="6" fillId="5" borderId="49" xfId="0" applyFont="1" applyFill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right" vertical="center" wrapText="1"/>
    </xf>
    <xf numFmtId="37" fontId="0" fillId="0" borderId="9" xfId="0" applyNumberFormat="1" applyBorder="1" applyAlignment="1" applyProtection="1">
      <alignment vertical="center" wrapText="1"/>
      <protection locked="0"/>
    </xf>
    <xf numFmtId="37" fontId="0" fillId="8" borderId="9" xfId="0" applyNumberFormat="1" applyFill="1" applyBorder="1" applyAlignment="1" applyProtection="1">
      <alignment vertical="center" wrapText="1"/>
      <protection locked="0"/>
    </xf>
    <xf numFmtId="37" fontId="0" fillId="0" borderId="9" xfId="0" applyNumberFormat="1" applyFill="1" applyBorder="1" applyAlignment="1" applyProtection="1">
      <alignment vertical="center" wrapText="1"/>
      <protection locked="0"/>
    </xf>
    <xf numFmtId="37" fontId="0" fillId="0" borderId="9" xfId="0" applyNumberFormat="1" applyFont="1" applyBorder="1" applyAlignment="1" applyProtection="1">
      <alignment vertical="center" wrapText="1"/>
      <protection locked="0" hidden="1"/>
    </xf>
    <xf numFmtId="0" fontId="0" fillId="0" borderId="42" xfId="0" quotePrefix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43" xfId="0" applyFont="1" applyBorder="1" applyAlignment="1">
      <alignment vertical="top" wrapText="1"/>
    </xf>
    <xf numFmtId="0" fontId="6" fillId="0" borderId="42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0" fillId="0" borderId="4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9" fillId="0" borderId="42" xfId="0" quotePrefix="1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43" xfId="0" applyFont="1" applyBorder="1" applyAlignment="1">
      <alignment vertical="top" wrapText="1"/>
    </xf>
    <xf numFmtId="0" fontId="9" fillId="0" borderId="42" xfId="0" applyFont="1" applyBorder="1" applyAlignment="1">
      <alignment vertical="top" wrapText="1"/>
    </xf>
    <xf numFmtId="0" fontId="0" fillId="0" borderId="42" xfId="0" applyBorder="1"/>
    <xf numFmtId="0" fontId="0" fillId="0" borderId="0" xfId="0" applyBorder="1"/>
    <xf numFmtId="0" fontId="0" fillId="0" borderId="43" xfId="0" applyBorder="1"/>
    <xf numFmtId="0" fontId="21" fillId="0" borderId="42" xfId="0" applyFont="1" applyBorder="1"/>
    <xf numFmtId="0" fontId="21" fillId="0" borderId="0" xfId="0" applyFont="1" applyBorder="1"/>
    <xf numFmtId="0" fontId="21" fillId="0" borderId="43" xfId="0" applyFont="1" applyBorder="1"/>
    <xf numFmtId="0" fontId="17" fillId="0" borderId="42" xfId="0" applyFont="1" applyBorder="1"/>
    <xf numFmtId="0" fontId="17" fillId="0" borderId="0" xfId="0" applyFont="1" applyBorder="1"/>
    <xf numFmtId="0" fontId="17" fillId="0" borderId="43" xfId="0" applyFont="1" applyBorder="1"/>
    <xf numFmtId="0" fontId="0" fillId="0" borderId="42" xfId="0" quotePrefix="1" applyFont="1" applyBorder="1" applyAlignment="1">
      <alignment horizontal="left" vertical="center" wrapText="1"/>
    </xf>
    <xf numFmtId="0" fontId="0" fillId="0" borderId="0" xfId="0" quotePrefix="1" applyFont="1" applyBorder="1" applyAlignment="1">
      <alignment horizontal="left" vertical="center" wrapText="1"/>
    </xf>
    <xf numFmtId="0" fontId="0" fillId="0" borderId="43" xfId="0" quotePrefix="1" applyFont="1" applyBorder="1" applyAlignment="1">
      <alignment horizontal="left" vertical="center" wrapText="1"/>
    </xf>
    <xf numFmtId="0" fontId="0" fillId="0" borderId="4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55" xfId="0" applyBorder="1"/>
    <xf numFmtId="0" fontId="0" fillId="0" borderId="2" xfId="0" applyBorder="1"/>
    <xf numFmtId="0" fontId="0" fillId="0" borderId="56" xfId="0" applyBorder="1"/>
    <xf numFmtId="0" fontId="11" fillId="0" borderId="39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0" fontId="11" fillId="0" borderId="41" xfId="0" applyFont="1" applyBorder="1" applyAlignment="1">
      <alignment horizontal="left" vertical="top" wrapText="1"/>
    </xf>
    <xf numFmtId="0" fontId="11" fillId="5" borderId="3" xfId="0" applyFont="1" applyFill="1" applyBorder="1" applyAlignment="1" applyProtection="1">
      <alignment horizontal="left" vertical="top"/>
      <protection locked="0"/>
    </xf>
    <xf numFmtId="0" fontId="11" fillId="5" borderId="5" xfId="0" applyFont="1" applyFill="1" applyBorder="1" applyAlignment="1" applyProtection="1">
      <alignment horizontal="left" vertical="top"/>
      <protection locked="0"/>
    </xf>
    <xf numFmtId="0" fontId="11" fillId="5" borderId="4" xfId="0" applyFont="1" applyFill="1" applyBorder="1" applyAlignment="1" applyProtection="1">
      <alignment horizontal="left" vertical="top"/>
      <protection locked="0"/>
    </xf>
    <xf numFmtId="0" fontId="12" fillId="0" borderId="42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43" xfId="0" applyFont="1" applyBorder="1" applyProtection="1">
      <protection locked="0"/>
    </xf>
    <xf numFmtId="0" fontId="11" fillId="0" borderId="53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54" xfId="0" applyFont="1" applyBorder="1" applyAlignment="1">
      <alignment horizontal="left" vertical="top" wrapText="1"/>
    </xf>
    <xf numFmtId="0" fontId="21" fillId="0" borderId="0" xfId="0" applyFont="1"/>
    <xf numFmtId="0" fontId="0" fillId="0" borderId="42" xfId="0" quotePrefix="1" applyBorder="1" applyAlignment="1">
      <alignment horizontal="left" vertical="center" wrapText="1" indent="4"/>
    </xf>
    <xf numFmtId="0" fontId="0" fillId="0" borderId="0" xfId="0" quotePrefix="1" applyBorder="1" applyAlignment="1">
      <alignment horizontal="left" vertical="center" wrapText="1" indent="4"/>
    </xf>
    <xf numFmtId="0" fontId="0" fillId="0" borderId="43" xfId="0" quotePrefix="1" applyBorder="1" applyAlignment="1">
      <alignment horizontal="left" vertical="center" wrapText="1" indent="4"/>
    </xf>
    <xf numFmtId="0" fontId="0" fillId="0" borderId="42" xfId="0" quotePrefix="1" applyBorder="1" applyAlignment="1">
      <alignment horizontal="left" vertical="center" wrapText="1" indent="1"/>
    </xf>
    <xf numFmtId="0" fontId="0" fillId="0" borderId="0" xfId="0" quotePrefix="1" applyBorder="1" applyAlignment="1">
      <alignment horizontal="left" vertical="center" wrapText="1" indent="1"/>
    </xf>
    <xf numFmtId="0" fontId="0" fillId="0" borderId="43" xfId="0" quotePrefix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/>
    </xf>
    <xf numFmtId="0" fontId="17" fillId="5" borderId="50" xfId="0" applyFont="1" applyFill="1" applyBorder="1" applyAlignment="1" applyProtection="1">
      <alignment horizontal="center" vertical="center" wrapText="1"/>
      <protection locked="0"/>
    </xf>
    <xf numFmtId="0" fontId="17" fillId="5" borderId="77" xfId="0" applyFont="1" applyFill="1" applyBorder="1" applyAlignment="1" applyProtection="1">
      <alignment horizontal="center" vertical="center" wrapText="1"/>
      <protection locked="0"/>
    </xf>
    <xf numFmtId="0" fontId="17" fillId="5" borderId="5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0" fillId="5" borderId="39" xfId="0" applyFill="1" applyBorder="1" applyAlignment="1" applyProtection="1">
      <alignment horizontal="center"/>
      <protection locked="0"/>
    </xf>
    <xf numFmtId="0" fontId="0" fillId="5" borderId="40" xfId="0" applyFill="1" applyBorder="1" applyAlignment="1" applyProtection="1">
      <alignment horizontal="center"/>
      <protection locked="0"/>
    </xf>
    <xf numFmtId="0" fontId="0" fillId="5" borderId="41" xfId="0" applyFill="1" applyBorder="1" applyAlignment="1" applyProtection="1">
      <alignment horizontal="center"/>
      <protection locked="0"/>
    </xf>
    <xf numFmtId="0" fontId="0" fillId="5" borderId="42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43" xfId="0" applyFill="1" applyBorder="1" applyAlignment="1" applyProtection="1">
      <alignment horizontal="center"/>
      <protection locked="0"/>
    </xf>
    <xf numFmtId="0" fontId="0" fillId="5" borderId="44" xfId="0" applyFill="1" applyBorder="1" applyAlignment="1" applyProtection="1">
      <alignment horizontal="center"/>
      <protection locked="0"/>
    </xf>
    <xf numFmtId="0" fontId="0" fillId="5" borderId="45" xfId="0" applyFill="1" applyBorder="1" applyAlignment="1" applyProtection="1">
      <alignment horizontal="center"/>
      <protection locked="0"/>
    </xf>
    <xf numFmtId="0" fontId="0" fillId="5" borderId="46" xfId="0" applyFill="1" applyBorder="1" applyAlignment="1" applyProtection="1">
      <alignment horizontal="center"/>
      <protection locked="0"/>
    </xf>
    <xf numFmtId="0" fontId="32" fillId="19" borderId="32" xfId="0" applyFont="1" applyFill="1" applyBorder="1" applyAlignment="1">
      <alignment horizontal="left" vertical="center" wrapText="1"/>
    </xf>
    <xf numFmtId="0" fontId="32" fillId="19" borderId="57" xfId="0" applyFont="1" applyFill="1" applyBorder="1" applyAlignment="1">
      <alignment horizontal="left" vertical="center" wrapText="1"/>
    </xf>
    <xf numFmtId="0" fontId="32" fillId="19" borderId="58" xfId="0" applyFont="1" applyFill="1" applyBorder="1" applyAlignment="1">
      <alignment horizontal="left" vertical="center" wrapText="1"/>
    </xf>
    <xf numFmtId="167" fontId="9" fillId="0" borderId="26" xfId="4" applyNumberFormat="1" applyFont="1" applyFill="1" applyBorder="1" applyAlignment="1" applyProtection="1">
      <alignment vertical="center" wrapText="1"/>
      <protection locked="0"/>
    </xf>
    <xf numFmtId="167" fontId="9" fillId="0" borderId="27" xfId="4" applyNumberFormat="1" applyFont="1" applyFill="1" applyBorder="1" applyAlignment="1" applyProtection="1">
      <alignment vertical="center" wrapText="1"/>
      <protection locked="0"/>
    </xf>
    <xf numFmtId="171" fontId="9" fillId="0" borderId="26" xfId="4" applyNumberFormat="1" applyFont="1" applyFill="1" applyBorder="1" applyAlignment="1" applyProtection="1">
      <alignment vertical="center" wrapText="1"/>
      <protection locked="0"/>
    </xf>
    <xf numFmtId="171" fontId="9" fillId="0" borderId="27" xfId="4" applyNumberFormat="1" applyFont="1" applyFill="1" applyBorder="1" applyAlignment="1" applyProtection="1">
      <alignment vertical="center" wrapText="1"/>
      <protection locked="0"/>
    </xf>
    <xf numFmtId="0" fontId="1" fillId="17" borderId="10" xfId="0" applyFont="1" applyFill="1" applyBorder="1" applyAlignment="1">
      <alignment vertical="center" wrapText="1"/>
    </xf>
    <xf numFmtId="0" fontId="1" fillId="17" borderId="11" xfId="0" applyFont="1" applyFill="1" applyBorder="1" applyAlignment="1">
      <alignment vertical="center" wrapText="1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67" fontId="0" fillId="0" borderId="26" xfId="0" applyNumberFormat="1" applyFont="1" applyBorder="1" applyAlignment="1">
      <alignment horizontal="right" vertical="center" wrapText="1"/>
    </xf>
    <xf numFmtId="167" fontId="0" fillId="0" borderId="27" xfId="0" applyNumberFormat="1" applyFont="1" applyBorder="1" applyAlignment="1">
      <alignment horizontal="right" vertical="center" wrapText="1"/>
    </xf>
    <xf numFmtId="0" fontId="1" fillId="30" borderId="10" xfId="0" applyFont="1" applyFill="1" applyBorder="1" applyAlignment="1">
      <alignment horizontal="left" vertical="center" wrapText="1"/>
    </xf>
    <xf numFmtId="0" fontId="1" fillId="30" borderId="11" xfId="0" applyFont="1" applyFill="1" applyBorder="1" applyAlignment="1">
      <alignment horizontal="left" vertical="center" wrapText="1"/>
    </xf>
    <xf numFmtId="0" fontId="1" fillId="30" borderId="9" xfId="0" applyFont="1" applyFill="1" applyBorder="1" applyAlignment="1">
      <alignment horizontal="left"/>
    </xf>
    <xf numFmtId="167" fontId="9" fillId="0" borderId="75" xfId="4" applyNumberFormat="1" applyFont="1" applyFill="1" applyBorder="1" applyAlignment="1" applyProtection="1">
      <alignment horizontal="right" vertical="center" wrapText="1"/>
      <protection locked="0"/>
    </xf>
    <xf numFmtId="167" fontId="9" fillId="0" borderId="76" xfId="4" applyNumberFormat="1" applyFont="1" applyFill="1" applyBorder="1" applyAlignment="1" applyProtection="1">
      <alignment horizontal="right" vertical="center" wrapText="1"/>
      <protection locked="0"/>
    </xf>
    <xf numFmtId="166" fontId="9" fillId="0" borderId="26" xfId="2" applyNumberFormat="1" applyFont="1" applyFill="1" applyBorder="1" applyAlignment="1" applyProtection="1">
      <alignment vertical="center" wrapText="1"/>
      <protection locked="0"/>
    </xf>
    <xf numFmtId="166" fontId="9" fillId="0" borderId="27" xfId="2" applyNumberFormat="1" applyFont="1" applyFill="1" applyBorder="1" applyAlignment="1" applyProtection="1">
      <alignment vertical="center" wrapText="1"/>
      <protection locked="0"/>
    </xf>
    <xf numFmtId="167" fontId="0" fillId="0" borderId="26" xfId="0" applyNumberFormat="1" applyBorder="1" applyAlignment="1">
      <alignment vertical="center"/>
    </xf>
    <xf numFmtId="167" fontId="0" fillId="0" borderId="27" xfId="0" applyNumberFormat="1" applyBorder="1" applyAlignment="1">
      <alignment vertical="center"/>
    </xf>
    <xf numFmtId="0" fontId="1" fillId="19" borderId="60" xfId="0" applyFont="1" applyFill="1" applyBorder="1" applyAlignment="1">
      <alignment horizontal="left" vertical="center" wrapText="1"/>
    </xf>
    <xf numFmtId="0" fontId="1" fillId="19" borderId="0" xfId="0" applyFont="1" applyFill="1" applyBorder="1" applyAlignment="1">
      <alignment horizontal="left" vertical="center" wrapText="1"/>
    </xf>
    <xf numFmtId="0" fontId="1" fillId="19" borderId="61" xfId="0" applyFont="1" applyFill="1" applyBorder="1" applyAlignment="1">
      <alignment horizontal="left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23" fillId="15" borderId="8" xfId="0" quotePrefix="1" applyFont="1" applyFill="1" applyBorder="1" applyAlignment="1">
      <alignment horizontal="center" vertical="center" wrapText="1"/>
    </xf>
    <xf numFmtId="0" fontId="23" fillId="15" borderId="14" xfId="0" quotePrefix="1" applyFont="1" applyFill="1" applyBorder="1" applyAlignment="1">
      <alignment horizontal="center" vertical="center" wrapText="1"/>
    </xf>
    <xf numFmtId="0" fontId="1" fillId="23" borderId="62" xfId="0" applyFont="1" applyFill="1" applyBorder="1" applyAlignment="1">
      <alignment horizontal="left" vertical="center" wrapText="1"/>
    </xf>
    <xf numFmtId="0" fontId="1" fillId="23" borderId="63" xfId="0" applyFont="1" applyFill="1" applyBorder="1" applyAlignment="1">
      <alignment horizontal="left" vertical="center" wrapText="1"/>
    </xf>
    <xf numFmtId="0" fontId="1" fillId="23" borderId="64" xfId="0" applyFont="1" applyFill="1" applyBorder="1" applyAlignment="1">
      <alignment horizontal="left" vertical="center" wrapText="1"/>
    </xf>
    <xf numFmtId="167" fontId="0" fillId="0" borderId="65" xfId="0" applyNumberFormat="1" applyBorder="1" applyAlignment="1">
      <alignment vertical="center"/>
    </xf>
    <xf numFmtId="167" fontId="0" fillId="0" borderId="66" xfId="0" applyNumberFormat="1" applyBorder="1" applyAlignment="1">
      <alignment vertical="center"/>
    </xf>
    <xf numFmtId="0" fontId="1" fillId="18" borderId="32" xfId="0" applyFont="1" applyFill="1" applyBorder="1" applyAlignment="1">
      <alignment horizontal="left" vertical="center" wrapText="1"/>
    </xf>
    <xf numFmtId="0" fontId="1" fillId="18" borderId="57" xfId="0" applyFont="1" applyFill="1" applyBorder="1" applyAlignment="1">
      <alignment horizontal="left" vertical="center" wrapText="1"/>
    </xf>
    <xf numFmtId="0" fontId="1" fillId="18" borderId="58" xfId="0" applyFont="1" applyFill="1" applyBorder="1" applyAlignment="1">
      <alignment horizontal="left" vertical="center" wrapText="1"/>
    </xf>
    <xf numFmtId="0" fontId="1" fillId="18" borderId="29" xfId="0" applyFont="1" applyFill="1" applyBorder="1" applyAlignment="1">
      <alignment horizontal="left" vertical="center" wrapText="1"/>
    </xf>
    <xf numFmtId="0" fontId="1" fillId="18" borderId="21" xfId="0" applyFont="1" applyFill="1" applyBorder="1" applyAlignment="1">
      <alignment horizontal="left" vertical="center" wrapText="1"/>
    </xf>
    <xf numFmtId="0" fontId="1" fillId="18" borderId="59" xfId="0" applyFont="1" applyFill="1" applyBorder="1" applyAlignment="1">
      <alignment horizontal="left" vertical="center" wrapText="1"/>
    </xf>
    <xf numFmtId="0" fontId="1" fillId="22" borderId="10" xfId="0" applyFont="1" applyFill="1" applyBorder="1" applyAlignment="1">
      <alignment horizontal="left" vertical="center" wrapText="1"/>
    </xf>
    <xf numFmtId="0" fontId="1" fillId="22" borderId="11" xfId="0" applyFont="1" applyFill="1" applyBorder="1" applyAlignment="1">
      <alignment horizontal="left" vertical="center" wrapText="1"/>
    </xf>
    <xf numFmtId="0" fontId="1" fillId="30" borderId="10" xfId="0" applyFont="1" applyFill="1" applyBorder="1" applyAlignment="1">
      <alignment horizontal="left"/>
    </xf>
    <xf numFmtId="0" fontId="1" fillId="30" borderId="11" xfId="0" applyFont="1" applyFill="1" applyBorder="1" applyAlignment="1">
      <alignment horizontal="left"/>
    </xf>
    <xf numFmtId="0" fontId="1" fillId="30" borderId="25" xfId="0" applyFont="1" applyFill="1" applyBorder="1" applyAlignment="1">
      <alignment horizontal="left"/>
    </xf>
    <xf numFmtId="167" fontId="9" fillId="0" borderId="75" xfId="4" applyNumberFormat="1" applyFont="1" applyFill="1" applyBorder="1" applyAlignment="1" applyProtection="1">
      <alignment horizontal="right" vertical="center" wrapText="1"/>
    </xf>
    <xf numFmtId="167" fontId="9" fillId="0" borderId="76" xfId="4" applyNumberFormat="1" applyFont="1" applyFill="1" applyBorder="1" applyAlignment="1" applyProtection="1">
      <alignment horizontal="right" vertical="center" wrapText="1"/>
    </xf>
    <xf numFmtId="166" fontId="9" fillId="0" borderId="25" xfId="2" applyNumberFormat="1" applyFont="1" applyFill="1" applyBorder="1" applyAlignment="1" applyProtection="1">
      <alignment vertical="center" wrapText="1"/>
      <protection locked="0"/>
    </xf>
    <xf numFmtId="167" fontId="0" fillId="0" borderId="25" xfId="0" applyNumberFormat="1" applyBorder="1" applyAlignment="1">
      <alignment vertical="center"/>
    </xf>
    <xf numFmtId="0" fontId="27" fillId="29" borderId="62" xfId="0" applyFont="1" applyFill="1" applyBorder="1" applyAlignment="1" applyProtection="1">
      <alignment horizontal="center" wrapText="1"/>
      <protection locked="0"/>
    </xf>
    <xf numFmtId="0" fontId="27" fillId="29" borderId="67" xfId="0" applyFont="1" applyFill="1" applyBorder="1" applyAlignment="1" applyProtection="1">
      <alignment horizontal="center" wrapText="1"/>
      <protection locked="0"/>
    </xf>
    <xf numFmtId="0" fontId="27" fillId="11" borderId="70" xfId="0" applyFont="1" applyFill="1" applyBorder="1" applyAlignment="1" applyProtection="1">
      <alignment horizontal="center" vertical="center" wrapText="1"/>
      <protection locked="0"/>
    </xf>
    <xf numFmtId="0" fontId="27" fillId="11" borderId="71" xfId="0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8" fillId="0" borderId="18" xfId="1" applyBorder="1" applyAlignment="1">
      <alignment vertical="center"/>
    </xf>
    <xf numFmtId="0" fontId="8" fillId="0" borderId="19" xfId="1" applyBorder="1" applyAlignment="1">
      <alignment vertical="center"/>
    </xf>
    <xf numFmtId="0" fontId="8" fillId="0" borderId="20" xfId="1" applyBorder="1" applyAlignment="1">
      <alignment vertical="center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9" xfId="0" applyFill="1" applyBorder="1" applyAlignment="1">
      <alignment horizontal="right" vertical="center"/>
    </xf>
    <xf numFmtId="165" fontId="0" fillId="0" borderId="9" xfId="0" applyNumberFormat="1" applyFill="1" applyBorder="1" applyAlignment="1">
      <alignment horizontal="right" vertical="center"/>
    </xf>
    <xf numFmtId="3" fontId="0" fillId="0" borderId="10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vertical="center"/>
    </xf>
    <xf numFmtId="3" fontId="0" fillId="0" borderId="68" xfId="0" applyNumberFormat="1" applyFill="1" applyBorder="1" applyAlignment="1">
      <alignment vertical="center"/>
    </xf>
    <xf numFmtId="3" fontId="0" fillId="0" borderId="25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0" fontId="0" fillId="0" borderId="42" xfId="0" applyBorder="1" applyAlignment="1">
      <alignment horizontal="left" vertical="center" wrapText="1" indent="4"/>
    </xf>
    <xf numFmtId="0" fontId="0" fillId="0" borderId="0" xfId="0" applyBorder="1" applyAlignment="1">
      <alignment horizontal="left" vertical="center" indent="4"/>
    </xf>
    <xf numFmtId="0" fontId="0" fillId="0" borderId="43" xfId="0" applyBorder="1" applyAlignment="1">
      <alignment horizontal="left" vertical="center" indent="4"/>
    </xf>
  </cellXfs>
  <cellStyles count="5">
    <cellStyle name="Currency" xfId="4" builtinId="4"/>
    <cellStyle name="Hyperlink" xfId="1" builtinId="8"/>
    <cellStyle name="Normal" xfId="0" builtinId="0"/>
    <cellStyle name="Normal 2 112" xfId="3" xr:uid="{00000000-0005-0000-0000-000003000000}"/>
    <cellStyle name="Percent" xfId="2" builtinId="5"/>
  </cellStyles>
  <dxfs count="18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1"/>
      </font>
      <fill>
        <patternFill>
          <bgColor rgb="FF9999FF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9900C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CCCCFF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rgb="FFCCCCFF"/>
        </patternFill>
      </fill>
    </dxf>
    <dxf>
      <font>
        <color theme="1"/>
      </font>
      <fill>
        <patternFill>
          <bgColor rgb="FFCCCCFF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9900CC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b val="0"/>
        <i val="0"/>
        <strike val="0"/>
        <color theme="1"/>
      </font>
      <fill>
        <patternFill>
          <bgColor theme="1" tint="0.499984740745262"/>
        </patternFill>
      </fill>
    </dxf>
    <dxf>
      <font>
        <color theme="1"/>
      </font>
      <fill>
        <patternFill>
          <bgColor rgb="FF9999FF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9900C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CCCCFF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rgb="FFCCCCFF"/>
        </patternFill>
      </fill>
    </dxf>
    <dxf>
      <font>
        <color theme="1"/>
      </font>
      <fill>
        <patternFill>
          <bgColor rgb="FFCCCCFF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9900CC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b val="0"/>
        <i val="0"/>
        <strike val="0"/>
        <color theme="1"/>
      </font>
      <fill>
        <patternFill>
          <bgColor theme="1" tint="0.499984740745262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rgb="FFCCCCFF"/>
        </patternFill>
      </fill>
    </dxf>
    <dxf>
      <font>
        <color theme="1"/>
      </font>
      <fill>
        <patternFill>
          <bgColor rgb="FFCCCCFF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9900CC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9999FF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9900C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CCCCFF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lor theme="1"/>
      </font>
      <fill>
        <patternFill>
          <bgColor theme="1" tint="0.499984740745262"/>
        </patternFill>
      </fill>
    </dxf>
    <dxf>
      <font>
        <b val="0"/>
        <i val="0"/>
        <strike val="0"/>
        <color theme="1"/>
      </font>
      <fill>
        <patternFill>
          <bgColor theme="1" tint="0.499984740745262"/>
        </patternFill>
      </fill>
    </dxf>
    <dxf>
      <fill>
        <patternFill patternType="solid"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99FF"/>
      <color rgb="FFFFFF00"/>
      <color rgb="FFFFFF66"/>
      <color rgb="FF9900CC"/>
      <color rgb="FFCC00FF"/>
      <color rgb="FFFF99FF"/>
      <color rgb="FFFFCCFF"/>
      <color rgb="FFCC99FF"/>
      <color rgb="FFCCCCFF"/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ly.unicef.org/all-materials/cold-chain-equipment/refrigerator-spare-part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apps.who.int/immunization_standards/vaccine_quality/pqs_catalogue/PdfCatalogue.aspx?cat_typ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XFD63"/>
  <sheetViews>
    <sheetView showGridLines="0" tabSelected="1" zoomScale="80" zoomScaleNormal="80" workbookViewId="0">
      <selection sqref="A1:J1"/>
    </sheetView>
  </sheetViews>
  <sheetFormatPr defaultColWidth="0" defaultRowHeight="15" zeroHeight="1" x14ac:dyDescent="0.25"/>
  <cols>
    <col min="1" max="1" width="9" customWidth="1"/>
    <col min="2" max="7" width="9.140625" customWidth="1"/>
    <col min="8" max="9" width="15" customWidth="1"/>
    <col min="10" max="10" width="61.5703125" customWidth="1"/>
    <col min="11" max="12" width="9.140625" customWidth="1"/>
  </cols>
  <sheetData>
    <row r="1" spans="1:21 16384:16384" s="61" customFormat="1" ht="18.75" x14ac:dyDescent="0.3">
      <c r="A1" s="236" t="s">
        <v>348</v>
      </c>
      <c r="B1" s="237"/>
      <c r="C1" s="237"/>
      <c r="D1" s="237"/>
      <c r="E1" s="237"/>
      <c r="F1" s="237"/>
      <c r="G1" s="237"/>
      <c r="H1" s="237"/>
      <c r="I1" s="237"/>
      <c r="J1" s="238"/>
    </row>
    <row r="2" spans="1:21 16384:16384" s="61" customFormat="1" ht="19.5" thickBot="1" x14ac:dyDescent="0.35">
      <c r="A2" s="104"/>
      <c r="B2" s="62"/>
      <c r="C2" s="62"/>
      <c r="D2" s="62"/>
      <c r="E2" s="62"/>
      <c r="F2" s="62"/>
      <c r="G2" s="62"/>
      <c r="H2" s="62"/>
      <c r="I2" s="62"/>
      <c r="J2" s="172"/>
    </row>
    <row r="3" spans="1:21 16384:16384" s="61" customFormat="1" ht="19.5" thickBot="1" x14ac:dyDescent="0.35">
      <c r="A3" s="105" t="s">
        <v>361</v>
      </c>
      <c r="B3" s="63"/>
      <c r="C3" s="239"/>
      <c r="D3" s="240"/>
      <c r="E3" s="240"/>
      <c r="F3" s="240"/>
      <c r="G3" s="240"/>
      <c r="H3" s="240"/>
      <c r="I3" s="241"/>
      <c r="J3" s="106"/>
      <c r="XFD3" s="64"/>
    </row>
    <row r="4" spans="1:21 16384:16384" s="61" customFormat="1" ht="18.75" x14ac:dyDescent="0.3">
      <c r="A4" s="115"/>
      <c r="B4" s="116"/>
      <c r="C4" s="117"/>
      <c r="D4" s="117"/>
      <c r="E4" s="117"/>
      <c r="F4" s="117"/>
      <c r="G4" s="117"/>
      <c r="H4" s="117"/>
      <c r="I4" s="117"/>
      <c r="J4" s="106"/>
      <c r="XFD4" s="64"/>
    </row>
    <row r="5" spans="1:21 16384:16384" s="61" customFormat="1" ht="18.75" x14ac:dyDescent="0.3">
      <c r="A5" s="115"/>
      <c r="B5" s="116"/>
      <c r="C5" s="117"/>
      <c r="D5" s="117"/>
      <c r="E5" s="117"/>
      <c r="F5" s="117"/>
      <c r="G5" s="117"/>
      <c r="H5" s="117"/>
      <c r="I5" s="117"/>
      <c r="J5" s="106"/>
      <c r="XFD5" s="64"/>
    </row>
    <row r="6" spans="1:21 16384:16384" s="61" customFormat="1" ht="18.75" x14ac:dyDescent="0.3">
      <c r="A6" s="119" t="s">
        <v>139</v>
      </c>
      <c r="B6" s="116"/>
      <c r="C6" s="117"/>
      <c r="D6" s="117"/>
      <c r="E6" s="117"/>
      <c r="F6" s="117"/>
      <c r="G6" s="117"/>
      <c r="H6" s="117"/>
      <c r="I6" s="117"/>
      <c r="J6" s="106"/>
      <c r="XFD6" s="64"/>
    </row>
    <row r="7" spans="1:21 16384:16384" s="61" customFormat="1" ht="18.75" x14ac:dyDescent="0.3">
      <c r="A7" s="118" t="s">
        <v>140</v>
      </c>
      <c r="B7" s="116"/>
      <c r="C7" s="117"/>
      <c r="D7" s="117"/>
      <c r="E7" s="117"/>
      <c r="F7" s="117"/>
      <c r="G7" s="117"/>
      <c r="H7" s="117"/>
      <c r="I7" s="117"/>
      <c r="J7" s="106"/>
      <c r="XFD7" s="64"/>
    </row>
    <row r="8" spans="1:21 16384:16384" s="61" customFormat="1" ht="18.75" x14ac:dyDescent="0.3">
      <c r="A8" s="118" t="s">
        <v>138</v>
      </c>
      <c r="B8" s="116"/>
      <c r="C8" s="117"/>
      <c r="D8" s="117"/>
      <c r="E8" s="117"/>
      <c r="F8" s="117"/>
      <c r="G8" s="117"/>
      <c r="H8" s="117"/>
      <c r="I8" s="117"/>
      <c r="J8" s="106"/>
      <c r="XFD8" s="64"/>
    </row>
    <row r="9" spans="1:21 16384:16384" s="61" customFormat="1" ht="18.75" x14ac:dyDescent="0.3">
      <c r="A9" s="173" t="s">
        <v>142</v>
      </c>
      <c r="B9" s="116"/>
      <c r="C9" s="117"/>
      <c r="D9" s="117"/>
      <c r="E9" s="117"/>
      <c r="F9" s="117"/>
      <c r="G9" s="117"/>
      <c r="H9" s="117"/>
      <c r="I9" s="117"/>
      <c r="J9" s="106"/>
      <c r="XFD9" s="64"/>
    </row>
    <row r="10" spans="1:21 16384:16384" s="61" customFormat="1" ht="18.75" x14ac:dyDescent="0.3">
      <c r="A10" s="118" t="s">
        <v>141</v>
      </c>
      <c r="B10" s="116"/>
      <c r="C10" s="117"/>
      <c r="D10" s="117"/>
      <c r="E10" s="117"/>
      <c r="F10" s="117"/>
      <c r="G10" s="117"/>
      <c r="H10" s="117"/>
      <c r="I10" s="117"/>
      <c r="J10" s="106"/>
      <c r="XFD10" s="64"/>
    </row>
    <row r="11" spans="1:21 16384:16384" s="61" customFormat="1" ht="18.75" x14ac:dyDescent="0.3">
      <c r="A11" s="118" t="s">
        <v>143</v>
      </c>
      <c r="B11" s="116"/>
      <c r="C11" s="117"/>
      <c r="D11" s="117"/>
      <c r="E11" s="117"/>
      <c r="F11" s="117"/>
      <c r="G11" s="117"/>
      <c r="H11" s="117"/>
      <c r="I11" s="117"/>
      <c r="J11" s="106"/>
      <c r="XFD11" s="64"/>
    </row>
    <row r="12" spans="1:21 16384:16384" s="61" customFormat="1" ht="18.75" x14ac:dyDescent="0.3">
      <c r="A12" s="242"/>
      <c r="B12" s="243"/>
      <c r="C12" s="243"/>
      <c r="D12" s="243"/>
      <c r="E12" s="243"/>
      <c r="F12" s="243"/>
      <c r="G12" s="243"/>
      <c r="H12" s="243"/>
      <c r="I12" s="243"/>
      <c r="J12" s="244"/>
      <c r="P12" s="65"/>
      <c r="Q12" s="65"/>
      <c r="R12" s="65"/>
      <c r="S12" s="65"/>
      <c r="T12" s="65"/>
      <c r="U12" s="65"/>
      <c r="XFD12" s="64"/>
    </row>
    <row r="13" spans="1:21 16384:16384" s="61" customFormat="1" ht="19.5" thickBot="1" x14ac:dyDescent="0.35">
      <c r="A13" s="245" t="s">
        <v>74</v>
      </c>
      <c r="B13" s="246"/>
      <c r="C13" s="246"/>
      <c r="D13" s="246"/>
      <c r="E13" s="246"/>
      <c r="F13" s="246"/>
      <c r="G13" s="246"/>
      <c r="H13" s="246"/>
      <c r="I13" s="246"/>
      <c r="J13" s="247"/>
      <c r="XFD13" s="64"/>
    </row>
    <row r="14" spans="1:21 16384:16384" x14ac:dyDescent="0.25">
      <c r="A14" s="233"/>
      <c r="B14" s="234"/>
      <c r="C14" s="234"/>
      <c r="D14" s="234"/>
      <c r="E14" s="234"/>
      <c r="F14" s="234"/>
      <c r="G14" s="234"/>
      <c r="H14" s="234"/>
      <c r="I14" s="234"/>
      <c r="J14" s="235"/>
      <c r="XFD14" s="1"/>
    </row>
    <row r="15" spans="1:21 16384:16384" ht="36.75" customHeight="1" x14ac:dyDescent="0.25">
      <c r="A15" s="211" t="s">
        <v>349</v>
      </c>
      <c r="B15" s="212"/>
      <c r="C15" s="212"/>
      <c r="D15" s="212"/>
      <c r="E15" s="212"/>
      <c r="F15" s="212"/>
      <c r="G15" s="212"/>
      <c r="H15" s="212"/>
      <c r="I15" s="212"/>
      <c r="J15" s="213"/>
      <c r="XFD15" s="1"/>
    </row>
    <row r="16" spans="1:21 16384:16384" x14ac:dyDescent="0.25">
      <c r="A16" s="159"/>
      <c r="B16" s="160"/>
      <c r="C16" s="160"/>
      <c r="D16" s="160"/>
      <c r="E16" s="160"/>
      <c r="F16" s="160"/>
      <c r="G16" s="160"/>
      <c r="H16" s="160"/>
      <c r="I16" s="160"/>
      <c r="J16" s="161"/>
      <c r="XFD16" s="1"/>
    </row>
    <row r="17" spans="1:10 16384:16384" ht="27.75" customHeight="1" x14ac:dyDescent="0.25">
      <c r="A17" s="230" t="s">
        <v>357</v>
      </c>
      <c r="B17" s="219"/>
      <c r="C17" s="219"/>
      <c r="D17" s="219"/>
      <c r="E17" s="219"/>
      <c r="F17" s="219"/>
      <c r="G17" s="219"/>
      <c r="H17" s="219"/>
      <c r="I17" s="219"/>
      <c r="J17" s="220"/>
      <c r="XFD17" s="1"/>
    </row>
    <row r="18" spans="1:10 16384:16384" x14ac:dyDescent="0.25">
      <c r="A18" s="218"/>
      <c r="B18" s="219"/>
      <c r="C18" s="219"/>
      <c r="D18" s="219"/>
      <c r="E18" s="219"/>
      <c r="F18" s="219"/>
      <c r="G18" s="219"/>
      <c r="H18" s="219"/>
      <c r="I18" s="219"/>
      <c r="J18" s="220"/>
      <c r="XFD18" s="1"/>
    </row>
    <row r="19" spans="1:10 16384:16384" s="24" customFormat="1" ht="114" customHeight="1" x14ac:dyDescent="0.25">
      <c r="A19" s="230" t="s">
        <v>350</v>
      </c>
      <c r="B19" s="231"/>
      <c r="C19" s="231"/>
      <c r="D19" s="231"/>
      <c r="E19" s="231"/>
      <c r="F19" s="231"/>
      <c r="G19" s="231"/>
      <c r="H19" s="231"/>
      <c r="I19" s="231"/>
      <c r="J19" s="232"/>
      <c r="XFD19" s="60"/>
    </row>
    <row r="20" spans="1:10 16384:16384" s="24" customFormat="1" x14ac:dyDescent="0.25">
      <c r="A20" s="162"/>
      <c r="B20" s="163"/>
      <c r="C20" s="163"/>
      <c r="D20" s="163"/>
      <c r="E20" s="163"/>
      <c r="F20" s="163"/>
      <c r="G20" s="163"/>
      <c r="H20" s="163"/>
      <c r="I20" s="163"/>
      <c r="J20" s="164"/>
      <c r="XFD20" s="60"/>
    </row>
    <row r="21" spans="1:10 16384:16384" s="24" customFormat="1" ht="62.25" customHeight="1" x14ac:dyDescent="0.25">
      <c r="A21" s="230" t="s">
        <v>2175</v>
      </c>
      <c r="B21" s="231"/>
      <c r="C21" s="231"/>
      <c r="D21" s="231"/>
      <c r="E21" s="231"/>
      <c r="F21" s="231"/>
      <c r="G21" s="231"/>
      <c r="H21" s="231"/>
      <c r="I21" s="231"/>
      <c r="J21" s="232"/>
      <c r="XFD21" s="60"/>
    </row>
    <row r="22" spans="1:10 16384:16384" x14ac:dyDescent="0.25">
      <c r="A22" s="218"/>
      <c r="B22" s="219"/>
      <c r="C22" s="219"/>
      <c r="D22" s="219"/>
      <c r="E22" s="219"/>
      <c r="F22" s="219"/>
      <c r="G22" s="219"/>
      <c r="H22" s="219"/>
      <c r="I22" s="219"/>
      <c r="J22" s="220"/>
      <c r="XFD22" s="1"/>
    </row>
    <row r="23" spans="1:10 16384:16384" customFormat="1" ht="60" customHeight="1" x14ac:dyDescent="0.25">
      <c r="A23" s="230" t="s">
        <v>130</v>
      </c>
      <c r="B23" s="219"/>
      <c r="C23" s="219"/>
      <c r="D23" s="219"/>
      <c r="E23" s="219"/>
      <c r="F23" s="219"/>
      <c r="G23" s="219"/>
      <c r="H23" s="219"/>
      <c r="I23" s="219"/>
      <c r="J23" s="220"/>
      <c r="XFD23" s="1"/>
    </row>
    <row r="24" spans="1:10 16384:16384" customFormat="1" ht="60" customHeight="1" x14ac:dyDescent="0.25">
      <c r="A24" s="349" t="s">
        <v>2189</v>
      </c>
      <c r="B24" s="350"/>
      <c r="C24" s="350"/>
      <c r="D24" s="350"/>
      <c r="E24" s="350"/>
      <c r="F24" s="350"/>
      <c r="G24" s="350"/>
      <c r="H24" s="350"/>
      <c r="I24" s="350"/>
      <c r="J24" s="351"/>
      <c r="XFD24" s="1"/>
    </row>
    <row r="25" spans="1:10 16384:16384" customFormat="1" x14ac:dyDescent="0.25">
      <c r="A25" s="218"/>
      <c r="B25" s="219"/>
      <c r="C25" s="219"/>
      <c r="D25" s="219"/>
      <c r="E25" s="219"/>
      <c r="F25" s="219"/>
      <c r="G25" s="219"/>
      <c r="H25" s="219"/>
      <c r="I25" s="219"/>
      <c r="J25" s="220"/>
      <c r="XFD25" s="1"/>
    </row>
    <row r="26" spans="1:10 16384:16384" customFormat="1" ht="107.25" customHeight="1" x14ac:dyDescent="0.25">
      <c r="A26" s="211" t="s">
        <v>325</v>
      </c>
      <c r="B26" s="212"/>
      <c r="C26" s="212"/>
      <c r="D26" s="212"/>
      <c r="E26" s="212"/>
      <c r="F26" s="212"/>
      <c r="G26" s="212"/>
      <c r="H26" s="212"/>
      <c r="I26" s="212"/>
      <c r="J26" s="213"/>
      <c r="XFD26" s="1"/>
    </row>
    <row r="27" spans="1:10 16384:16384" customFormat="1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20"/>
      <c r="XFD27" s="1"/>
    </row>
    <row r="28" spans="1:10 16384:16384" customFormat="1" x14ac:dyDescent="0.25">
      <c r="A28" s="218" t="s">
        <v>132</v>
      </c>
      <c r="B28" s="219"/>
      <c r="C28" s="219"/>
      <c r="D28" s="219"/>
      <c r="E28" s="219"/>
      <c r="F28" s="219"/>
      <c r="G28" s="219"/>
      <c r="H28" s="219"/>
      <c r="I28" s="219"/>
      <c r="J28" s="220"/>
      <c r="XFD28" s="1"/>
    </row>
    <row r="29" spans="1:10 16384:16384" customFormat="1" x14ac:dyDescent="0.25">
      <c r="A29" s="221" t="s">
        <v>135</v>
      </c>
      <c r="B29" s="222"/>
      <c r="C29" s="222"/>
      <c r="D29" s="222"/>
      <c r="E29" s="222"/>
      <c r="F29" s="222"/>
      <c r="G29" s="222"/>
      <c r="H29" s="222"/>
      <c r="I29" s="222"/>
      <c r="J29" s="223"/>
      <c r="XFD29" s="1"/>
    </row>
    <row r="30" spans="1:10 16384:16384" customFormat="1" x14ac:dyDescent="0.25">
      <c r="A30" s="224"/>
      <c r="B30" s="225"/>
      <c r="C30" s="225"/>
      <c r="D30" s="225"/>
      <c r="E30" s="225"/>
      <c r="F30" s="225"/>
      <c r="G30" s="225"/>
      <c r="H30" s="225"/>
      <c r="I30" s="225"/>
      <c r="J30" s="226"/>
      <c r="XFD30" s="1"/>
    </row>
    <row r="31" spans="1:10 16384:16384" customFormat="1" x14ac:dyDescent="0.25">
      <c r="A31" s="221" t="s">
        <v>136</v>
      </c>
      <c r="B31" s="222"/>
      <c r="C31" s="222"/>
      <c r="D31" s="222"/>
      <c r="E31" s="222"/>
      <c r="F31" s="222"/>
      <c r="G31" s="222"/>
      <c r="H31" s="222"/>
      <c r="I31" s="222"/>
      <c r="J31" s="223"/>
      <c r="XFD31" s="1"/>
    </row>
    <row r="32" spans="1:10 16384:16384" customFormat="1" x14ac:dyDescent="0.25">
      <c r="A32" s="218"/>
      <c r="B32" s="219"/>
      <c r="C32" s="219"/>
      <c r="D32" s="219"/>
      <c r="E32" s="219"/>
      <c r="F32" s="219"/>
      <c r="G32" s="219"/>
      <c r="H32" s="219"/>
      <c r="I32" s="219"/>
      <c r="J32" s="220"/>
      <c r="XFD32" s="1"/>
    </row>
    <row r="33" spans="1:21 16384:16384" customFormat="1" x14ac:dyDescent="0.25">
      <c r="A33" s="159"/>
      <c r="B33" s="160"/>
      <c r="C33" s="160"/>
      <c r="D33" s="160"/>
      <c r="E33" s="160"/>
      <c r="F33" s="160"/>
      <c r="G33" s="160"/>
      <c r="H33" s="160"/>
      <c r="I33" s="160"/>
      <c r="J33" s="161"/>
      <c r="XFD33" s="1"/>
    </row>
    <row r="34" spans="1:21 16384:16384" customFormat="1" ht="29.25" customHeight="1" x14ac:dyDescent="0.25">
      <c r="A34" s="227" t="s">
        <v>133</v>
      </c>
      <c r="B34" s="228"/>
      <c r="C34" s="228"/>
      <c r="D34" s="228"/>
      <c r="E34" s="228"/>
      <c r="F34" s="228"/>
      <c r="G34" s="228"/>
      <c r="H34" s="228"/>
      <c r="I34" s="228"/>
      <c r="J34" s="229"/>
      <c r="XFD34" s="1"/>
    </row>
    <row r="35" spans="1:21 16384:16384" customFormat="1" x14ac:dyDescent="0.25">
      <c r="A35" s="107"/>
      <c r="B35" s="103"/>
      <c r="C35" s="103"/>
      <c r="D35" s="103"/>
      <c r="E35" s="103"/>
      <c r="F35" s="103"/>
      <c r="G35" s="103"/>
      <c r="H35" s="103"/>
      <c r="I35" s="103"/>
      <c r="J35" s="108"/>
      <c r="XFD35" s="1"/>
    </row>
    <row r="36" spans="1:21 16384:16384" customFormat="1" ht="15" customHeight="1" x14ac:dyDescent="0.25">
      <c r="A36" s="214" t="s">
        <v>134</v>
      </c>
      <c r="B36" s="215"/>
      <c r="C36" s="215"/>
      <c r="D36" s="215"/>
      <c r="E36" s="215"/>
      <c r="F36" s="215"/>
      <c r="G36" s="215"/>
      <c r="H36" s="215"/>
      <c r="I36" s="215"/>
      <c r="J36" s="216"/>
      <c r="P36" s="2"/>
      <c r="Q36" s="2"/>
      <c r="R36" s="2"/>
      <c r="S36" s="2"/>
      <c r="T36" s="2"/>
      <c r="U36" s="2"/>
    </row>
    <row r="37" spans="1:21 16384:16384" customFormat="1" x14ac:dyDescent="0.25">
      <c r="A37" s="217"/>
      <c r="B37" s="215"/>
      <c r="C37" s="215"/>
      <c r="D37" s="215"/>
      <c r="E37" s="215"/>
      <c r="F37" s="215"/>
      <c r="G37" s="215"/>
      <c r="H37" s="215"/>
      <c r="I37" s="215"/>
      <c r="J37" s="216"/>
      <c r="P37" s="2"/>
      <c r="Q37" s="2"/>
      <c r="R37" s="2"/>
      <c r="S37" s="2"/>
      <c r="T37" s="2"/>
      <c r="U37" s="2"/>
    </row>
    <row r="38" spans="1:21 16384:16384" customFormat="1" x14ac:dyDescent="0.25">
      <c r="A38" s="107"/>
      <c r="B38" s="103"/>
      <c r="C38" s="103"/>
      <c r="D38" s="103"/>
      <c r="E38" s="103"/>
      <c r="F38" s="103"/>
      <c r="G38" s="103"/>
      <c r="H38" s="103"/>
      <c r="I38" s="103"/>
      <c r="J38" s="108"/>
      <c r="XFD38" s="1"/>
    </row>
    <row r="39" spans="1:21 16384:16384" customFormat="1" ht="32.1" customHeight="1" x14ac:dyDescent="0.25">
      <c r="A39" s="208" t="s">
        <v>326</v>
      </c>
      <c r="B39" s="209"/>
      <c r="C39" s="209"/>
      <c r="D39" s="209"/>
      <c r="E39" s="209"/>
      <c r="F39" s="209"/>
      <c r="G39" s="209"/>
      <c r="H39" s="209"/>
      <c r="I39" s="209"/>
      <c r="J39" s="210"/>
      <c r="P39" s="2"/>
      <c r="Q39" s="2"/>
      <c r="R39" s="2"/>
      <c r="S39" s="2"/>
      <c r="T39" s="2"/>
      <c r="U39" s="2"/>
    </row>
    <row r="40" spans="1:21 16384:16384" customFormat="1" x14ac:dyDescent="0.25">
      <c r="A40" s="109"/>
      <c r="B40" s="157"/>
      <c r="C40" s="157"/>
      <c r="D40" s="157"/>
      <c r="E40" s="157"/>
      <c r="F40" s="157"/>
      <c r="G40" s="157"/>
      <c r="H40" s="157"/>
      <c r="I40" s="157"/>
      <c r="J40" s="158"/>
      <c r="P40" s="2"/>
      <c r="Q40" s="2"/>
      <c r="R40" s="2"/>
      <c r="S40" s="2"/>
      <c r="T40" s="2"/>
      <c r="U40" s="2"/>
    </row>
    <row r="41" spans="1:21 16384:16384" customFormat="1" ht="35.25" customHeight="1" x14ac:dyDescent="0.25">
      <c r="A41" s="208" t="s">
        <v>290</v>
      </c>
      <c r="B41" s="209"/>
      <c r="C41" s="209"/>
      <c r="D41" s="209"/>
      <c r="E41" s="209"/>
      <c r="F41" s="209"/>
      <c r="G41" s="209"/>
      <c r="H41" s="209"/>
      <c r="I41" s="209"/>
      <c r="J41" s="210"/>
      <c r="P41" s="2"/>
      <c r="Q41" s="2"/>
      <c r="R41" s="2"/>
      <c r="S41" s="2"/>
      <c r="T41" s="2"/>
      <c r="U41" s="2"/>
    </row>
    <row r="42" spans="1:21 16384:16384" customFormat="1" ht="30" x14ac:dyDescent="0.25">
      <c r="A42" s="109"/>
      <c r="B42" s="157"/>
      <c r="C42" s="157"/>
      <c r="D42" s="157"/>
      <c r="E42" s="157"/>
      <c r="F42" s="157"/>
      <c r="G42" s="157"/>
      <c r="H42" s="157"/>
      <c r="I42" s="157"/>
      <c r="J42" s="129" t="s">
        <v>222</v>
      </c>
      <c r="P42" s="2"/>
      <c r="Q42" s="2"/>
      <c r="R42" s="2"/>
      <c r="S42" s="2"/>
      <c r="T42" s="2"/>
      <c r="U42" s="2"/>
    </row>
    <row r="43" spans="1:21 16384:16384" customFormat="1" ht="34.5" customHeight="1" x14ac:dyDescent="0.25">
      <c r="A43" s="205" t="s">
        <v>347</v>
      </c>
      <c r="B43" s="206"/>
      <c r="C43" s="206"/>
      <c r="D43" s="206"/>
      <c r="E43" s="206"/>
      <c r="F43" s="206"/>
      <c r="G43" s="206"/>
      <c r="H43" s="206"/>
      <c r="I43" s="206"/>
      <c r="J43" s="207"/>
      <c r="XFD43" s="1"/>
    </row>
    <row r="44" spans="1:21 16384:16384" customFormat="1" x14ac:dyDescent="0.25">
      <c r="A44" s="110"/>
      <c r="B44" s="57"/>
      <c r="C44" s="57"/>
      <c r="D44" s="57"/>
      <c r="E44" s="57"/>
      <c r="F44" s="57"/>
      <c r="G44" s="57"/>
      <c r="H44" s="57"/>
      <c r="I44" s="57"/>
      <c r="J44" s="111"/>
      <c r="P44" s="2"/>
      <c r="Q44" s="2"/>
      <c r="R44" s="2"/>
      <c r="S44" s="2"/>
      <c r="T44" s="2"/>
      <c r="U44" s="2"/>
    </row>
    <row r="45" spans="1:21 16384:16384" customFormat="1" ht="29.25" customHeight="1" x14ac:dyDescent="0.25">
      <c r="A45" s="205" t="s">
        <v>346</v>
      </c>
      <c r="B45" s="206"/>
      <c r="C45" s="206"/>
      <c r="D45" s="206"/>
      <c r="E45" s="206"/>
      <c r="F45" s="206"/>
      <c r="G45" s="206"/>
      <c r="H45" s="206"/>
      <c r="I45" s="206"/>
      <c r="J45" s="207"/>
      <c r="P45" s="2"/>
      <c r="Q45" s="2"/>
      <c r="R45" s="2"/>
      <c r="S45" s="2"/>
      <c r="T45" s="2"/>
      <c r="U45" s="2"/>
    </row>
    <row r="46" spans="1:21 16384:16384" customFormat="1" x14ac:dyDescent="0.25">
      <c r="A46" s="159"/>
      <c r="B46" s="160"/>
      <c r="C46" s="160"/>
      <c r="D46" s="160"/>
      <c r="E46" s="160"/>
      <c r="F46" s="160"/>
      <c r="G46" s="160"/>
      <c r="H46" s="160"/>
      <c r="I46" s="160"/>
      <c r="J46" s="161"/>
    </row>
    <row r="47" spans="1:21 16384:16384" customFormat="1" ht="34.5" customHeight="1" x14ac:dyDescent="0.25">
      <c r="A47" s="230" t="s">
        <v>131</v>
      </c>
      <c r="B47" s="231"/>
      <c r="C47" s="231"/>
      <c r="D47" s="231"/>
      <c r="E47" s="231"/>
      <c r="F47" s="231"/>
      <c r="G47" s="231"/>
      <c r="H47" s="231"/>
      <c r="I47" s="231"/>
      <c r="J47" s="232"/>
    </row>
    <row r="48" spans="1:21 16384:16384" customFormat="1" x14ac:dyDescent="0.25">
      <c r="A48" s="159"/>
      <c r="B48" s="160"/>
      <c r="C48" s="160"/>
      <c r="D48" s="160"/>
      <c r="E48" s="160"/>
      <c r="F48" s="160"/>
      <c r="G48" s="160"/>
      <c r="H48" s="160"/>
      <c r="I48" s="160"/>
      <c r="J48" s="161"/>
    </row>
    <row r="49" spans="1:10" customFormat="1" x14ac:dyDescent="0.25">
      <c r="A49" s="159" t="s">
        <v>137</v>
      </c>
      <c r="B49" s="160"/>
      <c r="C49" s="160"/>
      <c r="D49" s="160"/>
      <c r="E49" s="160"/>
      <c r="F49" s="160"/>
      <c r="G49" s="160"/>
      <c r="H49" s="160"/>
      <c r="I49" s="160"/>
      <c r="J49" s="161"/>
    </row>
    <row r="50" spans="1:10" customFormat="1" ht="36" customHeight="1" x14ac:dyDescent="0.25">
      <c r="A50" s="252" t="s">
        <v>351</v>
      </c>
      <c r="B50" s="253"/>
      <c r="C50" s="253"/>
      <c r="D50" s="253"/>
      <c r="E50" s="253"/>
      <c r="F50" s="253"/>
      <c r="G50" s="253"/>
      <c r="H50" s="253"/>
      <c r="I50" s="253"/>
      <c r="J50" s="254"/>
    </row>
    <row r="51" spans="1:10" customFormat="1" ht="17.25" customHeight="1" x14ac:dyDescent="0.25">
      <c r="A51" s="177"/>
      <c r="B51" s="178"/>
      <c r="C51" s="178"/>
      <c r="D51" s="178"/>
      <c r="E51" s="178"/>
      <c r="F51" s="178"/>
      <c r="G51" s="178"/>
      <c r="H51" s="178"/>
      <c r="I51" s="178"/>
      <c r="J51" s="179"/>
    </row>
    <row r="52" spans="1:10" customFormat="1" ht="24.75" customHeight="1" x14ac:dyDescent="0.25">
      <c r="A52" s="249" t="s">
        <v>352</v>
      </c>
      <c r="B52" s="250"/>
      <c r="C52" s="250"/>
      <c r="D52" s="250"/>
      <c r="E52" s="250"/>
      <c r="F52" s="250"/>
      <c r="G52" s="250"/>
      <c r="H52" s="250"/>
      <c r="I52" s="250"/>
      <c r="J52" s="251"/>
    </row>
    <row r="53" spans="1:10" customFormat="1" x14ac:dyDescent="0.25">
      <c r="A53" s="159"/>
      <c r="B53" s="160"/>
      <c r="C53" s="160"/>
      <c r="D53" s="160"/>
      <c r="E53" s="160"/>
      <c r="F53" s="160"/>
      <c r="G53" s="160"/>
      <c r="H53" s="160"/>
      <c r="I53" s="160"/>
      <c r="J53" s="161"/>
    </row>
    <row r="54" spans="1:10" customFormat="1" x14ac:dyDescent="0.25">
      <c r="A54" s="249" t="s">
        <v>333</v>
      </c>
      <c r="B54" s="250"/>
      <c r="C54" s="250"/>
      <c r="D54" s="250"/>
      <c r="E54" s="250"/>
      <c r="F54" s="250"/>
      <c r="G54" s="250"/>
      <c r="H54" s="250"/>
      <c r="I54" s="250"/>
      <c r="J54" s="251"/>
    </row>
    <row r="55" spans="1:10" customFormat="1" x14ac:dyDescent="0.25">
      <c r="A55" s="174"/>
      <c r="B55" s="175"/>
      <c r="C55" s="175"/>
      <c r="D55" s="175"/>
      <c r="E55" s="175"/>
      <c r="F55" s="175"/>
      <c r="G55" s="175"/>
      <c r="H55" s="175"/>
      <c r="I55" s="175"/>
      <c r="J55" s="176"/>
    </row>
    <row r="56" spans="1:10" customFormat="1" ht="32.25" customHeight="1" x14ac:dyDescent="0.25">
      <c r="A56" s="249" t="s">
        <v>332</v>
      </c>
      <c r="B56" s="250"/>
      <c r="C56" s="250"/>
      <c r="D56" s="250"/>
      <c r="E56" s="250"/>
      <c r="F56" s="250"/>
      <c r="G56" s="250"/>
      <c r="H56" s="250"/>
      <c r="I56" s="250"/>
      <c r="J56" s="251"/>
    </row>
    <row r="57" spans="1:10" customFormat="1" x14ac:dyDescent="0.25">
      <c r="A57" s="159"/>
      <c r="B57" s="160"/>
      <c r="C57" s="160"/>
      <c r="D57" s="160"/>
      <c r="E57" s="160"/>
      <c r="F57" s="160"/>
      <c r="G57" s="160"/>
      <c r="H57" s="160"/>
      <c r="I57" s="160"/>
      <c r="J57" s="161"/>
    </row>
    <row r="58" spans="1:10" customFormat="1" x14ac:dyDescent="0.25">
      <c r="A58" s="218" t="s">
        <v>362</v>
      </c>
      <c r="B58" s="219"/>
      <c r="C58" s="219"/>
      <c r="D58" s="219"/>
      <c r="E58" s="219"/>
      <c r="F58" s="219"/>
      <c r="G58" s="219"/>
      <c r="H58" s="219"/>
      <c r="I58" s="219"/>
      <c r="J58" s="220"/>
    </row>
    <row r="59" spans="1:10" customFormat="1" x14ac:dyDescent="0.25">
      <c r="A59" s="221" t="s">
        <v>146</v>
      </c>
      <c r="B59" s="222"/>
      <c r="C59" s="222"/>
      <c r="D59" s="222"/>
      <c r="E59" s="222"/>
      <c r="F59" s="222"/>
      <c r="G59" s="222"/>
      <c r="H59" s="222"/>
      <c r="I59" s="222"/>
      <c r="J59" s="223"/>
    </row>
    <row r="60" spans="1:10" customFormat="1" x14ac:dyDescent="0.25">
      <c r="A60" s="159"/>
      <c r="B60" s="160"/>
      <c r="C60" s="160"/>
      <c r="D60" s="160"/>
      <c r="E60" s="160"/>
      <c r="F60" s="160"/>
      <c r="G60" s="160"/>
      <c r="H60" s="160"/>
      <c r="I60" s="160"/>
      <c r="J60" s="161"/>
    </row>
    <row r="61" spans="1:10" customFormat="1" x14ac:dyDescent="0.25">
      <c r="A61" s="221" t="s">
        <v>147</v>
      </c>
      <c r="B61" s="248"/>
      <c r="C61" s="248"/>
      <c r="D61" s="248"/>
      <c r="E61" s="248"/>
      <c r="F61" s="248"/>
      <c r="G61" s="248"/>
      <c r="H61" s="248"/>
      <c r="I61" s="248"/>
      <c r="J61" s="223"/>
    </row>
    <row r="62" spans="1:10" customFormat="1" x14ac:dyDescent="0.25">
      <c r="A62" s="159"/>
      <c r="B62" s="160"/>
      <c r="C62" s="160"/>
      <c r="D62" s="160"/>
      <c r="E62" s="160"/>
      <c r="F62" s="160"/>
      <c r="G62" s="160"/>
      <c r="H62" s="160"/>
      <c r="I62" s="160"/>
      <c r="J62" s="161"/>
    </row>
    <row r="63" spans="1:10" customFormat="1" ht="15.75" thickBot="1" x14ac:dyDescent="0.3">
      <c r="A63" s="112"/>
      <c r="B63" s="113"/>
      <c r="C63" s="113"/>
      <c r="D63" s="113"/>
      <c r="E63" s="113"/>
      <c r="F63" s="113"/>
      <c r="G63" s="113"/>
      <c r="H63" s="113"/>
      <c r="I63" s="113"/>
      <c r="J63" s="114"/>
    </row>
  </sheetData>
  <sheetProtection algorithmName="SHA-512" hashValue="XRP1qH+NhBNrBWGEH1ez+wR96Rlkf5KQhxyHqtInhH3svVU4LT/7B+75fjVDmXTvkQGQM+4ItBQKQnRbY7U9mg==" saltValue="fVB6kUM12FG+wpoqSk3atw==" spinCount="100000" sheet="1" objects="1" scenarios="1"/>
  <mergeCells count="35">
    <mergeCell ref="A61:J61"/>
    <mergeCell ref="A47:J47"/>
    <mergeCell ref="A56:J56"/>
    <mergeCell ref="A58:J58"/>
    <mergeCell ref="A59:J59"/>
    <mergeCell ref="A50:J50"/>
    <mergeCell ref="A52:J52"/>
    <mergeCell ref="A54:J54"/>
    <mergeCell ref="A14:J14"/>
    <mergeCell ref="A15:J15"/>
    <mergeCell ref="A17:J17"/>
    <mergeCell ref="A1:J1"/>
    <mergeCell ref="C3:I3"/>
    <mergeCell ref="A12:J12"/>
    <mergeCell ref="A13:J13"/>
    <mergeCell ref="A18:J18"/>
    <mergeCell ref="A19:J19"/>
    <mergeCell ref="A22:J22"/>
    <mergeCell ref="A23:J23"/>
    <mergeCell ref="A25:J25"/>
    <mergeCell ref="A21:J21"/>
    <mergeCell ref="A24:J24"/>
    <mergeCell ref="A43:J43"/>
    <mergeCell ref="A45:J45"/>
    <mergeCell ref="A39:J39"/>
    <mergeCell ref="A41:J41"/>
    <mergeCell ref="A26:J26"/>
    <mergeCell ref="A36:J37"/>
    <mergeCell ref="A27:J27"/>
    <mergeCell ref="A28:J28"/>
    <mergeCell ref="A29:J29"/>
    <mergeCell ref="A30:J30"/>
    <mergeCell ref="A31:J31"/>
    <mergeCell ref="A32:J32"/>
    <mergeCell ref="A34:J34"/>
  </mergeCells>
  <hyperlinks>
    <hyperlink ref="A7" location="'CCE Options Summary'!A1" display="'CCE Options Summary'" xr:uid="{00000000-0004-0000-0000-000000000000}"/>
    <hyperlink ref="A8" location="'Option A_CCE Model selection'!A1" display="'Option A_CCE Model selection'" xr:uid="{00000000-0004-0000-0000-000001000000}"/>
    <hyperlink ref="A10" location="'Option C_CCE Model selection'!A1" display="'Option C_CCE Model selection'" xr:uid="{00000000-0004-0000-0000-000002000000}"/>
    <hyperlink ref="A9" location="'Option B_CCE Model selection'!A1" display="'Option B_CCE Model selection'" xr:uid="{00000000-0004-0000-0000-000003000000}"/>
    <hyperlink ref="A11" location="'Specified CCE Model Price List'!A1" display="Specified CCE Model Price List'" xr:uid="{00000000-0004-0000-0000-000004000000}"/>
    <hyperlink ref="J42" r:id="rId1" xr:uid="{FCDD5688-CB02-47F8-B9C3-4BBE7A878BDB}"/>
  </hyperlinks>
  <pageMargins left="0.7" right="0.7" top="0.75" bottom="0.75" header="0.3" footer="0.3"/>
  <pageSetup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2:L35"/>
  <sheetViews>
    <sheetView showGridLines="0" topLeftCell="A10" workbookViewId="0">
      <selection activeCell="B11" sqref="B11"/>
    </sheetView>
  </sheetViews>
  <sheetFormatPr defaultRowHeight="15" x14ac:dyDescent="0.25"/>
  <cols>
    <col min="1" max="1" width="26.5703125" customWidth="1"/>
    <col min="2" max="2" width="18.5703125" customWidth="1"/>
    <col min="3" max="3" width="19.5703125" customWidth="1"/>
    <col min="4" max="4" width="19.85546875" customWidth="1"/>
    <col min="5" max="5" width="24.85546875" customWidth="1"/>
  </cols>
  <sheetData>
    <row r="2" spans="1:12" ht="28.5" x14ac:dyDescent="0.45">
      <c r="A2" s="91" t="s">
        <v>149</v>
      </c>
    </row>
    <row r="3" spans="1:12" x14ac:dyDescent="0.25">
      <c r="A3" s="255" t="s">
        <v>356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1:12" x14ac:dyDescent="0.2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x14ac:dyDescent="0.25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30" customHeight="1" x14ac:dyDescent="0.25">
      <c r="A6" s="259" t="s">
        <v>293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21" x14ac:dyDescent="0.25">
      <c r="A8" s="98" t="s">
        <v>331</v>
      </c>
      <c r="B8" s="99"/>
      <c r="C8" s="99"/>
      <c r="D8" s="99"/>
      <c r="E8" s="92"/>
      <c r="F8" s="92"/>
      <c r="G8" s="92"/>
      <c r="H8" s="92"/>
      <c r="I8" s="92"/>
      <c r="J8" s="92"/>
      <c r="K8" s="92"/>
      <c r="L8" s="92"/>
    </row>
    <row r="9" spans="1:12" ht="15.75" thickBot="1" x14ac:dyDescent="0.3"/>
    <row r="10" spans="1:12" ht="36" customHeight="1" x14ac:dyDescent="0.25">
      <c r="A10" s="93"/>
      <c r="B10" s="121" t="s">
        <v>127</v>
      </c>
      <c r="C10" s="94" t="s">
        <v>128</v>
      </c>
      <c r="D10" s="102" t="s">
        <v>129</v>
      </c>
      <c r="E10" s="199" t="s">
        <v>148</v>
      </c>
    </row>
    <row r="11" spans="1:12" ht="45" x14ac:dyDescent="0.25">
      <c r="A11" s="156" t="s">
        <v>353</v>
      </c>
      <c r="B11" s="90">
        <f ca="1">SUM('Option A_CCE Model selection'!J6:J21)-SUMIF('Option A_CCE Model selection'!M6:M36,"_3.",'Option A_CCE Model selection'!J6:J21)-SUMIF('Option A_CCE Model selection'!M6:M36,"_4.",'Option A_CCE Model selection'!J6:J21)</f>
        <v>0</v>
      </c>
      <c r="C11" s="90">
        <f ca="1">SUM('Option B_CCE Model selection'!J6:J21)-SUMIF('Option B_CCE Model selection'!M6:M36,"_3.",'Option B_CCE Model selection'!J6:J21)-SUMIF('Option B_CCE Model selection'!M6:M36,"_4.",'Option B_CCE Model selection'!J6:J21)</f>
        <v>0</v>
      </c>
      <c r="D11" s="100">
        <f ca="1">SUM('Option C_CCE Model selection'!J6:J21)-SUMIF('Option C_CCE Model selection'!M6:M36,"_3.",'Option C_CCE Model selection'!J6:J21)-SUMIF('Option C_CCE Model selection'!M6:M36,"_4.",'Option C_CCE Model selection'!J6:J21)</f>
        <v>0</v>
      </c>
      <c r="E11" s="256"/>
    </row>
    <row r="12" spans="1:12" ht="39.75" customHeight="1" x14ac:dyDescent="0.25">
      <c r="A12" s="182" t="s">
        <v>334</v>
      </c>
      <c r="B12" s="180">
        <f ca="1">SUMIF('Option A_CCE Model selection'!M6:M36,"_4.",'Option A_CCE Model selection'!J6:J21)</f>
        <v>0</v>
      </c>
      <c r="C12" s="180">
        <f ca="1">SUMIF('Option B_CCE Model selection'!M6:M36,"_4.",'Option B_CCE Model selection'!J6:J21)</f>
        <v>0</v>
      </c>
      <c r="D12" s="181">
        <f ca="1">SUMIF('Option C_CCE Model selection'!M6:M36,"_4.",'Option C_CCE Model selection'!J6:J21)</f>
        <v>0</v>
      </c>
      <c r="E12" s="257"/>
    </row>
    <row r="13" spans="1:12" ht="39.75" customHeight="1" x14ac:dyDescent="0.25">
      <c r="A13" s="182" t="s">
        <v>335</v>
      </c>
      <c r="B13" s="180">
        <f ca="1">SUMIF('Option A_CCE Model selection'!M6:M36,"_3.",'Option A_CCE Model selection'!J6:J21)</f>
        <v>0</v>
      </c>
      <c r="C13" s="180">
        <f ca="1">SUMIF('Option B_CCE Model selection'!M6:M36,"_3.",'Option B_CCE Model selection'!J6:J21)</f>
        <v>0</v>
      </c>
      <c r="D13" s="181">
        <f ca="1">SUMIF('Option C_CCE Model selection'!M6:M36,"_3.",'Option C_CCE Model selection'!J6:J21)</f>
        <v>0</v>
      </c>
      <c r="E13" s="257"/>
    </row>
    <row r="14" spans="1:12" ht="39.75" customHeight="1" x14ac:dyDescent="0.25">
      <c r="A14" s="182" t="s">
        <v>329</v>
      </c>
      <c r="B14" s="187">
        <f>'Option A_CCE Model selection'!J54+'Option A_CCE Model selection'!J56</f>
        <v>0</v>
      </c>
      <c r="C14" s="186">
        <f>'Option B_CCE Model selection'!J54+'Option B_CCE Model selection'!J56</f>
        <v>0</v>
      </c>
      <c r="D14" s="185">
        <f>'Option C_CCE Model selection'!J54+'Option C_CCE Model selection'!J56</f>
        <v>0</v>
      </c>
      <c r="E14" s="257"/>
    </row>
    <row r="15" spans="1:12" ht="31.5" customHeight="1" thickBot="1" x14ac:dyDescent="0.3">
      <c r="A15" s="89" t="s">
        <v>245</v>
      </c>
      <c r="B15" s="184">
        <f>'Option A_CCE Model selection'!J58</f>
        <v>0</v>
      </c>
      <c r="C15" s="95">
        <f>'Option B_CCE Model selection'!J58</f>
        <v>0</v>
      </c>
      <c r="D15" s="101">
        <f>'Option C_CCE Model selection'!J58</f>
        <v>0</v>
      </c>
      <c r="E15" s="258"/>
    </row>
    <row r="16" spans="1:12" x14ac:dyDescent="0.25">
      <c r="A16" s="97" t="s">
        <v>118</v>
      </c>
      <c r="B16" s="96" t="str">
        <f ca="1">IF(ISERROR(MIN($B$15/($B$11+$B$12+$B$13),$C$15/($C$11+$C$12+$C$13),$D$15/($D$11+$D$12+$D$13))),"",IF(MIN($B$15/($B$11+$B$12+$B$13),$C$15/($C$11+$C$12+$C$13),$D$15/($D$11+$D$12+$D$13))=B15/(B11+B12+B13),"X",""))</f>
        <v/>
      </c>
      <c r="C16" s="96" t="str">
        <f ca="1">IF(ISERROR(MIN($B$15/($B$11+$B$12+$B$13),$C$15/($C$11+$C$12+$C$13),$D$15/($D$11+$D$12+$D$13))),"",IF(MIN($B$15/($B$11+$B$12+$B$13),$C$15/($C$11+$C$12+$C$13),$D$15/($D$11+$D$12+$D$13))=C15/(C11+C12+C13),"X",""))</f>
        <v/>
      </c>
      <c r="D16" s="96" t="str">
        <f ca="1">IF(ISERROR(MIN($B$15/($B$11+$B$12+$B$13),$C$15/($C$11+$C$12+$C$13),$D$15/($D$11+$D$12+$D$13))),"",IF(MIN($B$15/($B$11+$B$12+$B$13),$C$15/($C$11+$C$12+$C$13),$D$15/($D$11+$D$12+$D$13))=D15/(D11+D12+D13),"X",""))</f>
        <v/>
      </c>
    </row>
    <row r="17" spans="1:10" x14ac:dyDescent="0.25">
      <c r="A17" s="183" t="s">
        <v>330</v>
      </c>
    </row>
    <row r="18" spans="1:10" x14ac:dyDescent="0.25">
      <c r="A18" s="144" t="s">
        <v>327</v>
      </c>
    </row>
    <row r="19" spans="1:10" x14ac:dyDescent="0.25">
      <c r="A19" s="144"/>
    </row>
    <row r="20" spans="1:10" ht="15.75" thickBot="1" x14ac:dyDescent="0.3">
      <c r="A20" s="144"/>
    </row>
    <row r="21" spans="1:10" x14ac:dyDescent="0.25">
      <c r="A21" s="260" t="s">
        <v>328</v>
      </c>
      <c r="B21" s="261"/>
      <c r="C21" s="261"/>
      <c r="D21" s="261"/>
      <c r="E21" s="261"/>
      <c r="F21" s="261"/>
      <c r="G21" s="261"/>
      <c r="H21" s="261"/>
      <c r="I21" s="261"/>
      <c r="J21" s="262"/>
    </row>
    <row r="22" spans="1:10" ht="15.75" thickBot="1" x14ac:dyDescent="0.3">
      <c r="A22" s="263"/>
      <c r="B22" s="264"/>
      <c r="C22" s="264"/>
      <c r="D22" s="264"/>
      <c r="E22" s="264"/>
      <c r="F22" s="264"/>
      <c r="G22" s="264"/>
      <c r="H22" s="264"/>
      <c r="I22" s="264"/>
      <c r="J22" s="265"/>
    </row>
    <row r="23" spans="1:10" x14ac:dyDescent="0.25">
      <c r="A23" s="266"/>
      <c r="B23" s="267"/>
      <c r="C23" s="267"/>
      <c r="D23" s="267"/>
      <c r="E23" s="267"/>
      <c r="F23" s="267"/>
      <c r="G23" s="267"/>
      <c r="H23" s="267"/>
      <c r="I23" s="267"/>
      <c r="J23" s="268"/>
    </row>
    <row r="24" spans="1:10" x14ac:dyDescent="0.25">
      <c r="A24" s="269"/>
      <c r="B24" s="270"/>
      <c r="C24" s="270"/>
      <c r="D24" s="270"/>
      <c r="E24" s="270"/>
      <c r="F24" s="270"/>
      <c r="G24" s="270"/>
      <c r="H24" s="270"/>
      <c r="I24" s="270"/>
      <c r="J24" s="271"/>
    </row>
    <row r="25" spans="1:10" x14ac:dyDescent="0.25">
      <c r="A25" s="269"/>
      <c r="B25" s="270"/>
      <c r="C25" s="270"/>
      <c r="D25" s="270"/>
      <c r="E25" s="270"/>
      <c r="F25" s="270"/>
      <c r="G25" s="270"/>
      <c r="H25" s="270"/>
      <c r="I25" s="270"/>
      <c r="J25" s="271"/>
    </row>
    <row r="26" spans="1:10" x14ac:dyDescent="0.25">
      <c r="A26" s="269"/>
      <c r="B26" s="270"/>
      <c r="C26" s="270"/>
      <c r="D26" s="270"/>
      <c r="E26" s="270"/>
      <c r="F26" s="270"/>
      <c r="G26" s="270"/>
      <c r="H26" s="270"/>
      <c r="I26" s="270"/>
      <c r="J26" s="271"/>
    </row>
    <row r="27" spans="1:10" x14ac:dyDescent="0.25">
      <c r="A27" s="269"/>
      <c r="B27" s="270"/>
      <c r="C27" s="270"/>
      <c r="D27" s="270"/>
      <c r="E27" s="270"/>
      <c r="F27" s="270"/>
      <c r="G27" s="270"/>
      <c r="H27" s="270"/>
      <c r="I27" s="270"/>
      <c r="J27" s="271"/>
    </row>
    <row r="28" spans="1:10" x14ac:dyDescent="0.25">
      <c r="A28" s="269"/>
      <c r="B28" s="270"/>
      <c r="C28" s="270"/>
      <c r="D28" s="270"/>
      <c r="E28" s="270"/>
      <c r="F28" s="270"/>
      <c r="G28" s="270"/>
      <c r="H28" s="270"/>
      <c r="I28" s="270"/>
      <c r="J28" s="271"/>
    </row>
    <row r="29" spans="1:10" x14ac:dyDescent="0.25">
      <c r="A29" s="269"/>
      <c r="B29" s="270"/>
      <c r="C29" s="270"/>
      <c r="D29" s="270"/>
      <c r="E29" s="270"/>
      <c r="F29" s="270"/>
      <c r="G29" s="270"/>
      <c r="H29" s="270"/>
      <c r="I29" s="270"/>
      <c r="J29" s="271"/>
    </row>
    <row r="30" spans="1:10" x14ac:dyDescent="0.25">
      <c r="A30" s="269"/>
      <c r="B30" s="270"/>
      <c r="C30" s="270"/>
      <c r="D30" s="270"/>
      <c r="E30" s="270"/>
      <c r="F30" s="270"/>
      <c r="G30" s="270"/>
      <c r="H30" s="270"/>
      <c r="I30" s="270"/>
      <c r="J30" s="271"/>
    </row>
    <row r="31" spans="1:10" x14ac:dyDescent="0.25">
      <c r="A31" s="269"/>
      <c r="B31" s="270"/>
      <c r="C31" s="270"/>
      <c r="D31" s="270"/>
      <c r="E31" s="270"/>
      <c r="F31" s="270"/>
      <c r="G31" s="270"/>
      <c r="H31" s="270"/>
      <c r="I31" s="270"/>
      <c r="J31" s="271"/>
    </row>
    <row r="32" spans="1:10" x14ac:dyDescent="0.25">
      <c r="A32" s="269"/>
      <c r="B32" s="270"/>
      <c r="C32" s="270"/>
      <c r="D32" s="270"/>
      <c r="E32" s="270"/>
      <c r="F32" s="270"/>
      <c r="G32" s="270"/>
      <c r="H32" s="270"/>
      <c r="I32" s="270"/>
      <c r="J32" s="271"/>
    </row>
    <row r="33" spans="1:10" x14ac:dyDescent="0.25">
      <c r="A33" s="269"/>
      <c r="B33" s="270"/>
      <c r="C33" s="270"/>
      <c r="D33" s="270"/>
      <c r="E33" s="270"/>
      <c r="F33" s="270"/>
      <c r="G33" s="270"/>
      <c r="H33" s="270"/>
      <c r="I33" s="270"/>
      <c r="J33" s="271"/>
    </row>
    <row r="34" spans="1:10" x14ac:dyDescent="0.25">
      <c r="A34" s="269"/>
      <c r="B34" s="270"/>
      <c r="C34" s="270"/>
      <c r="D34" s="270"/>
      <c r="E34" s="270"/>
      <c r="F34" s="270"/>
      <c r="G34" s="270"/>
      <c r="H34" s="270"/>
      <c r="I34" s="270"/>
      <c r="J34" s="271"/>
    </row>
    <row r="35" spans="1:10" ht="15.75" thickBot="1" x14ac:dyDescent="0.3">
      <c r="A35" s="272"/>
      <c r="B35" s="273"/>
      <c r="C35" s="273"/>
      <c r="D35" s="273"/>
      <c r="E35" s="273"/>
      <c r="F35" s="273"/>
      <c r="G35" s="273"/>
      <c r="H35" s="273"/>
      <c r="I35" s="273"/>
      <c r="J35" s="274"/>
    </row>
  </sheetData>
  <sheetProtection algorithmName="SHA-512" hashValue="KIyegr8AQnzzBDKsgVYt134oJg82rtFPHm+LRFWhxjMqWXiMCK+m9WWOkVyTM3pHxcZ6n03zgnUHh88tP1FhFQ==" saltValue="iM16H1qpFWUzhDRE3S5+bg==" spinCount="100000" sheet="1" objects="1" scenarios="1"/>
  <mergeCells count="5">
    <mergeCell ref="A3:L5"/>
    <mergeCell ref="E11:E15"/>
    <mergeCell ref="A6:L6"/>
    <mergeCell ref="A21:J22"/>
    <mergeCell ref="A23:J35"/>
  </mergeCells>
  <conditionalFormatting sqref="B11:B15">
    <cfRule type="expression" dxfId="182" priority="4">
      <formula>$B$16="X"</formula>
    </cfRule>
  </conditionalFormatting>
  <conditionalFormatting sqref="C11:C15">
    <cfRule type="expression" dxfId="181" priority="3">
      <formula>$C$16="X"</formula>
    </cfRule>
  </conditionalFormatting>
  <conditionalFormatting sqref="D11:D15">
    <cfRule type="expression" dxfId="180" priority="2">
      <formula>$D$16="X"</formula>
    </cfRule>
  </conditionalFormatting>
  <conditionalFormatting sqref="C14">
    <cfRule type="expression" dxfId="179" priority="1">
      <formula>$B$16="X"</formula>
    </cfRule>
  </conditionalFormatting>
  <dataValidations count="1">
    <dataValidation type="list" allowBlank="1" showInputMessage="1" showErrorMessage="1" promptTitle="Select final option" prompt="Select final option" sqref="E11:E15" xr:uid="{00000000-0002-0000-0100-000000000000}">
      <formula1>$B$10:$D$10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499984740745262"/>
    <pageSetUpPr fitToPage="1"/>
  </sheetPr>
  <dimension ref="A1:BW58"/>
  <sheetViews>
    <sheetView showGridLines="0" zoomScaleNormal="100" zoomScaleSheetLayoutView="100" workbookViewId="0"/>
  </sheetViews>
  <sheetFormatPr defaultColWidth="0" defaultRowHeight="27" customHeight="1" x14ac:dyDescent="0.25"/>
  <cols>
    <col min="1" max="2" width="30.42578125" customWidth="1"/>
    <col min="3" max="3" width="19.5703125" customWidth="1"/>
    <col min="4" max="4" width="15.42578125" customWidth="1"/>
    <col min="5" max="5" width="15.42578125" style="32" customWidth="1"/>
    <col min="6" max="6" width="11.42578125" style="32" bestFit="1" customWidth="1"/>
    <col min="7" max="7" width="13.42578125" style="32" bestFit="1" customWidth="1"/>
    <col min="8" max="8" width="21.42578125" style="32" bestFit="1" customWidth="1"/>
    <col min="9" max="9" width="14.42578125" style="32" bestFit="1" customWidth="1"/>
    <col min="10" max="11" width="12.42578125" style="32" customWidth="1"/>
    <col min="12" max="13" width="9.140625" style="36" customWidth="1"/>
    <col min="14" max="75" width="0" hidden="1" customWidth="1"/>
    <col min="76" max="16384" width="9.140625" hidden="1"/>
  </cols>
  <sheetData>
    <row r="1" spans="1:13" s="69" customFormat="1" ht="16.5" customHeight="1" thickTop="1" thickBot="1" x14ac:dyDescent="0.3">
      <c r="A1" s="66"/>
      <c r="B1" s="67"/>
      <c r="C1" s="67"/>
      <c r="D1" s="67"/>
      <c r="E1" s="67"/>
      <c r="F1" s="70"/>
      <c r="G1" s="70"/>
      <c r="H1" s="70"/>
      <c r="I1" s="70"/>
      <c r="J1" s="284" t="s">
        <v>90</v>
      </c>
      <c r="K1" s="285"/>
      <c r="L1" s="68"/>
      <c r="M1" s="68"/>
    </row>
    <row r="2" spans="1:13" s="6" customFormat="1" ht="60.75" customHeight="1" thickTop="1" x14ac:dyDescent="0.25">
      <c r="A2" s="7" t="s">
        <v>0</v>
      </c>
      <c r="B2" s="7"/>
      <c r="C2" s="7" t="s">
        <v>7</v>
      </c>
      <c r="D2" s="7" t="s">
        <v>6</v>
      </c>
      <c r="E2" s="29" t="s">
        <v>4</v>
      </c>
      <c r="F2" s="76" t="s">
        <v>57</v>
      </c>
      <c r="G2" s="76" t="s">
        <v>62</v>
      </c>
      <c r="H2" s="76" t="s">
        <v>61</v>
      </c>
      <c r="I2" s="77" t="s">
        <v>75</v>
      </c>
      <c r="J2" s="78" t="s">
        <v>1</v>
      </c>
      <c r="K2" s="79" t="s">
        <v>2</v>
      </c>
      <c r="L2" s="171"/>
      <c r="M2" s="53"/>
    </row>
    <row r="3" spans="1:13" s="11" customFormat="1" ht="45" customHeight="1" thickBot="1" x14ac:dyDescent="0.3">
      <c r="A3" s="9"/>
      <c r="B3" s="194" t="s">
        <v>355</v>
      </c>
      <c r="C3" s="10" t="s">
        <v>58</v>
      </c>
      <c r="D3" s="9"/>
      <c r="E3" s="30"/>
      <c r="F3" s="30"/>
      <c r="G3" s="30"/>
      <c r="H3" s="80" t="s">
        <v>59</v>
      </c>
      <c r="I3" s="81"/>
      <c r="J3" s="82" t="s">
        <v>60</v>
      </c>
      <c r="K3" s="83"/>
      <c r="L3" s="54"/>
      <c r="M3" s="54"/>
    </row>
    <row r="4" spans="1:13" s="11" customFormat="1" ht="45" customHeight="1" thickTop="1" x14ac:dyDescent="0.25">
      <c r="A4" s="302" t="s">
        <v>354</v>
      </c>
      <c r="B4" s="300" t="s">
        <v>363</v>
      </c>
      <c r="C4" s="7" t="s">
        <v>364</v>
      </c>
      <c r="D4" s="7" t="s">
        <v>365</v>
      </c>
      <c r="E4" s="29" t="s">
        <v>366</v>
      </c>
      <c r="F4" s="76" t="s">
        <v>367</v>
      </c>
      <c r="G4" s="76" t="s">
        <v>368</v>
      </c>
      <c r="H4" s="76" t="s">
        <v>369</v>
      </c>
      <c r="I4" s="77" t="s">
        <v>370</v>
      </c>
      <c r="J4" s="78" t="s">
        <v>371</v>
      </c>
      <c r="K4" s="79" t="s">
        <v>372</v>
      </c>
      <c r="L4" s="54"/>
      <c r="M4" s="54"/>
    </row>
    <row r="5" spans="1:13" s="25" customFormat="1" ht="27" customHeight="1" x14ac:dyDescent="0.25">
      <c r="A5" s="303"/>
      <c r="B5" s="301"/>
      <c r="C5" s="10" t="s">
        <v>374</v>
      </c>
      <c r="D5" s="9"/>
      <c r="E5" s="30"/>
      <c r="F5" s="30"/>
      <c r="G5" s="30"/>
      <c r="H5" s="80" t="s">
        <v>375</v>
      </c>
      <c r="I5" s="81"/>
      <c r="J5" s="82" t="s">
        <v>376</v>
      </c>
      <c r="K5" s="83"/>
      <c r="L5" s="55"/>
      <c r="M5" s="170" t="str">
        <f>LEFT(A5,3)</f>
        <v/>
      </c>
    </row>
    <row r="6" spans="1:13" s="25" customFormat="1" ht="27" customHeight="1" x14ac:dyDescent="0.25">
      <c r="A6" s="40" t="s">
        <v>257</v>
      </c>
      <c r="B6" s="40" t="s">
        <v>2176</v>
      </c>
      <c r="C6" s="41"/>
      <c r="D6" s="28" t="str">
        <f>IFERROR(INDEX('Specified CCE Model Price List'!$A$3:$O$278,MATCH('Option A_CCE Model selection'!$C6,'Specified CCE Model Price List'!$E$3:$E$278,0),MATCH('Option A_CCE Model selection'!D$4,'Specified CCE Model Price List'!$A$3:$O$3,0)),"")</f>
        <v/>
      </c>
      <c r="E6" s="31" t="str">
        <f>IFERROR(INDEX('Specified CCE Model Price List'!$A$3:$O$278,MATCH('Option A_CCE Model selection'!$C6,'Specified CCE Model Price List'!$E$3:$E$278,0),MATCH('Option A_CCE Model selection'!E$4,'Specified CCE Model Price List'!$A$3:$O$3,0)),"")</f>
        <v/>
      </c>
      <c r="F6" s="31" t="str">
        <f>IFERROR(INDEX('Specified CCE Model Price List'!$A$3:$O$278,MATCH('Option A_CCE Model selection'!$C6,'Specified CCE Model Price List'!$E$3:$E$278,0),MATCH('Option A_CCE Model selection'!F$4,'Specified CCE Model Price List'!$A$3:$O$3,0)),"")</f>
        <v/>
      </c>
      <c r="G6" s="130" t="str">
        <f>IFERROR(INDEX('Specified CCE Model Price List'!$A$3:$O$278,MATCH('Option A_CCE Model selection'!$C6,'Specified CCE Model Price List'!$E$3:$E$278,0),MATCH('Option A_CCE Model selection'!G$4,'Specified CCE Model Price List'!$A$3:$O$3,0)),"")</f>
        <v/>
      </c>
      <c r="H6" s="201"/>
      <c r="I6" s="120" t="str">
        <f>IFERROR(IF(OR(EXACT(A6,'Specified CCE Model Price List'!$AB$14),EXACT(A6,'Specified CCE Model Price List'!$AB$16),EXACT(A6,'Specified CCE Model Price List'!$AB$17),EXACT(A6,'Specified CCE Model Price List'!$AB$18),EXACT(A6,'Specified CCE Model Price List'!$AB$19),EXACT(A6,'Specified CCE Model Price List'!$AB$20),EXACT(A6,'Specified CCE Model Price List'!$AB$21),EXACT(A6,'Specified CCE Model Price List'!$AB$22),EXACT(A6,'Specified CCE Model Price List'!$AB$23),EXACT(A6,'Specified CCE Model Price List'!$AB$24),EXACT(A6,'Specified CCE Model Price List'!$AB$25),EXACT(A6,'Specified CCE Model Price List'!$AB$26),EXACT(A6,'Specified CCE Model Price List'!$AB$27)),"N/A",H6+G6),"")</f>
        <v/>
      </c>
      <c r="J6" s="74"/>
      <c r="K6" s="75" t="str">
        <f t="shared" ref="K6" si="0">IFERROR(IF(I6="N/A",G6*J6,I6*J6),"")</f>
        <v/>
      </c>
      <c r="L6" s="55"/>
      <c r="M6" s="170"/>
    </row>
    <row r="7" spans="1:13" s="25" customFormat="1" ht="27" customHeight="1" x14ac:dyDescent="0.25">
      <c r="A7" s="40" t="s">
        <v>377</v>
      </c>
      <c r="B7" s="40" t="s">
        <v>378</v>
      </c>
      <c r="C7" s="41"/>
      <c r="D7" s="28" t="str">
        <f>IFERROR(INDEX('Specified CCE Model Price List'!$A$3:$O$278,MATCH('Option A_CCE Model selection'!$C7,'Specified CCE Model Price List'!$E$3:$E$278,0),MATCH('Option A_CCE Model selection'!D$4,'Specified CCE Model Price List'!$A$3:$O$3,0)),"")</f>
        <v/>
      </c>
      <c r="E7" s="31" t="str">
        <f>IFERROR(INDEX('Specified CCE Model Price List'!$A$3:$O$278,MATCH('Option A_CCE Model selection'!$C7,'Specified CCE Model Price List'!$E$3:$E$278,0),MATCH('Option A_CCE Model selection'!E$4,'Specified CCE Model Price List'!$A$3:$O$3,0)),"")</f>
        <v/>
      </c>
      <c r="F7" s="31" t="str">
        <f>IFERROR(INDEX('Specified CCE Model Price List'!$A$3:$O$278,MATCH('Option A_CCE Model selection'!$C7,'Specified CCE Model Price List'!$E$3:$E$278,0),MATCH('Option A_CCE Model selection'!F$4,'Specified CCE Model Price List'!$A$3:$O$3,0)),"")</f>
        <v/>
      </c>
      <c r="G7" s="130" t="str">
        <f>IFERROR(INDEX('Specified CCE Model Price List'!$A$3:$O$278,MATCH('Option A_CCE Model selection'!$C7,'Specified CCE Model Price List'!$E$3:$E$278,0),MATCH('Option A_CCE Model selection'!G$4,'Specified CCE Model Price List'!$A$3:$O$3,0)),"")</f>
        <v/>
      </c>
      <c r="H7" s="201"/>
      <c r="I7" s="120" t="str">
        <f>IFERROR(IF(OR(EXACT(A7,'Specified CCE Model Price List'!$AB$14),EXACT(A7,'Specified CCE Model Price List'!$AB$16),EXACT(A7,'Specified CCE Model Price List'!$AB$17),EXACT(A7,'Specified CCE Model Price List'!$AB$18),EXACT(A7,'Specified CCE Model Price List'!$AB$19),EXACT(A7,'Specified CCE Model Price List'!$AB$20),EXACT(A7,'Specified CCE Model Price List'!$AB$21),EXACT(A7,'Specified CCE Model Price List'!$AB$22),EXACT(A7,'Specified CCE Model Price List'!$AB$23),EXACT(A7,'Specified CCE Model Price List'!$AB$24),EXACT(A7,'Specified CCE Model Price List'!$AB$25),EXACT(A7,'Specified CCE Model Price List'!$AB$26),EXACT(A7,'Specified CCE Model Price List'!$AB$27)),"N/A",H7+G7),"")</f>
        <v/>
      </c>
      <c r="J7" s="74"/>
      <c r="K7" s="75" t="str">
        <f t="shared" ref="K7:K36" si="1">IFERROR(IF(I7="N/A",G7*J7,I7*J7),"")</f>
        <v/>
      </c>
      <c r="L7" s="55"/>
      <c r="M7" s="170" t="str">
        <f t="shared" ref="M7:M36" si="2">LEFT(A7,3)</f>
        <v>_1.</v>
      </c>
    </row>
    <row r="8" spans="1:13" s="25" customFormat="1" ht="27" customHeight="1" x14ac:dyDescent="0.25">
      <c r="A8" s="40" t="s">
        <v>343</v>
      </c>
      <c r="B8" s="40" t="s">
        <v>379</v>
      </c>
      <c r="C8" s="41"/>
      <c r="D8" s="28" t="str">
        <f>IFERROR(INDEX('Specified CCE Model Price List'!$A$3:$O$278,MATCH('Option A_CCE Model selection'!$C8,'Specified CCE Model Price List'!$E$3:$E$278,0),MATCH('Option A_CCE Model selection'!D$4,'Specified CCE Model Price List'!$A$3:$O$3,0)),"")</f>
        <v/>
      </c>
      <c r="E8" s="31" t="str">
        <f>IFERROR(INDEX('Specified CCE Model Price List'!$A$3:$O$278,MATCH('Option A_CCE Model selection'!$C8,'Specified CCE Model Price List'!$E$3:$E$278,0),MATCH('Option A_CCE Model selection'!E$4,'Specified CCE Model Price List'!$A$3:$O$3,0)),"")</f>
        <v/>
      </c>
      <c r="F8" s="31" t="str">
        <f>IFERROR(INDEX('Specified CCE Model Price List'!$A$3:$O$278,MATCH('Option A_CCE Model selection'!$C8,'Specified CCE Model Price List'!$E$3:$E$278,0),MATCH('Option A_CCE Model selection'!F$4,'Specified CCE Model Price List'!$A$3:$O$3,0)),"")</f>
        <v/>
      </c>
      <c r="G8" s="130" t="str">
        <f>IFERROR(INDEX('Specified CCE Model Price List'!$A$3:$O$278,MATCH('Option A_CCE Model selection'!$C8,'Specified CCE Model Price List'!$E$3:$E$278,0),MATCH('Option A_CCE Model selection'!G$4,'Specified CCE Model Price List'!$A$3:$O$3,0)),"")</f>
        <v/>
      </c>
      <c r="H8" s="201"/>
      <c r="I8" s="120" t="str">
        <f>IFERROR(IF(OR(EXACT(A8,'Specified CCE Model Price List'!$AB$14),EXACT(A8,'Specified CCE Model Price List'!$AB$16),EXACT(A8,'Specified CCE Model Price List'!$AB$17),EXACT(A8,'Specified CCE Model Price List'!$AB$18),EXACT(A8,'Specified CCE Model Price List'!$AB$19),EXACT(A8,'Specified CCE Model Price List'!$AB$20),EXACT(A8,'Specified CCE Model Price List'!$AB$21),EXACT(A8,'Specified CCE Model Price List'!$AB$22),EXACT(A8,'Specified CCE Model Price List'!$AB$23),EXACT(A8,'Specified CCE Model Price List'!$AB$24),EXACT(A8,'Specified CCE Model Price List'!$AB$25),EXACT(A8,'Specified CCE Model Price List'!$AB$26),EXACT(A8,'Specified CCE Model Price List'!$AB$27)),"N/A",H8+G8),"")</f>
        <v/>
      </c>
      <c r="J8" s="74"/>
      <c r="K8" s="75" t="str">
        <f t="shared" si="1"/>
        <v/>
      </c>
      <c r="L8" s="55"/>
      <c r="M8" s="170" t="str">
        <f t="shared" si="2"/>
        <v>_2.</v>
      </c>
    </row>
    <row r="9" spans="1:13" s="25" customFormat="1" ht="27" customHeight="1" x14ac:dyDescent="0.25">
      <c r="A9" s="40" t="s">
        <v>344</v>
      </c>
      <c r="B9" s="40" t="s">
        <v>380</v>
      </c>
      <c r="C9" s="41"/>
      <c r="D9" s="28" t="str">
        <f>IFERROR(INDEX('Specified CCE Model Price List'!$A$3:$O$278,MATCH('Option A_CCE Model selection'!$C9,'Specified CCE Model Price List'!$E$3:$E$278,0),MATCH('Option A_CCE Model selection'!D$4,'Specified CCE Model Price List'!$A$3:$O$3,0)),"")</f>
        <v/>
      </c>
      <c r="E9" s="31" t="str">
        <f>IFERROR(INDEX('Specified CCE Model Price List'!$A$3:$O$278,MATCH('Option A_CCE Model selection'!$C9,'Specified CCE Model Price List'!$E$3:$E$278,0),MATCH('Option A_CCE Model selection'!E$4,'Specified CCE Model Price List'!$A$3:$O$3,0)),"")</f>
        <v/>
      </c>
      <c r="F9" s="31" t="str">
        <f>IFERROR(INDEX('Specified CCE Model Price List'!$A$3:$O$278,MATCH('Option A_CCE Model selection'!$C9,'Specified CCE Model Price List'!$E$3:$E$278,0),MATCH('Option A_CCE Model selection'!F$4,'Specified CCE Model Price List'!$A$3:$O$3,0)),"")</f>
        <v/>
      </c>
      <c r="G9" s="130" t="str">
        <f>IFERROR(INDEX('Specified CCE Model Price List'!$A$3:$O$278,MATCH('Option A_CCE Model selection'!$C9,'Specified CCE Model Price List'!$E$3:$E$278,0),MATCH('Option A_CCE Model selection'!G$4,'Specified CCE Model Price List'!$A$3:$O$3,0)),"")</f>
        <v/>
      </c>
      <c r="H9" s="201"/>
      <c r="I9" s="120" t="str">
        <f>IFERROR(IF(OR(EXACT(A9,'Specified CCE Model Price List'!$AB$14),EXACT(A9,'Specified CCE Model Price List'!$AB$16),EXACT(A9,'Specified CCE Model Price List'!$AB$17),EXACT(A9,'Specified CCE Model Price List'!$AB$18),EXACT(A9,'Specified CCE Model Price List'!$AB$19),EXACT(A9,'Specified CCE Model Price List'!$AB$20),EXACT(A9,'Specified CCE Model Price List'!$AB$21),EXACT(A9,'Specified CCE Model Price List'!$AB$22),EXACT(A9,'Specified CCE Model Price List'!$AB$23),EXACT(A9,'Specified CCE Model Price List'!$AB$24),EXACT(A9,'Specified CCE Model Price List'!$AB$25),EXACT(A9,'Specified CCE Model Price List'!$AB$26),EXACT(A9,'Specified CCE Model Price List'!$AB$27)),"N/A",H9+G9),"")</f>
        <v/>
      </c>
      <c r="J9" s="74"/>
      <c r="K9" s="75" t="str">
        <f t="shared" si="1"/>
        <v/>
      </c>
      <c r="L9" s="55"/>
      <c r="M9" s="170" t="str">
        <f t="shared" si="2"/>
        <v>_3.</v>
      </c>
    </row>
    <row r="10" spans="1:13" s="25" customFormat="1" ht="27" customHeight="1" x14ac:dyDescent="0.25">
      <c r="A10" s="40" t="s">
        <v>320</v>
      </c>
      <c r="B10" s="40" t="s">
        <v>381</v>
      </c>
      <c r="C10" s="41"/>
      <c r="D10" s="28" t="str">
        <f>IFERROR(INDEX('Specified CCE Model Price List'!$A$3:$O$278,MATCH('Option A_CCE Model selection'!$C10,'Specified CCE Model Price List'!$E$3:$E$278,0),MATCH('Option A_CCE Model selection'!D$4,'Specified CCE Model Price List'!$A$3:$O$3,0)),"")</f>
        <v/>
      </c>
      <c r="E10" s="31" t="str">
        <f>IFERROR(INDEX('Specified CCE Model Price List'!$A$3:$O$278,MATCH('Option A_CCE Model selection'!$C10,'Specified CCE Model Price List'!$E$3:$E$278,0),MATCH('Option A_CCE Model selection'!E$4,'Specified CCE Model Price List'!$A$3:$O$3,0)),"")</f>
        <v/>
      </c>
      <c r="F10" s="31" t="str">
        <f>IFERROR(INDEX('Specified CCE Model Price List'!$A$3:$O$278,MATCH('Option A_CCE Model selection'!$C10,'Specified CCE Model Price List'!$E$3:$E$278,0),MATCH('Option A_CCE Model selection'!F$4,'Specified CCE Model Price List'!$A$3:$O$3,0)),"")</f>
        <v/>
      </c>
      <c r="G10" s="130" t="str">
        <f>IFERROR(INDEX('Specified CCE Model Price List'!$A$3:$O$278,MATCH('Option A_CCE Model selection'!$C10,'Specified CCE Model Price List'!$E$3:$E$278,0),MATCH('Option A_CCE Model selection'!G$4,'Specified CCE Model Price List'!$A$3:$O$3,0)),"")</f>
        <v/>
      </c>
      <c r="H10" s="201"/>
      <c r="I10" s="120" t="str">
        <f>IFERROR(IF(OR(EXACT(A10,'Specified CCE Model Price List'!$AB$14),EXACT(A10,'Specified CCE Model Price List'!$AB$16),EXACT(A10,'Specified CCE Model Price List'!$AB$17),EXACT(A10,'Specified CCE Model Price List'!$AB$18),EXACT(A10,'Specified CCE Model Price List'!$AB$19),EXACT(A10,'Specified CCE Model Price List'!$AB$20),EXACT(A10,'Specified CCE Model Price List'!$AB$21),EXACT(A10,'Specified CCE Model Price List'!$AB$22),EXACT(A10,'Specified CCE Model Price List'!$AB$23),EXACT(A10,'Specified CCE Model Price List'!$AB$24),EXACT(A10,'Specified CCE Model Price List'!$AB$25),EXACT(A10,'Specified CCE Model Price List'!$AB$26),EXACT(A10,'Specified CCE Model Price List'!$AB$27)),"N/A",H10+G10),"")</f>
        <v/>
      </c>
      <c r="J10" s="74"/>
      <c r="K10" s="75" t="str">
        <f t="shared" si="1"/>
        <v/>
      </c>
      <c r="L10" s="55"/>
      <c r="M10" s="170" t="str">
        <f t="shared" si="2"/>
        <v>_4.</v>
      </c>
    </row>
    <row r="11" spans="1:13" s="25" customFormat="1" ht="27" customHeight="1" x14ac:dyDescent="0.25">
      <c r="A11" s="42" t="s">
        <v>311</v>
      </c>
      <c r="B11" s="42" t="s">
        <v>382</v>
      </c>
      <c r="C11" s="41"/>
      <c r="D11" s="28" t="str">
        <f>IFERROR(INDEX('Specified CCE Model Price List'!$A$3:$O$278,MATCH('Option A_CCE Model selection'!$C11,'Specified CCE Model Price List'!$E$3:$E$278,0),MATCH('Option A_CCE Model selection'!D$4,'Specified CCE Model Price List'!$A$3:$O$3,0)),"")</f>
        <v/>
      </c>
      <c r="E11" s="31" t="str">
        <f>IFERROR(INDEX('Specified CCE Model Price List'!$A$3:$O$278,MATCH('Option A_CCE Model selection'!$C11,'Specified CCE Model Price List'!$E$3:$E$278,0),MATCH('Option A_CCE Model selection'!E$4,'Specified CCE Model Price List'!$A$3:$O$3,0)),"")</f>
        <v/>
      </c>
      <c r="F11" s="31" t="str">
        <f>IFERROR(INDEX('Specified CCE Model Price List'!$A$3:$O$278,MATCH('Option A_CCE Model selection'!$C11,'Specified CCE Model Price List'!$E$3:$E$278,0),MATCH('Option A_CCE Model selection'!F$4,'Specified CCE Model Price List'!$A$3:$O$3,0)),"")</f>
        <v/>
      </c>
      <c r="G11" s="130" t="str">
        <f>IFERROR(INDEX('Specified CCE Model Price List'!$A$3:$O$278,MATCH('Option A_CCE Model selection'!$C11,'Specified CCE Model Price List'!$E$3:$E$278,0),MATCH('Option A_CCE Model selection'!G$4,'Specified CCE Model Price List'!$A$3:$O$3,0)),"")</f>
        <v/>
      </c>
      <c r="H11" s="201"/>
      <c r="I11" s="120" t="str">
        <f>IFERROR(IF(OR(EXACT(A11,'Specified CCE Model Price List'!$AB$14),EXACT(A11,'Specified CCE Model Price List'!$AB$16),EXACT(A11,'Specified CCE Model Price List'!$AB$17),EXACT(A11,'Specified CCE Model Price List'!$AB$18),EXACT(A11,'Specified CCE Model Price List'!$AB$19),EXACT(A11,'Specified CCE Model Price List'!$AB$20),EXACT(A11,'Specified CCE Model Price List'!$AB$21),EXACT(A11,'Specified CCE Model Price List'!$AB$22),EXACT(A11,'Specified CCE Model Price List'!$AB$23),EXACT(A11,'Specified CCE Model Price List'!$AB$24),EXACT(A11,'Specified CCE Model Price List'!$AB$25),EXACT(A11,'Specified CCE Model Price List'!$AB$26),EXACT(A11,'Specified CCE Model Price List'!$AB$27)),"N/A",H11+G11),"")</f>
        <v/>
      </c>
      <c r="J11" s="74"/>
      <c r="K11" s="75" t="str">
        <f t="shared" si="1"/>
        <v/>
      </c>
      <c r="L11" s="55"/>
      <c r="M11" s="170" t="str">
        <f t="shared" si="2"/>
        <v>_5.</v>
      </c>
    </row>
    <row r="12" spans="1:13" s="25" customFormat="1" ht="27" customHeight="1" x14ac:dyDescent="0.25">
      <c r="A12" s="43" t="s">
        <v>312</v>
      </c>
      <c r="B12" s="43" t="s">
        <v>383</v>
      </c>
      <c r="C12" s="41"/>
      <c r="D12" s="28" t="str">
        <f>IFERROR(INDEX('Specified CCE Model Price List'!$A$3:$O$278,MATCH('Option A_CCE Model selection'!$C12,'Specified CCE Model Price List'!$E$3:$E$278,0),MATCH('Option A_CCE Model selection'!D$4,'Specified CCE Model Price List'!$A$3:$O$3,0)),"")</f>
        <v/>
      </c>
      <c r="E12" s="31" t="str">
        <f>IFERROR(INDEX('Specified CCE Model Price List'!$A$3:$O$278,MATCH('Option A_CCE Model selection'!$C12,'Specified CCE Model Price List'!$E$3:$E$278,0),MATCH('Option A_CCE Model selection'!E$4,'Specified CCE Model Price List'!$A$3:$O$3,0)),"")</f>
        <v/>
      </c>
      <c r="F12" s="31" t="str">
        <f>IFERROR(INDEX('Specified CCE Model Price List'!$A$3:$O$278,MATCH('Option A_CCE Model selection'!$C12,'Specified CCE Model Price List'!$E$3:$E$278,0),MATCH('Option A_CCE Model selection'!F$4,'Specified CCE Model Price List'!$A$3:$O$3,0)),"")</f>
        <v/>
      </c>
      <c r="G12" s="130" t="str">
        <f>IFERROR(INDEX('Specified CCE Model Price List'!$A$3:$O$278,MATCH('Option A_CCE Model selection'!$C12,'Specified CCE Model Price List'!$E$3:$E$278,0),MATCH('Option A_CCE Model selection'!G$4,'Specified CCE Model Price List'!$A$3:$O$3,0)),"")</f>
        <v/>
      </c>
      <c r="H12" s="201"/>
      <c r="I12" s="120" t="str">
        <f>IFERROR(IF(OR(EXACT(A12,'Specified CCE Model Price List'!$AB$14),EXACT(A12,'Specified CCE Model Price List'!$AB$16),EXACT(A12,'Specified CCE Model Price List'!$AB$17),EXACT(A12,'Specified CCE Model Price List'!$AB$18),EXACT(A12,'Specified CCE Model Price List'!$AB$19),EXACT(A12,'Specified CCE Model Price List'!$AB$20),EXACT(A12,'Specified CCE Model Price List'!$AB$21),EXACT(A12,'Specified CCE Model Price List'!$AB$22),EXACT(A12,'Specified CCE Model Price List'!$AB$23),EXACT(A12,'Specified CCE Model Price List'!$AB$24),EXACT(A12,'Specified CCE Model Price List'!$AB$25),EXACT(A12,'Specified CCE Model Price List'!$AB$26),EXACT(A12,'Specified CCE Model Price List'!$AB$27)),"N/A",H12+G12),"")</f>
        <v/>
      </c>
      <c r="J12" s="74"/>
      <c r="K12" s="75" t="str">
        <f t="shared" si="1"/>
        <v/>
      </c>
      <c r="L12" s="55"/>
      <c r="M12" s="170" t="str">
        <f t="shared" si="2"/>
        <v>_6.</v>
      </c>
    </row>
    <row r="13" spans="1:13" s="25" customFormat="1" ht="27" customHeight="1" x14ac:dyDescent="0.25">
      <c r="A13" s="43" t="s">
        <v>384</v>
      </c>
      <c r="B13" s="43" t="s">
        <v>385</v>
      </c>
      <c r="C13" s="41"/>
      <c r="D13" s="28" t="str">
        <f>IFERROR(INDEX('Specified CCE Model Price List'!$A$3:$O$278,MATCH('Option A_CCE Model selection'!$C13,'Specified CCE Model Price List'!$E$3:$E$278,0),MATCH('Option A_CCE Model selection'!D$4,'Specified CCE Model Price List'!$A$3:$O$3,0)),"")</f>
        <v/>
      </c>
      <c r="E13" s="31" t="str">
        <f>IFERROR(INDEX('Specified CCE Model Price List'!$A$3:$O$278,MATCH('Option A_CCE Model selection'!$C13,'Specified CCE Model Price List'!$E$3:$E$278,0),MATCH('Option A_CCE Model selection'!E$4,'Specified CCE Model Price List'!$A$3:$O$3,0)),"")</f>
        <v/>
      </c>
      <c r="F13" s="31" t="str">
        <f>IFERROR(INDEX('Specified CCE Model Price List'!$A$3:$O$278,MATCH('Option A_CCE Model selection'!$C13,'Specified CCE Model Price List'!$E$3:$E$278,0),MATCH('Option A_CCE Model selection'!F$4,'Specified CCE Model Price List'!$A$3:$O$3,0)),"")</f>
        <v/>
      </c>
      <c r="G13" s="130" t="str">
        <f>IFERROR(INDEX('Specified CCE Model Price List'!$A$3:$O$278,MATCH('Option A_CCE Model selection'!$C13,'Specified CCE Model Price List'!$E$3:$E$278,0),MATCH('Option A_CCE Model selection'!G$4,'Specified CCE Model Price List'!$A$3:$O$3,0)),"")</f>
        <v/>
      </c>
      <c r="H13" s="201"/>
      <c r="I13" s="120" t="str">
        <f>IFERROR(IF(OR(EXACT(A13,'Specified CCE Model Price List'!$AB$14),EXACT(A13,'Specified CCE Model Price List'!$AB$16),EXACT(A13,'Specified CCE Model Price List'!$AB$17),EXACT(A13,'Specified CCE Model Price List'!$AB$18),EXACT(A13,'Specified CCE Model Price List'!$AB$19),EXACT(A13,'Specified CCE Model Price List'!$AB$20),EXACT(A13,'Specified CCE Model Price List'!$AB$21),EXACT(A13,'Specified CCE Model Price List'!$AB$22),EXACT(A13,'Specified CCE Model Price List'!$AB$23),EXACT(A13,'Specified CCE Model Price List'!$AB$24),EXACT(A13,'Specified CCE Model Price List'!$AB$25),EXACT(A13,'Specified CCE Model Price List'!$AB$26),EXACT(A13,'Specified CCE Model Price List'!$AB$27)),"N/A",H13+G13),"")</f>
        <v/>
      </c>
      <c r="J13" s="74"/>
      <c r="K13" s="75" t="str">
        <f t="shared" si="1"/>
        <v/>
      </c>
      <c r="L13" s="55"/>
      <c r="M13" s="170" t="str">
        <f t="shared" si="2"/>
        <v>_6.</v>
      </c>
    </row>
    <row r="14" spans="1:13" s="25" customFormat="1" ht="27" customHeight="1" x14ac:dyDescent="0.25">
      <c r="A14" s="43" t="s">
        <v>313</v>
      </c>
      <c r="B14" s="43" t="s">
        <v>386</v>
      </c>
      <c r="C14" s="41"/>
      <c r="D14" s="28" t="str">
        <f>IFERROR(INDEX('Specified CCE Model Price List'!$A$3:$O$278,MATCH('Option A_CCE Model selection'!$C14,'Specified CCE Model Price List'!$E$3:$E$278,0),MATCH('Option A_CCE Model selection'!D$4,'Specified CCE Model Price List'!$A$3:$O$3,0)),"")</f>
        <v/>
      </c>
      <c r="E14" s="31" t="str">
        <f>IFERROR(INDEX('Specified CCE Model Price List'!$A$3:$O$278,MATCH('Option A_CCE Model selection'!$C14,'Specified CCE Model Price List'!$E$3:$E$278,0),MATCH('Option A_CCE Model selection'!E$4,'Specified CCE Model Price List'!$A$3:$O$3,0)),"")</f>
        <v/>
      </c>
      <c r="F14" s="31" t="str">
        <f>IFERROR(INDEX('Specified CCE Model Price List'!$A$3:$O$278,MATCH('Option A_CCE Model selection'!$C14,'Specified CCE Model Price List'!$E$3:$E$278,0),MATCH('Option A_CCE Model selection'!F$4,'Specified CCE Model Price List'!$A$3:$O$3,0)),"")</f>
        <v/>
      </c>
      <c r="G14" s="130" t="str">
        <f>IFERROR(INDEX('Specified CCE Model Price List'!$A$3:$O$278,MATCH('Option A_CCE Model selection'!$C14,'Specified CCE Model Price List'!$E$3:$E$278,0),MATCH('Option A_CCE Model selection'!G$4,'Specified CCE Model Price List'!$A$3:$O$3,0)),"")</f>
        <v/>
      </c>
      <c r="H14" s="201"/>
      <c r="I14" s="120" t="str">
        <f>IFERROR(IF(OR(EXACT(A14,'Specified CCE Model Price List'!$AB$14),EXACT(A14,'Specified CCE Model Price List'!$AB$16),EXACT(A14,'Specified CCE Model Price List'!$AB$17),EXACT(A14,'Specified CCE Model Price List'!$AB$18),EXACT(A14,'Specified CCE Model Price List'!$AB$19),EXACT(A14,'Specified CCE Model Price List'!$AB$20),EXACT(A14,'Specified CCE Model Price List'!$AB$21),EXACT(A14,'Specified CCE Model Price List'!$AB$22),EXACT(A14,'Specified CCE Model Price List'!$AB$23),EXACT(A14,'Specified CCE Model Price List'!$AB$24),EXACT(A14,'Specified CCE Model Price List'!$AB$25),EXACT(A14,'Specified CCE Model Price List'!$AB$26),EXACT(A14,'Specified CCE Model Price List'!$AB$27)),"N/A",H14+G14),"")</f>
        <v/>
      </c>
      <c r="J14" s="74"/>
      <c r="K14" s="75" t="str">
        <f t="shared" si="1"/>
        <v/>
      </c>
      <c r="L14" s="55"/>
      <c r="M14" s="170" t="str">
        <f t="shared" si="2"/>
        <v>_7.</v>
      </c>
    </row>
    <row r="15" spans="1:13" s="25" customFormat="1" ht="27" customHeight="1" x14ac:dyDescent="0.25">
      <c r="A15" s="44" t="s">
        <v>314</v>
      </c>
      <c r="B15" s="44" t="s">
        <v>387</v>
      </c>
      <c r="C15" s="41"/>
      <c r="D15" s="28" t="str">
        <f>IFERROR(INDEX('Specified CCE Model Price List'!$A$3:$O$278,MATCH('Option A_CCE Model selection'!$C15,'Specified CCE Model Price List'!$E$3:$E$278,0),MATCH('Option A_CCE Model selection'!D$4,'Specified CCE Model Price List'!$A$3:$O$3,0)),"")</f>
        <v/>
      </c>
      <c r="E15" s="31" t="str">
        <f>IFERROR(INDEX('Specified CCE Model Price List'!$A$3:$O$278,MATCH('Option A_CCE Model selection'!$C15,'Specified CCE Model Price List'!$E$3:$E$278,0),MATCH('Option A_CCE Model selection'!E$4,'Specified CCE Model Price List'!$A$3:$O$3,0)),"")</f>
        <v/>
      </c>
      <c r="F15" s="31" t="str">
        <f>IFERROR(INDEX('Specified CCE Model Price List'!$A$3:$O$278,MATCH('Option A_CCE Model selection'!$C15,'Specified CCE Model Price List'!$E$3:$E$278,0),MATCH('Option A_CCE Model selection'!F$4,'Specified CCE Model Price List'!$A$3:$O$3,0)),"")</f>
        <v/>
      </c>
      <c r="G15" s="130" t="str">
        <f>IFERROR(INDEX('Specified CCE Model Price List'!$A$3:$O$278,MATCH('Option A_CCE Model selection'!$C15,'Specified CCE Model Price List'!$E$3:$E$278,0),MATCH('Option A_CCE Model selection'!G$4,'Specified CCE Model Price List'!$A$3:$O$3,0)),"")</f>
        <v/>
      </c>
      <c r="H15" s="201"/>
      <c r="I15" s="120" t="str">
        <f>IFERROR(IF(OR(EXACT(A15,'Specified CCE Model Price List'!$AB$14),EXACT(A15,'Specified CCE Model Price List'!$AB$16),EXACT(A15,'Specified CCE Model Price List'!$AB$17),EXACT(A15,'Specified CCE Model Price List'!$AB$18),EXACT(A15,'Specified CCE Model Price List'!$AB$19),EXACT(A15,'Specified CCE Model Price List'!$AB$20),EXACT(A15,'Specified CCE Model Price List'!$AB$21),EXACT(A15,'Specified CCE Model Price List'!$AB$22),EXACT(A15,'Specified CCE Model Price List'!$AB$23),EXACT(A15,'Specified CCE Model Price List'!$AB$24),EXACT(A15,'Specified CCE Model Price List'!$AB$25),EXACT(A15,'Specified CCE Model Price List'!$AB$26),EXACT(A15,'Specified CCE Model Price List'!$AB$27)),"N/A",H15+G15),"")</f>
        <v/>
      </c>
      <c r="J15" s="74"/>
      <c r="K15" s="75" t="str">
        <f t="shared" si="1"/>
        <v/>
      </c>
      <c r="L15" s="55"/>
      <c r="M15" s="170" t="str">
        <f t="shared" si="2"/>
        <v>_8.</v>
      </c>
    </row>
    <row r="16" spans="1:13" s="25" customFormat="1" ht="27" customHeight="1" x14ac:dyDescent="0.25">
      <c r="A16" s="45" t="s">
        <v>388</v>
      </c>
      <c r="B16" s="45" t="s">
        <v>389</v>
      </c>
      <c r="C16" s="41"/>
      <c r="D16" s="28" t="str">
        <f>IFERROR(INDEX('Specified CCE Model Price List'!$A$3:$O$278,MATCH('Option A_CCE Model selection'!$C16,'Specified CCE Model Price List'!$E$3:$E$278,0),MATCH('Option A_CCE Model selection'!D$4,'Specified CCE Model Price List'!$A$3:$O$3,0)),"")</f>
        <v/>
      </c>
      <c r="E16" s="31" t="str">
        <f>IFERROR(INDEX('Specified CCE Model Price List'!$A$3:$O$278,MATCH('Option A_CCE Model selection'!$C16,'Specified CCE Model Price List'!$E$3:$E$278,0),MATCH('Option A_CCE Model selection'!E$4,'Specified CCE Model Price List'!$A$3:$O$3,0)),"")</f>
        <v/>
      </c>
      <c r="F16" s="31" t="str">
        <f>IFERROR(INDEX('Specified CCE Model Price List'!$A$3:$O$278,MATCH('Option A_CCE Model selection'!$C16,'Specified CCE Model Price List'!$E$3:$E$278,0),MATCH('Option A_CCE Model selection'!F$4,'Specified CCE Model Price List'!$A$3:$O$3,0)),"")</f>
        <v/>
      </c>
      <c r="G16" s="130" t="str">
        <f>IFERROR(INDEX('Specified CCE Model Price List'!$A$3:$O$278,MATCH('Option A_CCE Model selection'!$C16,'Specified CCE Model Price List'!$E$3:$E$278,0),MATCH('Option A_CCE Model selection'!G$4,'Specified CCE Model Price List'!$A$3:$O$3,0)),"")</f>
        <v/>
      </c>
      <c r="H16" s="201"/>
      <c r="I16" s="120" t="str">
        <f>IFERROR(IF(OR(EXACT(A16,'Specified CCE Model Price List'!$AB$14),EXACT(A16,'Specified CCE Model Price List'!$AB$16),EXACT(A16,'Specified CCE Model Price List'!$AB$17),EXACT(A16,'Specified CCE Model Price List'!$AB$18),EXACT(A16,'Specified CCE Model Price List'!$AB$19),EXACT(A16,'Specified CCE Model Price List'!$AB$20),EXACT(A16,'Specified CCE Model Price List'!$AB$21),EXACT(A16,'Specified CCE Model Price List'!$AB$22),EXACT(A16,'Specified CCE Model Price List'!$AB$23),EXACT(A16,'Specified CCE Model Price List'!$AB$24),EXACT(A16,'Specified CCE Model Price List'!$AB$25),EXACT(A16,'Specified CCE Model Price List'!$AB$26),EXACT(A16,'Specified CCE Model Price List'!$AB$27)),"N/A",H16+G16),"")</f>
        <v/>
      </c>
      <c r="J16" s="74"/>
      <c r="K16" s="75" t="str">
        <f t="shared" si="1"/>
        <v/>
      </c>
      <c r="L16" s="55"/>
      <c r="M16" s="170" t="str">
        <f t="shared" si="2"/>
        <v>_8.</v>
      </c>
    </row>
    <row r="17" spans="1:13" s="25" customFormat="1" ht="27" customHeight="1" x14ac:dyDescent="0.25">
      <c r="A17" s="45" t="s">
        <v>315</v>
      </c>
      <c r="B17" s="45" t="s">
        <v>390</v>
      </c>
      <c r="C17" s="41"/>
      <c r="D17" s="28" t="str">
        <f>IFERROR(INDEX('Specified CCE Model Price List'!$A$3:$O$278,MATCH('Option A_CCE Model selection'!$C17,'Specified CCE Model Price List'!$E$3:$E$278,0),MATCH('Option A_CCE Model selection'!D$4,'Specified CCE Model Price List'!$A$3:$O$3,0)),"")</f>
        <v/>
      </c>
      <c r="E17" s="31" t="str">
        <f>IFERROR(INDEX('Specified CCE Model Price List'!$A$3:$O$278,MATCH('Option A_CCE Model selection'!$C17,'Specified CCE Model Price List'!$E$3:$E$278,0),MATCH('Option A_CCE Model selection'!E$4,'Specified CCE Model Price List'!$A$3:$O$3,0)),"")</f>
        <v/>
      </c>
      <c r="F17" s="31" t="str">
        <f>IFERROR(INDEX('Specified CCE Model Price List'!$A$3:$O$278,MATCH('Option A_CCE Model selection'!$C17,'Specified CCE Model Price List'!$E$3:$E$278,0),MATCH('Option A_CCE Model selection'!F$4,'Specified CCE Model Price List'!$A$3:$O$3,0)),"")</f>
        <v/>
      </c>
      <c r="G17" s="130" t="str">
        <f>IFERROR(INDEX('Specified CCE Model Price List'!$A$3:$O$278,MATCH('Option A_CCE Model selection'!$C17,'Specified CCE Model Price List'!$E$3:$E$278,0),MATCH('Option A_CCE Model selection'!G$4,'Specified CCE Model Price List'!$A$3:$O$3,0)),"")</f>
        <v/>
      </c>
      <c r="H17" s="201"/>
      <c r="I17" s="120" t="str">
        <f>IFERROR(IF(OR(EXACT(A17,'Specified CCE Model Price List'!$AB$14),EXACT(A17,'Specified CCE Model Price List'!$AB$16),EXACT(A17,'Specified CCE Model Price List'!$AB$17),EXACT(A17,'Specified CCE Model Price List'!$AB$18),EXACT(A17,'Specified CCE Model Price List'!$AB$19),EXACT(A17,'Specified CCE Model Price List'!$AB$20),EXACT(A17,'Specified CCE Model Price List'!$AB$21),EXACT(A17,'Specified CCE Model Price List'!$AB$22),EXACT(A17,'Specified CCE Model Price List'!$AB$23),EXACT(A17,'Specified CCE Model Price List'!$AB$24),EXACT(A17,'Specified CCE Model Price List'!$AB$25),EXACT(A17,'Specified CCE Model Price List'!$AB$26),EXACT(A17,'Specified CCE Model Price List'!$AB$27)),"N/A",H17+G17),"")</f>
        <v/>
      </c>
      <c r="J17" s="74"/>
      <c r="K17" s="75" t="str">
        <f t="shared" si="1"/>
        <v/>
      </c>
      <c r="L17" s="55"/>
      <c r="M17" s="170" t="str">
        <f t="shared" si="2"/>
        <v>_9.</v>
      </c>
    </row>
    <row r="18" spans="1:13" s="25" customFormat="1" ht="27" customHeight="1" x14ac:dyDescent="0.25">
      <c r="A18" s="45" t="s">
        <v>391</v>
      </c>
      <c r="B18" s="45" t="s">
        <v>392</v>
      </c>
      <c r="C18" s="41"/>
      <c r="D18" s="28" t="str">
        <f>IFERROR(INDEX('Specified CCE Model Price List'!$A$3:$O$278,MATCH('Option A_CCE Model selection'!$C18,'Specified CCE Model Price List'!$E$3:$E$278,0),MATCH('Option A_CCE Model selection'!D$4,'Specified CCE Model Price List'!$A$3:$O$3,0)),"")</f>
        <v/>
      </c>
      <c r="E18" s="31" t="str">
        <f>IFERROR(INDEX('Specified CCE Model Price List'!$A$3:$O$278,MATCH('Option A_CCE Model selection'!$C18,'Specified CCE Model Price List'!$E$3:$E$278,0),MATCH('Option A_CCE Model selection'!E$4,'Specified CCE Model Price List'!$A$3:$O$3,0)),"")</f>
        <v/>
      </c>
      <c r="F18" s="31" t="str">
        <f>IFERROR(INDEX('Specified CCE Model Price List'!$A$3:$O$278,MATCH('Option A_CCE Model selection'!$C18,'Specified CCE Model Price List'!$E$3:$E$278,0),MATCH('Option A_CCE Model selection'!F$4,'Specified CCE Model Price List'!$A$3:$O$3,0)),"")</f>
        <v/>
      </c>
      <c r="G18" s="130" t="str">
        <f>IFERROR(INDEX('Specified CCE Model Price List'!$A$3:$O$278,MATCH('Option A_CCE Model selection'!$C18,'Specified CCE Model Price List'!$E$3:$E$278,0),MATCH('Option A_CCE Model selection'!G$4,'Specified CCE Model Price List'!$A$3:$O$3,0)),"")</f>
        <v/>
      </c>
      <c r="H18" s="201"/>
      <c r="I18" s="120" t="str">
        <f>IFERROR(IF(OR(EXACT(A18,'Specified CCE Model Price List'!$AB$14),EXACT(A18,'Specified CCE Model Price List'!$AB$16),EXACT(A18,'Specified CCE Model Price List'!$AB$17),EXACT(A18,'Specified CCE Model Price List'!$AB$18),EXACT(A18,'Specified CCE Model Price List'!$AB$19),EXACT(A18,'Specified CCE Model Price List'!$AB$20),EXACT(A18,'Specified CCE Model Price List'!$AB$21),EXACT(A18,'Specified CCE Model Price List'!$AB$22),EXACT(A18,'Specified CCE Model Price List'!$AB$23),EXACT(A18,'Specified CCE Model Price List'!$AB$24),EXACT(A18,'Specified CCE Model Price List'!$AB$25),EXACT(A18,'Specified CCE Model Price List'!$AB$26),EXACT(A18,'Specified CCE Model Price List'!$AB$27)),"N/A",H18+G18),"")</f>
        <v/>
      </c>
      <c r="J18" s="74"/>
      <c r="K18" s="75" t="str">
        <f t="shared" si="1"/>
        <v/>
      </c>
      <c r="L18" s="55"/>
      <c r="M18" s="170" t="str">
        <f t="shared" si="2"/>
        <v>_9.</v>
      </c>
    </row>
    <row r="19" spans="1:13" s="25" customFormat="1" ht="27" customHeight="1" x14ac:dyDescent="0.25">
      <c r="A19" s="45" t="s">
        <v>393</v>
      </c>
      <c r="B19" s="45" t="s">
        <v>394</v>
      </c>
      <c r="C19" s="41"/>
      <c r="D19" s="28" t="str">
        <f>IFERROR(INDEX('Specified CCE Model Price List'!$A$3:$O$278,MATCH('Option A_CCE Model selection'!$C19,'Specified CCE Model Price List'!$E$3:$E$278,0),MATCH('Option A_CCE Model selection'!D$4,'Specified CCE Model Price List'!$A$3:$O$3,0)),"")</f>
        <v/>
      </c>
      <c r="E19" s="31" t="str">
        <f>IFERROR(INDEX('Specified CCE Model Price List'!$A$3:$O$278,MATCH('Option A_CCE Model selection'!$C19,'Specified CCE Model Price List'!$E$3:$E$278,0),MATCH('Option A_CCE Model selection'!E$4,'Specified CCE Model Price List'!$A$3:$O$3,0)),"")</f>
        <v/>
      </c>
      <c r="F19" s="31" t="str">
        <f>IFERROR(INDEX('Specified CCE Model Price List'!$A$3:$O$278,MATCH('Option A_CCE Model selection'!$C19,'Specified CCE Model Price List'!$E$3:$E$278,0),MATCH('Option A_CCE Model selection'!F$4,'Specified CCE Model Price List'!$A$3:$O$3,0)),"")</f>
        <v/>
      </c>
      <c r="G19" s="130" t="str">
        <f>IFERROR(INDEX('Specified CCE Model Price List'!$A$3:$O$278,MATCH('Option A_CCE Model selection'!$C19,'Specified CCE Model Price List'!$E$3:$E$278,0),MATCH('Option A_CCE Model selection'!G$4,'Specified CCE Model Price List'!$A$3:$O$3,0)),"")</f>
        <v/>
      </c>
      <c r="H19" s="201"/>
      <c r="I19" s="120" t="str">
        <f>IFERROR(IF(OR(EXACT(A19,'Specified CCE Model Price List'!$AB$14),EXACT(A19,'Specified CCE Model Price List'!$AB$16),EXACT(A19,'Specified CCE Model Price List'!$AB$17),EXACT(A19,'Specified CCE Model Price List'!$AB$18),EXACT(A19,'Specified CCE Model Price List'!$AB$19),EXACT(A19,'Specified CCE Model Price List'!$AB$20),EXACT(A19,'Specified CCE Model Price List'!$AB$21),EXACT(A19,'Specified CCE Model Price List'!$AB$22),EXACT(A19,'Specified CCE Model Price List'!$AB$23),EXACT(A19,'Specified CCE Model Price List'!$AB$24),EXACT(A19,'Specified CCE Model Price List'!$AB$25),EXACT(A19,'Specified CCE Model Price List'!$AB$26),EXACT(A19,'Specified CCE Model Price List'!$AB$27)),"N/A",H19+G19),"")</f>
        <v/>
      </c>
      <c r="J19" s="74"/>
      <c r="K19" s="75" t="str">
        <f t="shared" si="1"/>
        <v/>
      </c>
      <c r="L19" s="55"/>
      <c r="M19" s="170" t="str">
        <f t="shared" si="2"/>
        <v>_9.</v>
      </c>
    </row>
    <row r="20" spans="1:13" s="25" customFormat="1" ht="27" customHeight="1" x14ac:dyDescent="0.25">
      <c r="A20" s="46" t="s">
        <v>316</v>
      </c>
      <c r="B20" s="46" t="s">
        <v>395</v>
      </c>
      <c r="C20" s="41"/>
      <c r="D20" s="28" t="str">
        <f>IFERROR(INDEX('Specified CCE Model Price List'!$A$3:$O$278,MATCH('Option A_CCE Model selection'!$C20,'Specified CCE Model Price List'!$E$3:$E$278,0),MATCH('Option A_CCE Model selection'!D$4,'Specified CCE Model Price List'!$A$3:$O$3,0)),"")</f>
        <v/>
      </c>
      <c r="E20" s="31" t="str">
        <f>IFERROR(INDEX('Specified CCE Model Price List'!$A$3:$O$278,MATCH('Option A_CCE Model selection'!$C20,'Specified CCE Model Price List'!$E$3:$E$278,0),MATCH('Option A_CCE Model selection'!E$4,'Specified CCE Model Price List'!$A$3:$O$3,0)),"")</f>
        <v/>
      </c>
      <c r="F20" s="31" t="str">
        <f>IFERROR(INDEX('Specified CCE Model Price List'!$A$3:$O$278,MATCH('Option A_CCE Model selection'!$C20,'Specified CCE Model Price List'!$E$3:$E$278,0),MATCH('Option A_CCE Model selection'!F$4,'Specified CCE Model Price List'!$A$3:$O$3,0)),"")</f>
        <v/>
      </c>
      <c r="G20" s="130" t="str">
        <f>IFERROR(INDEX('Specified CCE Model Price List'!$A$3:$O$278,MATCH('Option A_CCE Model selection'!$C20,'Specified CCE Model Price List'!$E$3:$E$278,0),MATCH('Option A_CCE Model selection'!G$4,'Specified CCE Model Price List'!$A$3:$O$3,0)),"")</f>
        <v/>
      </c>
      <c r="H20" s="201"/>
      <c r="I20" s="120" t="str">
        <f>IFERROR(IF(OR(EXACT(A20,'Specified CCE Model Price List'!$AB$14),EXACT(A20,'Specified CCE Model Price List'!$AB$16),EXACT(A20,'Specified CCE Model Price List'!$AB$17),EXACT(A20,'Specified CCE Model Price List'!$AB$18),EXACT(A20,'Specified CCE Model Price List'!$AB$19),EXACT(A20,'Specified CCE Model Price List'!$AB$20),EXACT(A20,'Specified CCE Model Price List'!$AB$21),EXACT(A20,'Specified CCE Model Price List'!$AB$22),EXACT(A20,'Specified CCE Model Price List'!$AB$23),EXACT(A20,'Specified CCE Model Price List'!$AB$24),EXACT(A20,'Specified CCE Model Price List'!$AB$25),EXACT(A20,'Specified CCE Model Price List'!$AB$26),EXACT(A20,'Specified CCE Model Price List'!$AB$27)),"N/A",H20+G20),"")</f>
        <v/>
      </c>
      <c r="J20" s="74"/>
      <c r="K20" s="75" t="str">
        <f t="shared" si="1"/>
        <v/>
      </c>
      <c r="L20" s="55"/>
      <c r="M20" s="170" t="str">
        <f t="shared" si="2"/>
        <v>_10</v>
      </c>
    </row>
    <row r="21" spans="1:13" s="25" customFormat="1" ht="27" customHeight="1" x14ac:dyDescent="0.25">
      <c r="A21" s="46" t="s">
        <v>396</v>
      </c>
      <c r="B21" s="46" t="s">
        <v>397</v>
      </c>
      <c r="C21" s="41"/>
      <c r="D21" s="28" t="str">
        <f>IFERROR(INDEX('Specified CCE Model Price List'!$A$3:$O$278,MATCH('Option A_CCE Model selection'!$C21,'Specified CCE Model Price List'!$E$3:$E$278,0),MATCH('Option A_CCE Model selection'!D$4,'Specified CCE Model Price List'!$A$3:$O$3,0)),"")</f>
        <v/>
      </c>
      <c r="E21" s="31" t="str">
        <f>IFERROR(INDEX('Specified CCE Model Price List'!$A$3:$O$278,MATCH('Option A_CCE Model selection'!$C21,'Specified CCE Model Price List'!$E$3:$E$278,0),MATCH('Option A_CCE Model selection'!E$4,'Specified CCE Model Price List'!$A$3:$O$3,0)),"")</f>
        <v/>
      </c>
      <c r="F21" s="31" t="str">
        <f>IFERROR(INDEX('Specified CCE Model Price List'!$A$3:$O$278,MATCH('Option A_CCE Model selection'!$C21,'Specified CCE Model Price List'!$E$3:$E$278,0),MATCH('Option A_CCE Model selection'!F$4,'Specified CCE Model Price List'!$A$3:$O$3,0)),"")</f>
        <v/>
      </c>
      <c r="G21" s="130" t="str">
        <f>IFERROR(INDEX('Specified CCE Model Price List'!$A$3:$O$278,MATCH('Option A_CCE Model selection'!$C21,'Specified CCE Model Price List'!$E$3:$E$278,0),MATCH('Option A_CCE Model selection'!G$4,'Specified CCE Model Price List'!$A$3:$O$3,0)),"")</f>
        <v/>
      </c>
      <c r="H21" s="201"/>
      <c r="I21" s="120" t="str">
        <f>IFERROR(IF(OR(EXACT(A21,'Specified CCE Model Price List'!$AB$14),EXACT(A21,'Specified CCE Model Price List'!$AB$16),EXACT(A21,'Specified CCE Model Price List'!$AB$17),EXACT(A21,'Specified CCE Model Price List'!$AB$18),EXACT(A21,'Specified CCE Model Price List'!$AB$19),EXACT(A21,'Specified CCE Model Price List'!$AB$20),EXACT(A21,'Specified CCE Model Price List'!$AB$21),EXACT(A21,'Specified CCE Model Price List'!$AB$22),EXACT(A21,'Specified CCE Model Price List'!$AB$23),EXACT(A21,'Specified CCE Model Price List'!$AB$24),EXACT(A21,'Specified CCE Model Price List'!$AB$25),EXACT(A21,'Specified CCE Model Price List'!$AB$26),EXACT(A21,'Specified CCE Model Price List'!$AB$27)),"N/A",H21+G21),"")</f>
        <v/>
      </c>
      <c r="J21" s="74"/>
      <c r="K21" s="75" t="str">
        <f t="shared" si="1"/>
        <v/>
      </c>
      <c r="L21" s="55"/>
      <c r="M21" s="170" t="str">
        <f t="shared" si="2"/>
        <v>_10</v>
      </c>
    </row>
    <row r="22" spans="1:13" s="25" customFormat="1" ht="27" customHeight="1" x14ac:dyDescent="0.25">
      <c r="A22" s="47" t="s">
        <v>317</v>
      </c>
      <c r="B22" s="47" t="s">
        <v>2179</v>
      </c>
      <c r="C22" s="41"/>
      <c r="D22" s="28" t="str">
        <f>IFERROR(INDEX('Specified CCE Model Price List'!$A$3:$O$278,MATCH('Option A_CCE Model selection'!$C22,'Specified CCE Model Price List'!$E$3:$E$278,0),MATCH('Option A_CCE Model selection'!D$4,'Specified CCE Model Price List'!$A$3:$O$3,0)),"")</f>
        <v/>
      </c>
      <c r="E22" s="31" t="str">
        <f>IFERROR(INDEX('Specified CCE Model Price List'!$A$3:$O$278,MATCH('Option A_CCE Model selection'!$C22,'Specified CCE Model Price List'!$E$3:$E$278,0),MATCH('Option A_CCE Model selection'!E$4,'Specified CCE Model Price List'!$A$3:$O$3,0)),"")</f>
        <v/>
      </c>
      <c r="F22" s="31" t="str">
        <f>IFERROR(INDEX('Specified CCE Model Price List'!$A$3:$O$278,MATCH('Option A_CCE Model selection'!$C22,'Specified CCE Model Price List'!$E$3:$E$278,0),MATCH('Option A_CCE Model selection'!F$4,'Specified CCE Model Price List'!$A$3:$O$3,0)),"")</f>
        <v/>
      </c>
      <c r="G22" s="130" t="str">
        <f>IFERROR(INDEX('Specified CCE Model Price List'!$A$3:$O$278,MATCH('Option A_CCE Model selection'!$C22,'Specified CCE Model Price List'!$E$3:$E$278,0),MATCH('Option A_CCE Model selection'!G$4,'Specified CCE Model Price List'!$A$3:$O$3,0)),"")</f>
        <v/>
      </c>
      <c r="H22" s="202"/>
      <c r="I22" s="120" t="str">
        <f>IFERROR(IF(OR(EXACT(A22,'Specified CCE Model Price List'!$AB$14),EXACT(A22,'Specified CCE Model Price List'!$AB$16),EXACT(A22,'Specified CCE Model Price List'!$AB$17),EXACT(A22,'Specified CCE Model Price List'!$AB$18),EXACT(A22,'Specified CCE Model Price List'!$AB$19),EXACT(A22,'Specified CCE Model Price List'!$AB$20),EXACT(A22,'Specified CCE Model Price List'!$AB$21),EXACT(A22,'Specified CCE Model Price List'!$AB$22),EXACT(A22,'Specified CCE Model Price List'!$AB$23),EXACT(A22,'Specified CCE Model Price List'!$AB$24),EXACT(A22,'Specified CCE Model Price List'!$AB$25),EXACT(A22,'Specified CCE Model Price List'!$AB$26),EXACT(A22,'Specified CCE Model Price List'!$AB$27)),"N/A",H22+G22),"")</f>
        <v>N/A</v>
      </c>
      <c r="J22" s="74"/>
      <c r="K22" s="75" t="str">
        <f t="shared" si="1"/>
        <v/>
      </c>
      <c r="L22" s="55"/>
      <c r="M22" s="170" t="str">
        <f t="shared" si="2"/>
        <v>_11</v>
      </c>
    </row>
    <row r="23" spans="1:13" s="25" customFormat="1" ht="27" customHeight="1" x14ac:dyDescent="0.25">
      <c r="A23" s="48" t="s">
        <v>318</v>
      </c>
      <c r="B23" s="48" t="s">
        <v>2181</v>
      </c>
      <c r="C23" s="41"/>
      <c r="D23" s="28" t="str">
        <f>IFERROR(INDEX('Specified CCE Model Price List'!$A$3:$O$278,MATCH('Option A_CCE Model selection'!$C23,'Specified CCE Model Price List'!$E$3:$E$278,0),MATCH('Option A_CCE Model selection'!D$4,'Specified CCE Model Price List'!$A$3:$O$3,0)),"")</f>
        <v/>
      </c>
      <c r="E23" s="31" t="str">
        <f>IFERROR(INDEX('Specified CCE Model Price List'!$A$3:$O$278,MATCH('Option A_CCE Model selection'!$C23,'Specified CCE Model Price List'!$E$3:$E$278,0),MATCH('Option A_CCE Model selection'!E$4,'Specified CCE Model Price List'!$A$3:$O$3,0)),"")</f>
        <v/>
      </c>
      <c r="F23" s="31" t="str">
        <f>IFERROR(INDEX('Specified CCE Model Price List'!$A$3:$O$278,MATCH('Option A_CCE Model selection'!$C23,'Specified CCE Model Price List'!$E$3:$E$278,0),MATCH('Option A_CCE Model selection'!F$4,'Specified CCE Model Price List'!$A$3:$O$3,0)),"")</f>
        <v/>
      </c>
      <c r="G23" s="130" t="str">
        <f>IFERROR(INDEX('Specified CCE Model Price List'!$A$3:$O$278,MATCH('Option A_CCE Model selection'!$C23,'Specified CCE Model Price List'!$E$3:$E$278,0),MATCH('Option A_CCE Model selection'!G$4,'Specified CCE Model Price List'!$A$3:$O$3,0)),"")</f>
        <v/>
      </c>
      <c r="H23" s="203"/>
      <c r="I23" s="120" t="str">
        <f>IFERROR(IF(OR(EXACT(A23,'Specified CCE Model Price List'!$AB$14),EXACT(A23,'Specified CCE Model Price List'!$AB$16),EXACT(A23,'Specified CCE Model Price List'!$AB$17),EXACT(A23,'Specified CCE Model Price List'!$AB$18),EXACT(A23,'Specified CCE Model Price List'!$AB$19),EXACT(A23,'Specified CCE Model Price List'!$AB$20),EXACT(A23,'Specified CCE Model Price List'!$AB$21),EXACT(A23,'Specified CCE Model Price List'!$AB$22),EXACT(A23,'Specified CCE Model Price List'!$AB$23),EXACT(A23,'Specified CCE Model Price List'!$AB$24),EXACT(A23,'Specified CCE Model Price List'!$AB$25),EXACT(A23,'Specified CCE Model Price List'!$AB$26),EXACT(A23,'Specified CCE Model Price List'!$AB$27)),"N/A",H23+G23),"")</f>
        <v/>
      </c>
      <c r="J23" s="74"/>
      <c r="K23" s="75" t="str">
        <f t="shared" si="1"/>
        <v/>
      </c>
      <c r="L23" s="55"/>
      <c r="M23" s="170" t="str">
        <f t="shared" si="2"/>
        <v>_12</v>
      </c>
    </row>
    <row r="24" spans="1:13" s="25" customFormat="1" ht="27" customHeight="1" x14ac:dyDescent="0.25">
      <c r="A24" s="48" t="s">
        <v>400</v>
      </c>
      <c r="B24" s="48" t="s">
        <v>401</v>
      </c>
      <c r="C24" s="41"/>
      <c r="D24" s="28" t="str">
        <f>IFERROR(INDEX('Specified CCE Model Price List'!$A$3:$O$278,MATCH('Option A_CCE Model selection'!$C24,'Specified CCE Model Price List'!$E$3:$E$278,0),MATCH('Option A_CCE Model selection'!D$4,'Specified CCE Model Price List'!$A$3:$O$3,0)),"")</f>
        <v/>
      </c>
      <c r="E24" s="31" t="str">
        <f>IFERROR(INDEX('Specified CCE Model Price List'!$A$3:$O$278,MATCH('Option A_CCE Model selection'!$C24,'Specified CCE Model Price List'!$E$3:$E$278,0),MATCH('Option A_CCE Model selection'!E$4,'Specified CCE Model Price List'!$A$3:$O$3,0)),"")</f>
        <v/>
      </c>
      <c r="F24" s="31" t="str">
        <f>IFERROR(INDEX('Specified CCE Model Price List'!$A$3:$O$278,MATCH('Option A_CCE Model selection'!$C24,'Specified CCE Model Price List'!$E$3:$E$278,0),MATCH('Option A_CCE Model selection'!F$4,'Specified CCE Model Price List'!$A$3:$O$3,0)),"")</f>
        <v/>
      </c>
      <c r="G24" s="130" t="str">
        <f>IFERROR(INDEX('Specified CCE Model Price List'!$A$3:$O$278,MATCH('Option A_CCE Model selection'!$C24,'Specified CCE Model Price List'!$E$3:$E$278,0),MATCH('Option A_CCE Model selection'!G$4,'Specified CCE Model Price List'!$A$3:$O$3,0)),"")</f>
        <v/>
      </c>
      <c r="H24" s="203"/>
      <c r="I24" s="120" t="str">
        <f>IFERROR(IF(OR(EXACT(A24,'Specified CCE Model Price List'!$AB$14),EXACT(A24,'Specified CCE Model Price List'!$AB$16),EXACT(A24,'Specified CCE Model Price List'!$AB$17),EXACT(A24,'Specified CCE Model Price List'!$AB$18),EXACT(A24,'Specified CCE Model Price List'!$AB$19),EXACT(A24,'Specified CCE Model Price List'!$AB$20),EXACT(A24,'Specified CCE Model Price List'!$AB$21),EXACT(A24,'Specified CCE Model Price List'!$AB$22),EXACT(A24,'Specified CCE Model Price List'!$AB$23),EXACT(A24,'Specified CCE Model Price List'!$AB$24),EXACT(A24,'Specified CCE Model Price List'!$AB$25),EXACT(A24,'Specified CCE Model Price List'!$AB$26),EXACT(A24,'Specified CCE Model Price List'!$AB$27)),"N/A",H24+G24),"")</f>
        <v/>
      </c>
      <c r="J24" s="74"/>
      <c r="K24" s="75" t="str">
        <f t="shared" si="1"/>
        <v/>
      </c>
      <c r="L24" s="55"/>
      <c r="M24" s="170" t="str">
        <f t="shared" si="2"/>
        <v>_12</v>
      </c>
    </row>
    <row r="25" spans="1:13" s="25" customFormat="1" ht="27" customHeight="1" x14ac:dyDescent="0.25">
      <c r="A25" s="48" t="s">
        <v>338</v>
      </c>
      <c r="B25" s="48" t="s">
        <v>2183</v>
      </c>
      <c r="C25" s="41"/>
      <c r="D25" s="28" t="str">
        <f>IFERROR(INDEX('Specified CCE Model Price List'!$A$3:$O$278,MATCH('Option A_CCE Model selection'!$C25,'Specified CCE Model Price List'!$E$3:$E$278,0),MATCH('Option A_CCE Model selection'!D$4,'Specified CCE Model Price List'!$A$3:$O$3,0)),"")</f>
        <v/>
      </c>
      <c r="E25" s="31" t="str">
        <f>IFERROR(INDEX('Specified CCE Model Price List'!$A$3:$O$278,MATCH('Option A_CCE Model selection'!$C25,'Specified CCE Model Price List'!$E$3:$E$278,0),MATCH('Option A_CCE Model selection'!E$4,'Specified CCE Model Price List'!$A$3:$O$3,0)),"")</f>
        <v/>
      </c>
      <c r="F25" s="31" t="str">
        <f>IFERROR(INDEX('Specified CCE Model Price List'!$A$3:$O$278,MATCH('Option A_CCE Model selection'!$C25,'Specified CCE Model Price List'!$E$3:$E$278,0),MATCH('Option A_CCE Model selection'!F$4,'Specified CCE Model Price List'!$A$3:$O$3,0)),"")</f>
        <v/>
      </c>
      <c r="G25" s="130" t="str">
        <f>IFERROR(INDEX('Specified CCE Model Price List'!$A$3:$O$278,MATCH('Option A_CCE Model selection'!$C25,'Specified CCE Model Price List'!$E$3:$E$278,0),MATCH('Option A_CCE Model selection'!G$4,'Specified CCE Model Price List'!$A$3:$O$3,0)),"")</f>
        <v/>
      </c>
      <c r="H25" s="202"/>
      <c r="I25" s="120" t="str">
        <f>IFERROR(IF(OR(EXACT(A25,'Specified CCE Model Price List'!$AB$14),EXACT(A25,'Specified CCE Model Price List'!$AB$16),EXACT(A25,'Specified CCE Model Price List'!$AB$17),EXACT(A25,'Specified CCE Model Price List'!$AB$18),EXACT(A25,'Specified CCE Model Price List'!$AB$19),EXACT(A25,'Specified CCE Model Price List'!$AB$20),EXACT(A25,'Specified CCE Model Price List'!$AB$21),EXACT(A25,'Specified CCE Model Price List'!$AB$22),EXACT(A25,'Specified CCE Model Price List'!$AB$23),EXACT(A25,'Specified CCE Model Price List'!$AB$24),EXACT(A25,'Specified CCE Model Price List'!$AB$25),EXACT(A25,'Specified CCE Model Price List'!$AB$26),EXACT(A25,'Specified CCE Model Price List'!$AB$27)),"N/A",H25+G25),"")</f>
        <v>N/A</v>
      </c>
      <c r="J25" s="74"/>
      <c r="K25" s="75" t="str">
        <f t="shared" si="1"/>
        <v/>
      </c>
      <c r="L25" s="55"/>
      <c r="M25" s="170" t="str">
        <f t="shared" si="2"/>
        <v>_13</v>
      </c>
    </row>
    <row r="26" spans="1:13" s="25" customFormat="1" ht="27" customHeight="1" x14ac:dyDescent="0.25">
      <c r="A26" s="48" t="s">
        <v>339</v>
      </c>
      <c r="B26" s="48" t="s">
        <v>403</v>
      </c>
      <c r="C26" s="41"/>
      <c r="D26" s="28" t="str">
        <f>IFERROR(INDEX('Specified CCE Model Price List'!$A$3:$O$278,MATCH('Option A_CCE Model selection'!$C26,'Specified CCE Model Price List'!$E$3:$E$278,0),MATCH('Option A_CCE Model selection'!D$4,'Specified CCE Model Price List'!$A$3:$O$3,0)),"")</f>
        <v/>
      </c>
      <c r="E26" s="31" t="str">
        <f>IFERROR(INDEX('Specified CCE Model Price List'!$A$3:$O$278,MATCH('Option A_CCE Model selection'!$C26,'Specified CCE Model Price List'!$E$3:$E$278,0),MATCH('Option A_CCE Model selection'!E$4,'Specified CCE Model Price List'!$A$3:$O$3,0)),"")</f>
        <v/>
      </c>
      <c r="F26" s="31" t="str">
        <f>IFERROR(INDEX('Specified CCE Model Price List'!$A$3:$O$278,MATCH('Option A_CCE Model selection'!$C26,'Specified CCE Model Price List'!$E$3:$E$278,0),MATCH('Option A_CCE Model selection'!F$4,'Specified CCE Model Price List'!$A$3:$O$3,0)),"")</f>
        <v/>
      </c>
      <c r="G26" s="130" t="str">
        <f>IFERROR(INDEX('Specified CCE Model Price List'!$A$3:$O$278,MATCH('Option A_CCE Model selection'!$C26,'Specified CCE Model Price List'!$E$3:$E$278,0),MATCH('Option A_CCE Model selection'!G$4,'Specified CCE Model Price List'!$A$3:$O$3,0)),"")</f>
        <v/>
      </c>
      <c r="H26" s="202"/>
      <c r="I26" s="120" t="str">
        <f>IFERROR(IF(OR(EXACT(A26,'Specified CCE Model Price List'!$AB$14),EXACT(A26,'Specified CCE Model Price List'!$AB$16),EXACT(A26,'Specified CCE Model Price List'!$AB$17),EXACT(A26,'Specified CCE Model Price List'!$AB$18),EXACT(A26,'Specified CCE Model Price List'!$AB$19),EXACT(A26,'Specified CCE Model Price List'!$AB$20),EXACT(A26,'Specified CCE Model Price List'!$AB$21),EXACT(A26,'Specified CCE Model Price List'!$AB$22),EXACT(A26,'Specified CCE Model Price List'!$AB$23),EXACT(A26,'Specified CCE Model Price List'!$AB$24),EXACT(A26,'Specified CCE Model Price List'!$AB$25),EXACT(A26,'Specified CCE Model Price List'!$AB$26),EXACT(A26,'Specified CCE Model Price List'!$AB$27)),"N/A",H26+G26),"")</f>
        <v>N/A</v>
      </c>
      <c r="J26" s="74"/>
      <c r="K26" s="75" t="str">
        <f t="shared" si="1"/>
        <v/>
      </c>
      <c r="L26" s="55"/>
      <c r="M26" s="170" t="str">
        <f t="shared" si="2"/>
        <v>_14</v>
      </c>
    </row>
    <row r="27" spans="1:13" s="25" customFormat="1" ht="27" customHeight="1" x14ac:dyDescent="0.25">
      <c r="A27" s="49" t="s">
        <v>345</v>
      </c>
      <c r="B27" s="49" t="s">
        <v>404</v>
      </c>
      <c r="C27" s="41"/>
      <c r="D27" s="28" t="str">
        <f>IFERROR(INDEX('Specified CCE Model Price List'!$A$3:$O$278,MATCH('Option A_CCE Model selection'!$C27,'Specified CCE Model Price List'!$E$3:$E$278,0),MATCH('Option A_CCE Model selection'!D$4,'Specified CCE Model Price List'!$A$3:$O$3,0)),"")</f>
        <v/>
      </c>
      <c r="E27" s="31" t="str">
        <f>IFERROR(INDEX('Specified CCE Model Price List'!$A$3:$O$278,MATCH('Option A_CCE Model selection'!$C27,'Specified CCE Model Price List'!$E$3:$E$278,0),MATCH('Option A_CCE Model selection'!E$4,'Specified CCE Model Price List'!$A$3:$O$3,0)),"")</f>
        <v/>
      </c>
      <c r="F27" s="31" t="str">
        <f>IFERROR(INDEX('Specified CCE Model Price List'!$A$3:$O$278,MATCH('Option A_CCE Model selection'!$C27,'Specified CCE Model Price List'!$E$3:$E$278,0),MATCH('Option A_CCE Model selection'!F$4,'Specified CCE Model Price List'!$A$3:$O$3,0)),"")</f>
        <v/>
      </c>
      <c r="G27" s="130" t="str">
        <f>IFERROR(INDEX('Specified CCE Model Price List'!$A$3:$O$278,MATCH('Option A_CCE Model selection'!$C27,'Specified CCE Model Price List'!$E$3:$E$278,0),MATCH('Option A_CCE Model selection'!G$4,'Specified CCE Model Price List'!$A$3:$O$3,0)),"")</f>
        <v/>
      </c>
      <c r="H27" s="202"/>
      <c r="I27" s="120" t="str">
        <f>IFERROR(IF(OR(EXACT(A27,'Specified CCE Model Price List'!$AB$14),EXACT(A27,'Specified CCE Model Price List'!$AB$16),EXACT(A27,'Specified CCE Model Price List'!$AB$17),EXACT(A27,'Specified CCE Model Price List'!$AB$18),EXACT(A27,'Specified CCE Model Price List'!$AB$19),EXACT(A27,'Specified CCE Model Price List'!$AB$20),EXACT(A27,'Specified CCE Model Price List'!$AB$21),EXACT(A27,'Specified CCE Model Price List'!$AB$22),EXACT(A27,'Specified CCE Model Price List'!$AB$23),EXACT(A27,'Specified CCE Model Price List'!$AB$24),EXACT(A27,'Specified CCE Model Price List'!$AB$25),EXACT(A27,'Specified CCE Model Price List'!$AB$26),EXACT(A27,'Specified CCE Model Price List'!$AB$27)),"N/A",H27+G27),"")</f>
        <v>N/A</v>
      </c>
      <c r="J27" s="74"/>
      <c r="K27" s="75" t="str">
        <f t="shared" si="1"/>
        <v/>
      </c>
      <c r="L27" s="55"/>
      <c r="M27" s="170" t="str">
        <f t="shared" si="2"/>
        <v>_15</v>
      </c>
    </row>
    <row r="28" spans="1:13" s="25" customFormat="1" ht="27" customHeight="1" x14ac:dyDescent="0.25">
      <c r="A28" s="49" t="s">
        <v>340</v>
      </c>
      <c r="B28" s="49" t="s">
        <v>405</v>
      </c>
      <c r="C28" s="41"/>
      <c r="D28" s="28" t="str">
        <f>IFERROR(INDEX('Specified CCE Model Price List'!$A$3:$O$278,MATCH('Option A_CCE Model selection'!$C28,'Specified CCE Model Price List'!$E$3:$E$278,0),MATCH('Option A_CCE Model selection'!D$4,'Specified CCE Model Price List'!$A$3:$O$3,0)),"")</f>
        <v/>
      </c>
      <c r="E28" s="31" t="str">
        <f>IFERROR(INDEX('Specified CCE Model Price List'!$A$3:$O$278,MATCH('Option A_CCE Model selection'!$C28,'Specified CCE Model Price List'!$E$3:$E$278,0),MATCH('Option A_CCE Model selection'!E$4,'Specified CCE Model Price List'!$A$3:$O$3,0)),"")</f>
        <v/>
      </c>
      <c r="F28" s="31" t="str">
        <f>IFERROR(INDEX('Specified CCE Model Price List'!$A$3:$O$278,MATCH('Option A_CCE Model selection'!$C28,'Specified CCE Model Price List'!$E$3:$E$278,0),MATCH('Option A_CCE Model selection'!F$4,'Specified CCE Model Price List'!$A$3:$O$3,0)),"")</f>
        <v/>
      </c>
      <c r="G28" s="130" t="str">
        <f>IFERROR(INDEX('Specified CCE Model Price List'!$A$3:$O$278,MATCH('Option A_CCE Model selection'!$C28,'Specified CCE Model Price List'!$E$3:$E$278,0),MATCH('Option A_CCE Model selection'!G$4,'Specified CCE Model Price List'!$A$3:$O$3,0)),"")</f>
        <v/>
      </c>
      <c r="H28" s="202"/>
      <c r="I28" s="120" t="str">
        <f>IFERROR(IF(OR(EXACT(A28,'Specified CCE Model Price List'!$AB$14),EXACT(A28,'Specified CCE Model Price List'!$AB$16),EXACT(A28,'Specified CCE Model Price List'!$AB$17),EXACT(A28,'Specified CCE Model Price List'!$AB$18),EXACT(A28,'Specified CCE Model Price List'!$AB$19),EXACT(A28,'Specified CCE Model Price List'!$AB$20),EXACT(A28,'Specified CCE Model Price List'!$AB$21),EXACT(A28,'Specified CCE Model Price List'!$AB$22),EXACT(A28,'Specified CCE Model Price List'!$AB$23),EXACT(A28,'Specified CCE Model Price List'!$AB$24),EXACT(A28,'Specified CCE Model Price List'!$AB$25),EXACT(A28,'Specified CCE Model Price List'!$AB$26),EXACT(A28,'Specified CCE Model Price List'!$AB$27)),"N/A",H28+G28),"")</f>
        <v>N/A</v>
      </c>
      <c r="J28" s="74"/>
      <c r="K28" s="75" t="str">
        <f t="shared" si="1"/>
        <v/>
      </c>
      <c r="L28" s="55"/>
      <c r="M28" s="170" t="str">
        <f t="shared" si="2"/>
        <v>_16</v>
      </c>
    </row>
    <row r="29" spans="1:13" s="25" customFormat="1" ht="27" customHeight="1" x14ac:dyDescent="0.25">
      <c r="A29" s="50" t="s">
        <v>342</v>
      </c>
      <c r="B29" s="50" t="s">
        <v>406</v>
      </c>
      <c r="C29" s="41"/>
      <c r="D29" s="28" t="str">
        <f>IFERROR(INDEX('Specified CCE Model Price List'!$A$3:$O$278,MATCH('Option A_CCE Model selection'!$C29,'Specified CCE Model Price List'!$E$3:$E$278,0),MATCH('Option A_CCE Model selection'!D$4,'Specified CCE Model Price List'!$A$3:$O$3,0)),"")</f>
        <v/>
      </c>
      <c r="E29" s="31" t="str">
        <f>IFERROR(INDEX('Specified CCE Model Price List'!$A$3:$O$278,MATCH('Option A_CCE Model selection'!$C29,'Specified CCE Model Price List'!$E$3:$E$278,0),MATCH('Option A_CCE Model selection'!E$4,'Specified CCE Model Price List'!$A$3:$O$3,0)),"")</f>
        <v/>
      </c>
      <c r="F29" s="31" t="str">
        <f>IFERROR(INDEX('Specified CCE Model Price List'!$A$3:$O$278,MATCH('Option A_CCE Model selection'!$C29,'Specified CCE Model Price List'!$E$3:$E$278,0),MATCH('Option A_CCE Model selection'!F$4,'Specified CCE Model Price List'!$A$3:$O$3,0)),"")</f>
        <v/>
      </c>
      <c r="G29" s="130" t="str">
        <f>IFERROR(INDEX('Specified CCE Model Price List'!$A$3:$O$278,MATCH('Option A_CCE Model selection'!$C29,'Specified CCE Model Price List'!$E$3:$E$278,0),MATCH('Option A_CCE Model selection'!G$4,'Specified CCE Model Price List'!$A$3:$O$3,0)),"")</f>
        <v/>
      </c>
      <c r="H29" s="202"/>
      <c r="I29" s="120" t="str">
        <f>IFERROR(IF(OR(EXACT(A29,'Specified CCE Model Price List'!$AB$14),EXACT(A29,'Specified CCE Model Price List'!$AB$16),EXACT(A29,'Specified CCE Model Price List'!$AB$17),EXACT(A29,'Specified CCE Model Price List'!$AB$18),EXACT(A29,'Specified CCE Model Price List'!$AB$19),EXACT(A29,'Specified CCE Model Price List'!$AB$20),EXACT(A29,'Specified CCE Model Price List'!$AB$21),EXACT(A29,'Specified CCE Model Price List'!$AB$22),EXACT(A29,'Specified CCE Model Price List'!$AB$23),EXACT(A29,'Specified CCE Model Price List'!$AB$24),EXACT(A29,'Specified CCE Model Price List'!$AB$25),EXACT(A29,'Specified CCE Model Price List'!$AB$26),EXACT(A29,'Specified CCE Model Price List'!$AB$27)),"N/A",H29+G29),"")</f>
        <v>N/A</v>
      </c>
      <c r="J29" s="74"/>
      <c r="K29" s="75" t="str">
        <f t="shared" si="1"/>
        <v/>
      </c>
      <c r="L29" s="55"/>
      <c r="M29" s="170" t="str">
        <f t="shared" si="2"/>
        <v>_17</v>
      </c>
    </row>
    <row r="30" spans="1:13" s="25" customFormat="1" ht="27" customHeight="1" x14ac:dyDescent="0.25">
      <c r="A30" s="51" t="s">
        <v>2144</v>
      </c>
      <c r="B30" s="51" t="s">
        <v>2169</v>
      </c>
      <c r="C30" s="41"/>
      <c r="D30" s="28" t="str">
        <f>IFERROR(INDEX('Specified CCE Model Price List'!$A$3:$O$278,MATCH('Option A_CCE Model selection'!$C30,'Specified CCE Model Price List'!$E$3:$E$278,0),MATCH('Option A_CCE Model selection'!D$4,'Specified CCE Model Price List'!$A$3:$O$3,0)),"")</f>
        <v/>
      </c>
      <c r="E30" s="31" t="str">
        <f>IFERROR(INDEX('Specified CCE Model Price List'!$A$3:$O$278,MATCH('Option A_CCE Model selection'!$C30,'Specified CCE Model Price List'!$E$3:$E$278,0),MATCH('Option A_CCE Model selection'!E$4,'Specified CCE Model Price List'!$A$3:$O$3,0)),"")</f>
        <v/>
      </c>
      <c r="F30" s="31" t="str">
        <f>IFERROR(INDEX('Specified CCE Model Price List'!$A$3:$O$278,MATCH('Option A_CCE Model selection'!$C30,'Specified CCE Model Price List'!$E$3:$E$278,0),MATCH('Option A_CCE Model selection'!F$4,'Specified CCE Model Price List'!$A$3:$O$3,0)),"")</f>
        <v/>
      </c>
      <c r="G30" s="204" t="str">
        <f>IFERROR(INDEX('Specified CCE Model Price List'!$A$3:$O$278,MATCH('Option A_CCE Model selection'!$C30,'Specified CCE Model Price List'!$E$3:$E$278,0),MATCH('Option A_CCE Model selection'!G$4,'Specified CCE Model Price List'!$A$3:$O$3,0)),"")</f>
        <v/>
      </c>
      <c r="H30" s="202"/>
      <c r="I30" s="120" t="str">
        <f>IFERROR(IF(OR(EXACT(A30,'Specified CCE Model Price List'!$AB$14),EXACT(A30,'Specified CCE Model Price List'!$AB$16),EXACT(A30,'Specified CCE Model Price List'!$AB$17),EXACT(A30,'Specified CCE Model Price List'!$AB$18),EXACT(A30,'Specified CCE Model Price List'!$AB$19),EXACT(A30,'Specified CCE Model Price List'!$AB$20),EXACT(A30,'Specified CCE Model Price List'!$AB$21),EXACT(A30,'Specified CCE Model Price List'!$AB$22),EXACT(A30,'Specified CCE Model Price List'!$AB$23),EXACT(A30,'Specified CCE Model Price List'!$AB$24),EXACT(A30,'Specified CCE Model Price List'!$AB$25),EXACT(A30,'Specified CCE Model Price List'!$AB$26),EXACT(A30,'Specified CCE Model Price List'!$AB$27)),"N/A",H30+G30),"")</f>
        <v>N/A</v>
      </c>
      <c r="J30" s="74"/>
      <c r="K30" s="75" t="str">
        <f t="shared" si="1"/>
        <v/>
      </c>
      <c r="L30" s="55"/>
      <c r="M30" s="170" t="str">
        <f t="shared" si="2"/>
        <v>_18</v>
      </c>
    </row>
    <row r="31" spans="1:13" s="25" customFormat="1" ht="27" customHeight="1" x14ac:dyDescent="0.25">
      <c r="A31" s="52" t="s">
        <v>2162</v>
      </c>
      <c r="B31" s="51" t="s">
        <v>2168</v>
      </c>
      <c r="C31" s="41"/>
      <c r="D31" s="28" t="str">
        <f>IFERROR(INDEX('Specified CCE Model Price List'!$A$3:$O$278,MATCH('Option A_CCE Model selection'!$C31,'Specified CCE Model Price List'!$E$3:$E$278,0),MATCH('Option A_CCE Model selection'!D$4,'Specified CCE Model Price List'!$A$3:$O$3,0)),"")</f>
        <v/>
      </c>
      <c r="E31" s="31" t="str">
        <f>IFERROR(INDEX('Specified CCE Model Price List'!$A$3:$O$278,MATCH('Option A_CCE Model selection'!$C31,'Specified CCE Model Price List'!$E$3:$E$278,0),MATCH('Option A_CCE Model selection'!E$4,'Specified CCE Model Price List'!$A$3:$O$3,0)),"")</f>
        <v/>
      </c>
      <c r="F31" s="31" t="str">
        <f>IFERROR(INDEX('Specified CCE Model Price List'!$A$3:$O$278,MATCH('Option A_CCE Model selection'!$C31,'Specified CCE Model Price List'!$E$3:$E$278,0),MATCH('Option A_CCE Model selection'!F$4,'Specified CCE Model Price List'!$A$3:$O$3,0)),"")</f>
        <v/>
      </c>
      <c r="G31" s="204" t="str">
        <f>IFERROR(INDEX('Specified CCE Model Price List'!$A$3:$O$278,MATCH('Option A_CCE Model selection'!$C31,'Specified CCE Model Price List'!$E$3:$E$278,0),MATCH('Option A_CCE Model selection'!G$4,'Specified CCE Model Price List'!$A$3:$O$3,0)),"")</f>
        <v/>
      </c>
      <c r="H31" s="202"/>
      <c r="I31" s="120" t="str">
        <f>IFERROR(IF(OR(EXACT(A31,'Specified CCE Model Price List'!$AB$14),EXACT(A31,'Specified CCE Model Price List'!$AB$16),EXACT(A31,'Specified CCE Model Price List'!$AB$17),EXACT(A31,'Specified CCE Model Price List'!$AB$18),EXACT(A31,'Specified CCE Model Price List'!$AB$19),EXACT(A31,'Specified CCE Model Price List'!$AB$20),EXACT(A31,'Specified CCE Model Price List'!$AB$21),EXACT(A31,'Specified CCE Model Price List'!$AB$22),EXACT(A31,'Specified CCE Model Price List'!$AB$23),EXACT(A31,'Specified CCE Model Price List'!$AB$24),EXACT(A31,'Specified CCE Model Price List'!$AB$25),EXACT(A31,'Specified CCE Model Price List'!$AB$26),EXACT(A31,'Specified CCE Model Price List'!$AB$27)),"N/A",H31+G31),"")</f>
        <v>N/A</v>
      </c>
      <c r="J31" s="74">
        <v>1</v>
      </c>
      <c r="K31" s="75" t="str">
        <f t="shared" si="1"/>
        <v/>
      </c>
      <c r="L31" s="55"/>
      <c r="M31" s="170" t="str">
        <f t="shared" si="2"/>
        <v>_19</v>
      </c>
    </row>
    <row r="32" spans="1:13" s="25" customFormat="1" ht="27" customHeight="1" x14ac:dyDescent="0.25">
      <c r="A32" s="52" t="s">
        <v>2163</v>
      </c>
      <c r="B32" s="52" t="s">
        <v>2170</v>
      </c>
      <c r="C32" s="41"/>
      <c r="D32" s="28" t="str">
        <f>IFERROR(INDEX('Specified CCE Model Price List'!$A$3:$O$278,MATCH('Option A_CCE Model selection'!$C32,'Specified CCE Model Price List'!$E$3:$E$278,0),MATCH('Option A_CCE Model selection'!D$4,'Specified CCE Model Price List'!$A$3:$O$3,0)),"")</f>
        <v/>
      </c>
      <c r="E32" s="31" t="str">
        <f>IFERROR(INDEX('Specified CCE Model Price List'!$A$3:$O$278,MATCH('Option A_CCE Model selection'!$C32,'Specified CCE Model Price List'!$E$3:$E$278,0),MATCH('Option A_CCE Model selection'!E$4,'Specified CCE Model Price List'!$A$3:$O$3,0)),"")</f>
        <v/>
      </c>
      <c r="F32" s="31" t="str">
        <f>IFERROR(INDEX('Specified CCE Model Price List'!$A$3:$O$278,MATCH('Option A_CCE Model selection'!$C32,'Specified CCE Model Price List'!$E$3:$E$278,0),MATCH('Option A_CCE Model selection'!F$4,'Specified CCE Model Price List'!$A$3:$O$3,0)),"")</f>
        <v/>
      </c>
      <c r="G32" s="204" t="str">
        <f>IFERROR(INDEX('Specified CCE Model Price List'!$A$3:$O$278,MATCH('Option A_CCE Model selection'!$C32,'Specified CCE Model Price List'!$E$3:$E$278,0),MATCH('Option A_CCE Model selection'!G$4,'Specified CCE Model Price List'!$A$3:$O$3,0)),"")</f>
        <v/>
      </c>
      <c r="H32" s="202"/>
      <c r="I32" s="120" t="str">
        <f>IFERROR(IF(OR(EXACT(A32,'Specified CCE Model Price List'!$AB$14),EXACT(A32,'Specified CCE Model Price List'!$AB$16),EXACT(A32,'Specified CCE Model Price List'!$AB$17),EXACT(A32,'Specified CCE Model Price List'!$AB$18),EXACT(A32,'Specified CCE Model Price List'!$AB$19),EXACT(A32,'Specified CCE Model Price List'!$AB$20),EXACT(A32,'Specified CCE Model Price List'!$AB$21),EXACT(A32,'Specified CCE Model Price List'!$AB$22),EXACT(A32,'Specified CCE Model Price List'!$AB$23),EXACT(A32,'Specified CCE Model Price List'!$AB$24),EXACT(A32,'Specified CCE Model Price List'!$AB$25),EXACT(A32,'Specified CCE Model Price List'!$AB$26),EXACT(A32,'Specified CCE Model Price List'!$AB$27)),"N/A",H32+G32),"")</f>
        <v>N/A</v>
      </c>
      <c r="J32" s="74"/>
      <c r="K32" s="75" t="str">
        <f t="shared" si="1"/>
        <v/>
      </c>
      <c r="L32" s="55"/>
      <c r="M32" s="170" t="str">
        <f t="shared" si="2"/>
        <v>_20</v>
      </c>
    </row>
    <row r="33" spans="1:13" s="25" customFormat="1" ht="27" customHeight="1" x14ac:dyDescent="0.25">
      <c r="A33" s="122" t="s">
        <v>2164</v>
      </c>
      <c r="B33" s="52" t="s">
        <v>2171</v>
      </c>
      <c r="C33" s="41"/>
      <c r="D33" s="28" t="str">
        <f>IFERROR(INDEX('Specified CCE Model Price List'!$A$3:$O$278,MATCH('Option A_CCE Model selection'!$C33,'Specified CCE Model Price List'!$E$3:$E$278,0),MATCH('Option A_CCE Model selection'!D$4,'Specified CCE Model Price List'!$A$3:$O$3,0)),"")</f>
        <v/>
      </c>
      <c r="E33" s="31" t="str">
        <f>IFERROR(INDEX('Specified CCE Model Price List'!$A$3:$O$278,MATCH('Option A_CCE Model selection'!$C33,'Specified CCE Model Price List'!$E$3:$E$278,0),MATCH('Option A_CCE Model selection'!E$4,'Specified CCE Model Price List'!$A$3:$O$3,0)),"")</f>
        <v/>
      </c>
      <c r="F33" s="31" t="str">
        <f>IFERROR(INDEX('Specified CCE Model Price List'!$A$3:$O$278,MATCH('Option A_CCE Model selection'!$C33,'Specified CCE Model Price List'!$E$3:$E$278,0),MATCH('Option A_CCE Model selection'!F$4,'Specified CCE Model Price List'!$A$3:$O$3,0)),"")</f>
        <v/>
      </c>
      <c r="G33" s="204" t="str">
        <f>IFERROR(INDEX('Specified CCE Model Price List'!$A$3:$O$278,MATCH('Option A_CCE Model selection'!$C33,'Specified CCE Model Price List'!$E$3:$E$278,0),MATCH('Option A_CCE Model selection'!G$4,'Specified CCE Model Price List'!$A$3:$O$3,0)),"")</f>
        <v/>
      </c>
      <c r="H33" s="202"/>
      <c r="I33" s="120" t="str">
        <f>IFERROR(IF(OR(EXACT(A33,'Specified CCE Model Price List'!$AB$14),EXACT(A33,'Specified CCE Model Price List'!$AB$16),EXACT(A33,'Specified CCE Model Price List'!$AB$17),EXACT(A33,'Specified CCE Model Price List'!$AB$18),EXACT(A33,'Specified CCE Model Price List'!$AB$19),EXACT(A33,'Specified CCE Model Price List'!$AB$20),EXACT(A33,'Specified CCE Model Price List'!$AB$21),EXACT(A33,'Specified CCE Model Price List'!$AB$22),EXACT(A33,'Specified CCE Model Price List'!$AB$23),EXACT(A33,'Specified CCE Model Price List'!$AB$24),EXACT(A33,'Specified CCE Model Price List'!$AB$25),EXACT(A33,'Specified CCE Model Price List'!$AB$26),EXACT(A33,'Specified CCE Model Price List'!$AB$27)),"N/A",H33+G33),"")</f>
        <v>N/A</v>
      </c>
      <c r="J33" s="74"/>
      <c r="K33" s="75" t="str">
        <f t="shared" si="1"/>
        <v/>
      </c>
      <c r="L33" s="55"/>
      <c r="M33" s="170" t="str">
        <f t="shared" si="2"/>
        <v>_21</v>
      </c>
    </row>
    <row r="34" spans="1:13" s="25" customFormat="1" ht="27" customHeight="1" x14ac:dyDescent="0.25">
      <c r="A34" s="122" t="s">
        <v>2165</v>
      </c>
      <c r="B34" s="122" t="s">
        <v>2172</v>
      </c>
      <c r="C34" s="41"/>
      <c r="D34" s="28" t="str">
        <f>IFERROR(INDEX('Specified CCE Model Price List'!$A$3:$O$278,MATCH('Option A_CCE Model selection'!$C34,'Specified CCE Model Price List'!$E$3:$E$278,0),MATCH('Option A_CCE Model selection'!D$4,'Specified CCE Model Price List'!$A$3:$O$3,0)),"")</f>
        <v/>
      </c>
      <c r="E34" s="31" t="str">
        <f>IFERROR(INDEX('Specified CCE Model Price List'!$A$3:$O$278,MATCH('Option A_CCE Model selection'!$C34,'Specified CCE Model Price List'!$E$3:$E$278,0),MATCH('Option A_CCE Model selection'!E$4,'Specified CCE Model Price List'!$A$3:$O$3,0)),"")</f>
        <v/>
      </c>
      <c r="F34" s="31" t="str">
        <f>IFERROR(INDEX('Specified CCE Model Price List'!$A$3:$O$278,MATCH('Option A_CCE Model selection'!$C34,'Specified CCE Model Price List'!$E$3:$E$278,0),MATCH('Option A_CCE Model selection'!F$4,'Specified CCE Model Price List'!$A$3:$O$3,0)),"")</f>
        <v/>
      </c>
      <c r="G34" s="204" t="str">
        <f>IFERROR(INDEX('Specified CCE Model Price List'!$A$3:$O$278,MATCH('Option A_CCE Model selection'!$C34,'Specified CCE Model Price List'!$E$3:$E$278,0),MATCH('Option A_CCE Model selection'!G$4,'Specified CCE Model Price List'!$A$3:$O$3,0)),"")</f>
        <v/>
      </c>
      <c r="H34" s="202"/>
      <c r="I34" s="120" t="str">
        <f>IFERROR(IF(OR(EXACT(A34,'Specified CCE Model Price List'!$AB$14),EXACT(A34,'Specified CCE Model Price List'!$AB$16),EXACT(A34,'Specified CCE Model Price List'!$AB$17),EXACT(A34,'Specified CCE Model Price List'!$AB$18),EXACT(A34,'Specified CCE Model Price List'!$AB$19),EXACT(A34,'Specified CCE Model Price List'!$AB$20),EXACT(A34,'Specified CCE Model Price List'!$AB$21),EXACT(A34,'Specified CCE Model Price List'!$AB$22),EXACT(A34,'Specified CCE Model Price List'!$AB$23),EXACT(A34,'Specified CCE Model Price List'!$AB$24),EXACT(A34,'Specified CCE Model Price List'!$AB$25),EXACT(A34,'Specified CCE Model Price List'!$AB$26),EXACT(A34,'Specified CCE Model Price List'!$AB$27)),"N/A",H34+G34),"")</f>
        <v>N/A</v>
      </c>
      <c r="J34" s="74"/>
      <c r="K34" s="75" t="str">
        <f t="shared" si="1"/>
        <v/>
      </c>
      <c r="L34" s="55"/>
      <c r="M34" s="170" t="str">
        <f t="shared" si="2"/>
        <v>_22</v>
      </c>
    </row>
    <row r="35" spans="1:13" s="25" customFormat="1" ht="27" customHeight="1" x14ac:dyDescent="0.25">
      <c r="A35" s="122" t="s">
        <v>2166</v>
      </c>
      <c r="B35" s="122" t="s">
        <v>2173</v>
      </c>
      <c r="C35" s="41"/>
      <c r="D35" s="28" t="str">
        <f>IFERROR(INDEX('Specified CCE Model Price List'!$A$3:$O$278,MATCH('Option A_CCE Model selection'!$C35,'Specified CCE Model Price List'!$E$3:$E$278,0),MATCH('Option A_CCE Model selection'!D$4,'Specified CCE Model Price List'!$A$3:$O$3,0)),"")</f>
        <v/>
      </c>
      <c r="E35" s="31" t="str">
        <f>IFERROR(INDEX('Specified CCE Model Price List'!$A$3:$O$278,MATCH('Option A_CCE Model selection'!$C35,'Specified CCE Model Price List'!$E$3:$E$278,0),MATCH('Option A_CCE Model selection'!E$4,'Specified CCE Model Price List'!$A$3:$O$3,0)),"")</f>
        <v/>
      </c>
      <c r="F35" s="31" t="str">
        <f>IFERROR(INDEX('Specified CCE Model Price List'!$A$3:$O$278,MATCH('Option A_CCE Model selection'!$C35,'Specified CCE Model Price List'!$E$3:$E$278,0),MATCH('Option A_CCE Model selection'!F$4,'Specified CCE Model Price List'!$A$3:$O$3,0)),"")</f>
        <v/>
      </c>
      <c r="G35" s="204" t="str">
        <f>IFERROR(INDEX('Specified CCE Model Price List'!$A$3:$O$278,MATCH('Option A_CCE Model selection'!$C35,'Specified CCE Model Price List'!$E$3:$E$278,0),MATCH('Option A_CCE Model selection'!G$4,'Specified CCE Model Price List'!$A$3:$O$3,0)),"")</f>
        <v/>
      </c>
      <c r="H35" s="202"/>
      <c r="I35" s="120" t="str">
        <f>IFERROR(IF(OR(EXACT(A35,'Specified CCE Model Price List'!$AB$14),EXACT(A35,'Specified CCE Model Price List'!$AB$16),EXACT(A35,'Specified CCE Model Price List'!$AB$17),EXACT(A35,'Specified CCE Model Price List'!$AB$18),EXACT(A35,'Specified CCE Model Price List'!$AB$19),EXACT(A35,'Specified CCE Model Price List'!$AB$20),EXACT(A35,'Specified CCE Model Price List'!$AB$21),EXACT(A35,'Specified CCE Model Price List'!$AB$22),EXACT(A35,'Specified CCE Model Price List'!$AB$23),EXACT(A35,'Specified CCE Model Price List'!$AB$24),EXACT(A35,'Specified CCE Model Price List'!$AB$25),EXACT(A35,'Specified CCE Model Price List'!$AB$26),EXACT(A35,'Specified CCE Model Price List'!$AB$27)),"N/A",H35+G35),"")</f>
        <v>N/A</v>
      </c>
      <c r="J35" s="74"/>
      <c r="K35" s="75"/>
      <c r="L35" s="55"/>
      <c r="M35" s="170" t="str">
        <f t="shared" si="2"/>
        <v>_23</v>
      </c>
    </row>
    <row r="36" spans="1:13" s="25" customFormat="1" ht="27" customHeight="1" x14ac:dyDescent="0.25">
      <c r="A36" s="122" t="s">
        <v>2167</v>
      </c>
      <c r="B36" s="122" t="s">
        <v>2174</v>
      </c>
      <c r="C36" s="41"/>
      <c r="D36" s="28" t="str">
        <f>IFERROR(INDEX('Specified CCE Model Price List'!$A$3:$O$278,MATCH('Option A_CCE Model selection'!$C36,'Specified CCE Model Price List'!$E$3:$E$278,0),MATCH('Option A_CCE Model selection'!D$4,'Specified CCE Model Price List'!$A$3:$O$3,0)),"")</f>
        <v/>
      </c>
      <c r="E36" s="31" t="str">
        <f>IFERROR(INDEX('Specified CCE Model Price List'!$A$3:$O$278,MATCH('Option A_CCE Model selection'!$C36,'Specified CCE Model Price List'!$E$3:$E$278,0),MATCH('Option A_CCE Model selection'!E$4,'Specified CCE Model Price List'!$A$3:$O$3,0)),"")</f>
        <v/>
      </c>
      <c r="F36" s="31" t="str">
        <f>IFERROR(INDEX('Specified CCE Model Price List'!$A$3:$O$278,MATCH('Option A_CCE Model selection'!$C36,'Specified CCE Model Price List'!$E$3:$E$278,0),MATCH('Option A_CCE Model selection'!F$4,'Specified CCE Model Price List'!$A$3:$O$3,0)),"")</f>
        <v/>
      </c>
      <c r="G36" s="204" t="str">
        <f>IFERROR(INDEX('Specified CCE Model Price List'!$A$3:$O$278,MATCH('Option A_CCE Model selection'!$C36,'Specified CCE Model Price List'!$E$3:$E$278,0),MATCH('Option A_CCE Model selection'!G$4,'Specified CCE Model Price List'!$A$3:$O$3,0)),"")</f>
        <v/>
      </c>
      <c r="H36" s="202"/>
      <c r="I36" s="120" t="str">
        <f>IFERROR(IF(OR(EXACT(A36,'Specified CCE Model Price List'!$AB$14),EXACT(A36,'Specified CCE Model Price List'!$AB$16),EXACT(A36,'Specified CCE Model Price List'!$AB$17),EXACT(A36,'Specified CCE Model Price List'!$AB$18),EXACT(A36,'Specified CCE Model Price List'!$AB$19),EXACT(A36,'Specified CCE Model Price List'!$AB$20),EXACT(A36,'Specified CCE Model Price List'!$AB$21),EXACT(A36,'Specified CCE Model Price List'!$AB$22),EXACT(A36,'Specified CCE Model Price List'!$AB$23),EXACT(A36,'Specified CCE Model Price List'!$AB$24),EXACT(A36,'Specified CCE Model Price List'!$AB$25),EXACT(A36,'Specified CCE Model Price List'!$AB$26),EXACT(A36,'Specified CCE Model Price List'!$AB$27)),"N/A",H36+G36),"")</f>
        <v>N/A</v>
      </c>
      <c r="J36" s="74"/>
      <c r="K36" s="75" t="str">
        <f t="shared" si="1"/>
        <v/>
      </c>
      <c r="L36" s="55"/>
      <c r="M36" s="170" t="str">
        <f t="shared" si="2"/>
        <v>_24</v>
      </c>
    </row>
    <row r="37" spans="1:13" s="25" customFormat="1" ht="15" x14ac:dyDescent="0.25">
      <c r="A37" s="282" t="s">
        <v>322</v>
      </c>
      <c r="B37" s="283"/>
      <c r="C37" s="283"/>
      <c r="D37" s="283"/>
      <c r="E37" s="283"/>
      <c r="F37" s="283"/>
      <c r="G37" s="283"/>
      <c r="H37" s="283"/>
      <c r="I37" s="283"/>
      <c r="J37" s="286">
        <f>SUM(K6:K36)-SUMIF(M6:M36,"_3.",K6:K36)-SUMIF(M6:M36,"_4.",K6:K36)</f>
        <v>0</v>
      </c>
      <c r="K37" s="287"/>
      <c r="L37" s="58"/>
      <c r="M37" s="55"/>
    </row>
    <row r="38" spans="1:13" ht="15" x14ac:dyDescent="0.25">
      <c r="E38"/>
      <c r="F38"/>
      <c r="G38"/>
      <c r="H38"/>
      <c r="I38"/>
      <c r="J38"/>
      <c r="K38"/>
      <c r="L38"/>
      <c r="M38"/>
    </row>
    <row r="39" spans="1:13" s="25" customFormat="1" ht="15" x14ac:dyDescent="0.25">
      <c r="A39" s="275" t="s">
        <v>2177</v>
      </c>
      <c r="B39" s="276"/>
      <c r="C39" s="276"/>
      <c r="D39" s="276"/>
      <c r="E39" s="276"/>
      <c r="F39" s="276"/>
      <c r="G39" s="276"/>
      <c r="H39" s="276"/>
      <c r="I39" s="277"/>
      <c r="J39" s="278">
        <v>1000</v>
      </c>
      <c r="K39" s="279"/>
      <c r="L39" s="58"/>
      <c r="M39" s="55"/>
    </row>
    <row r="40" spans="1:13" s="25" customFormat="1" ht="15" x14ac:dyDescent="0.25">
      <c r="A40" s="275" t="s">
        <v>2178</v>
      </c>
      <c r="B40" s="276"/>
      <c r="C40" s="276"/>
      <c r="D40" s="276"/>
      <c r="E40" s="276"/>
      <c r="F40" s="276"/>
      <c r="G40" s="276"/>
      <c r="H40" s="276"/>
      <c r="I40" s="277"/>
      <c r="J40" s="278">
        <v>150</v>
      </c>
      <c r="K40" s="279"/>
      <c r="L40" s="58"/>
      <c r="M40" s="55"/>
    </row>
    <row r="41" spans="1:13" s="25" customFormat="1" ht="15" x14ac:dyDescent="0.25">
      <c r="A41" s="275" t="s">
        <v>2180</v>
      </c>
      <c r="B41" s="276"/>
      <c r="C41" s="276"/>
      <c r="D41" s="276"/>
      <c r="E41" s="276"/>
      <c r="F41" s="276"/>
      <c r="G41" s="276"/>
      <c r="H41" s="276"/>
      <c r="I41" s="277"/>
      <c r="J41" s="278">
        <v>150</v>
      </c>
      <c r="K41" s="279"/>
      <c r="L41" s="58"/>
      <c r="M41" s="55"/>
    </row>
    <row r="42" spans="1:13" s="25" customFormat="1" ht="15" x14ac:dyDescent="0.25">
      <c r="A42" s="275" t="s">
        <v>2182</v>
      </c>
      <c r="B42" s="276"/>
      <c r="C42" s="276"/>
      <c r="D42" s="276"/>
      <c r="E42" s="276"/>
      <c r="F42" s="276"/>
      <c r="G42" s="276"/>
      <c r="H42" s="276"/>
      <c r="I42" s="277"/>
      <c r="J42" s="278">
        <v>150</v>
      </c>
      <c r="K42" s="279"/>
      <c r="L42" s="58"/>
      <c r="M42" s="55"/>
    </row>
    <row r="43" spans="1:13" s="25" customFormat="1" ht="15" x14ac:dyDescent="0.25">
      <c r="A43" s="275" t="s">
        <v>2184</v>
      </c>
      <c r="B43" s="276"/>
      <c r="C43" s="276"/>
      <c r="D43" s="276"/>
      <c r="E43" s="276"/>
      <c r="F43" s="276"/>
      <c r="G43" s="276"/>
      <c r="H43" s="276"/>
      <c r="I43" s="277"/>
      <c r="J43" s="278">
        <v>2</v>
      </c>
      <c r="K43" s="279"/>
      <c r="L43" s="58"/>
      <c r="M43" s="55"/>
    </row>
    <row r="44" spans="1:13" s="25" customFormat="1" ht="15" x14ac:dyDescent="0.25">
      <c r="A44" s="275" t="s">
        <v>2185</v>
      </c>
      <c r="B44" s="276"/>
      <c r="C44" s="276"/>
      <c r="D44" s="276"/>
      <c r="E44" s="276"/>
      <c r="F44" s="276"/>
      <c r="G44" s="276"/>
      <c r="H44" s="276"/>
      <c r="I44" s="277"/>
      <c r="J44" s="278">
        <v>10</v>
      </c>
      <c r="K44" s="279"/>
      <c r="L44" s="58"/>
      <c r="M44" s="55"/>
    </row>
    <row r="45" spans="1:13" s="25" customFormat="1" ht="15" x14ac:dyDescent="0.25">
      <c r="A45" s="275" t="s">
        <v>2186</v>
      </c>
      <c r="B45" s="276"/>
      <c r="C45" s="276"/>
      <c r="D45" s="276"/>
      <c r="E45" s="276"/>
      <c r="F45" s="276"/>
      <c r="G45" s="276"/>
      <c r="H45" s="276"/>
      <c r="I45" s="277"/>
      <c r="J45" s="278">
        <v>60</v>
      </c>
      <c r="K45" s="279"/>
      <c r="L45" s="58"/>
      <c r="M45" s="55"/>
    </row>
    <row r="46" spans="1:13" s="25" customFormat="1" ht="15" x14ac:dyDescent="0.25">
      <c r="A46" s="275" t="s">
        <v>2187</v>
      </c>
      <c r="B46" s="276"/>
      <c r="C46" s="276"/>
      <c r="D46" s="276"/>
      <c r="E46" s="276"/>
      <c r="F46" s="276"/>
      <c r="G46" s="276"/>
      <c r="H46" s="276"/>
      <c r="I46" s="277"/>
      <c r="J46" s="280">
        <v>0.1</v>
      </c>
      <c r="K46" s="281"/>
      <c r="L46" s="58"/>
      <c r="M46" s="55"/>
    </row>
    <row r="47" spans="1:13" ht="15" x14ac:dyDescent="0.25">
      <c r="A47" s="297" t="s">
        <v>145</v>
      </c>
      <c r="B47" s="298"/>
      <c r="C47" s="298"/>
      <c r="D47" s="298"/>
      <c r="E47" s="298"/>
      <c r="F47" s="298"/>
      <c r="G47" s="298"/>
      <c r="H47" s="298"/>
      <c r="I47" s="299"/>
      <c r="J47" s="295">
        <f>(J39*SUM(J$6:J$8))+(J40*SUM($J$11:$J$21))+(J41*J22)+(J42*SUM($J$23:$J$24))+(J43*SUM($J$25:$J$26))+(J44*SUM($J$27:$J$28))+(J45*$J$29)+(J46*$J$30)</f>
        <v>0</v>
      </c>
      <c r="K47" s="296"/>
    </row>
    <row r="48" spans="1:13" s="36" customFormat="1" ht="15" x14ac:dyDescent="0.25">
      <c r="B48" s="58"/>
      <c r="E48" s="56"/>
      <c r="F48" s="56"/>
      <c r="G48" s="56"/>
      <c r="H48" s="56"/>
      <c r="I48" s="56"/>
      <c r="J48" s="56"/>
      <c r="K48" s="56"/>
    </row>
    <row r="49" spans="1:13" s="25" customFormat="1" ht="15" x14ac:dyDescent="0.25">
      <c r="A49" s="315" t="s">
        <v>144</v>
      </c>
      <c r="B49" s="316"/>
      <c r="C49" s="316"/>
      <c r="D49" s="316"/>
      <c r="E49" s="316"/>
      <c r="F49" s="316"/>
      <c r="G49" s="316"/>
      <c r="H49" s="316"/>
      <c r="I49" s="316"/>
      <c r="J49" s="286">
        <f>J37*1.06+J47</f>
        <v>0</v>
      </c>
      <c r="K49" s="287"/>
      <c r="L49" s="58"/>
      <c r="M49" s="55"/>
    </row>
    <row r="50" spans="1:13" ht="15" x14ac:dyDescent="0.25"/>
    <row r="51" spans="1:13" ht="15" x14ac:dyDescent="0.25">
      <c r="A51" s="309" t="s">
        <v>321</v>
      </c>
      <c r="B51" s="310"/>
      <c r="C51" s="310"/>
      <c r="D51" s="310"/>
      <c r="E51" s="310"/>
      <c r="F51" s="310"/>
      <c r="G51" s="310"/>
      <c r="H51" s="310"/>
      <c r="I51" s="311"/>
      <c r="J51" s="293"/>
      <c r="K51" s="294"/>
      <c r="L51" s="58"/>
      <c r="M51" s="58"/>
    </row>
    <row r="52" spans="1:13" ht="15" x14ac:dyDescent="0.25">
      <c r="A52" s="312" t="s">
        <v>258</v>
      </c>
      <c r="B52" s="313"/>
      <c r="C52" s="313"/>
      <c r="D52" s="313"/>
      <c r="E52" s="313"/>
      <c r="F52" s="313"/>
      <c r="G52" s="313"/>
      <c r="H52" s="313"/>
      <c r="I52" s="314"/>
      <c r="J52" s="295">
        <f>J37*J$51</f>
        <v>0</v>
      </c>
      <c r="K52" s="296"/>
    </row>
    <row r="53" spans="1:13" ht="15" x14ac:dyDescent="0.25">
      <c r="E53"/>
      <c r="F53"/>
      <c r="G53"/>
      <c r="H53"/>
      <c r="I53"/>
      <c r="J53"/>
      <c r="K53"/>
      <c r="L53"/>
      <c r="M53"/>
    </row>
    <row r="54" spans="1:13" ht="15" x14ac:dyDescent="0.25">
      <c r="A54" s="288" t="s">
        <v>323</v>
      </c>
      <c r="B54" s="289"/>
      <c r="C54" s="289"/>
      <c r="D54" s="289"/>
      <c r="E54" s="289"/>
      <c r="F54" s="289"/>
      <c r="G54" s="289"/>
      <c r="H54" s="289"/>
      <c r="I54" s="289"/>
      <c r="J54" s="291">
        <f>SUMIF(M6:M36,"_3.",K6:K36)+SUMIF(M6:M36,"_4.",K6:K36)</f>
        <v>0</v>
      </c>
      <c r="K54" s="292"/>
      <c r="L54"/>
      <c r="M54"/>
    </row>
    <row r="55" spans="1:13" ht="15" x14ac:dyDescent="0.25">
      <c r="A55" s="290" t="s">
        <v>2091</v>
      </c>
      <c r="B55" s="290"/>
      <c r="C55" s="290"/>
      <c r="D55" s="290"/>
      <c r="E55" s="290"/>
      <c r="F55" s="290"/>
      <c r="G55" s="290"/>
      <c r="H55" s="290"/>
      <c r="I55" s="290"/>
      <c r="J55" s="293"/>
      <c r="K55" s="294"/>
      <c r="L55"/>
      <c r="M55"/>
    </row>
    <row r="56" spans="1:13" ht="15" x14ac:dyDescent="0.25">
      <c r="A56" s="317" t="s">
        <v>360</v>
      </c>
      <c r="B56" s="318"/>
      <c r="C56" s="318"/>
      <c r="D56" s="318"/>
      <c r="E56" s="318"/>
      <c r="F56" s="318"/>
      <c r="G56" s="318"/>
      <c r="H56" s="318"/>
      <c r="I56" s="319"/>
      <c r="J56" s="295">
        <f>J54*J55</f>
        <v>0</v>
      </c>
      <c r="K56" s="296"/>
      <c r="L56"/>
      <c r="M56"/>
    </row>
    <row r="57" spans="1:13" ht="15.75" thickBot="1" x14ac:dyDescent="0.3">
      <c r="E57"/>
      <c r="F57"/>
      <c r="G57"/>
      <c r="H57"/>
      <c r="I57"/>
      <c r="J57"/>
      <c r="K57"/>
      <c r="L57"/>
      <c r="M57"/>
    </row>
    <row r="58" spans="1:13" ht="15.75" thickBot="1" x14ac:dyDescent="0.3">
      <c r="A58" s="304" t="s">
        <v>324</v>
      </c>
      <c r="B58" s="305"/>
      <c r="C58" s="305"/>
      <c r="D58" s="305"/>
      <c r="E58" s="305"/>
      <c r="F58" s="305"/>
      <c r="G58" s="305"/>
      <c r="H58" s="305"/>
      <c r="I58" s="306"/>
      <c r="J58" s="307">
        <f>J49+J52+J54+J56</f>
        <v>0</v>
      </c>
      <c r="K58" s="308"/>
    </row>
  </sheetData>
  <sheetProtection algorithmName="SHA-512" hashValue="OUJUHrf8M2oFl0XdsB67s99jNiXq8fmSZl49xz89zcHxOyzjH0uBihdZoIUX9oM0o8hbPf5FBSL1Q5EWx4C78A==" saltValue="HtTZHOA3ano5NMDVxlJ/5g==" spinCount="100000" sheet="1" sort="0" autoFilter="0" pivotTables="0"/>
  <dataConsolidate link="1"/>
  <mergeCells count="37">
    <mergeCell ref="A58:I58"/>
    <mergeCell ref="J58:K58"/>
    <mergeCell ref="A51:I51"/>
    <mergeCell ref="A52:I52"/>
    <mergeCell ref="J49:K49"/>
    <mergeCell ref="A49:I49"/>
    <mergeCell ref="A56:I56"/>
    <mergeCell ref="J56:K56"/>
    <mergeCell ref="A37:I37"/>
    <mergeCell ref="J1:K1"/>
    <mergeCell ref="J37:K37"/>
    <mergeCell ref="A54:I54"/>
    <mergeCell ref="A55:I55"/>
    <mergeCell ref="J54:K54"/>
    <mergeCell ref="J55:K55"/>
    <mergeCell ref="J52:K52"/>
    <mergeCell ref="J51:K51"/>
    <mergeCell ref="J47:K47"/>
    <mergeCell ref="J39:K39"/>
    <mergeCell ref="A47:I47"/>
    <mergeCell ref="A39:I39"/>
    <mergeCell ref="B4:B5"/>
    <mergeCell ref="A4:A5"/>
    <mergeCell ref="A40:I40"/>
    <mergeCell ref="A46:I46"/>
    <mergeCell ref="J40:K40"/>
    <mergeCell ref="J41:K41"/>
    <mergeCell ref="J42:K42"/>
    <mergeCell ref="J43:K43"/>
    <mergeCell ref="J44:K44"/>
    <mergeCell ref="J45:K45"/>
    <mergeCell ref="J46:K46"/>
    <mergeCell ref="A41:I41"/>
    <mergeCell ref="A42:I42"/>
    <mergeCell ref="A43:I43"/>
    <mergeCell ref="A44:I44"/>
    <mergeCell ref="A45:I45"/>
  </mergeCells>
  <conditionalFormatting sqref="D6:F36 I6:I36">
    <cfRule type="cellIs" dxfId="178" priority="2" operator="equal">
      <formula>"N/A"</formula>
    </cfRule>
  </conditionalFormatting>
  <conditionalFormatting sqref="G6:G36">
    <cfRule type="cellIs" dxfId="177" priority="1" operator="equal">
      <formula>"N/A"</formula>
    </cfRule>
  </conditionalFormatting>
  <dataValidations xWindow="801" yWindow="354" count="3">
    <dataValidation type="list" allowBlank="1" showInputMessage="1" showErrorMessage="1" sqref="A6:A36" xr:uid="{00000000-0002-0000-0200-000000000000}">
      <formula1>typeofequipment</formula1>
    </dataValidation>
    <dataValidation type="list" allowBlank="1" showInputMessage="1" showErrorMessage="1" sqref="C6:C36" xr:uid="{00000000-0002-0000-0200-000003000000}">
      <formula1>INDIRECT(SUBSTITUTE(A6," ",""))</formula1>
    </dataValidation>
    <dataValidation type="whole" allowBlank="1" showInputMessage="1" showErrorMessage="1" error="Amount to be inserted for service bundle should be between:_x000a_$11,000-$38,000 for WICR/WIFR_x000a_$650-$2150 for Off-Grid CCE with ground mounted panels_x000a_$1300- $4000 for Off-Grid CCE with pole mounted panels_x000a_$200-$400 for RTMDs" prompt="Amount to be inserted for service bundle should be between:_x000a_$11,000-$38,000 for WICR/WIFR_x000a_$650-$2150 (ground mount) and $1300- $4000 (pole mount) for Off-Grid CCE _x000a_$200-$400 for RTMDs_x000a_$400-$1,350 for on-grid devices" sqref="H6:H36" xr:uid="{8E3C0212-3B61-46AA-8F16-6F59BE3FFAA7}">
      <formula1>200</formula1>
      <formula2>38000</formula2>
    </dataValidation>
  </dataValidations>
  <pageMargins left="0.7" right="0.7" top="0.75" bottom="0.75" header="0.3" footer="0.3"/>
  <pageSetup scale="36" fitToHeight="0" orientation="landscape" r:id="rId1"/>
  <ignoredErrors>
    <ignoredError sqref="M5 M7:M29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4" operator="equal" id="{1DE51664-F8A8-4FBF-B323-53167EEE1455}">
            <xm:f>'Specified CCE Model Price List'!$AB$4</xm:f>
            <x14:dxf>
              <fill>
                <patternFill>
                  <bgColor theme="5" tint="0.79998168889431442"/>
                </patternFill>
              </fill>
            </x14:dxf>
          </x14:cfRule>
          <x14:cfRule type="cellIs" priority="35" operator="equal" id="{904EDFAB-64AF-4B8F-A849-46106FD14134}">
            <xm:f>'Specified CCE Model Price List'!$AB$5</xm:f>
            <x14:dxf>
              <fill>
                <patternFill>
                  <bgColor theme="4" tint="0.79998168889431442"/>
                </patternFill>
              </fill>
            </x14:dxf>
          </x14:cfRule>
          <x14:cfRule type="cellIs" priority="4807" operator="equal" id="{6876A0DD-A320-4AB2-8DAC-62891AF8E8A1}">
            <xm:f>'Specified CCE Model Price List'!$AB$6</xm:f>
            <x14:dxf>
              <fill>
                <patternFill>
                  <bgColor theme="3" tint="0.59996337778862885"/>
                </patternFill>
              </fill>
            </x14:dxf>
          </x14:cfRule>
          <x14:cfRule type="cellIs" priority="4808" operator="equal" id="{BE23674B-D7B0-4662-ACAD-6BB2B4AEF3DF}">
            <xm:f>'Specified CCE Model Price List'!$AB$7</xm:f>
            <x14:dxf>
              <font>
                <color theme="0"/>
              </font>
              <fill>
                <patternFill>
                  <bgColor theme="5" tint="-0.24994659260841701"/>
                </patternFill>
              </fill>
            </x14:dxf>
          </x14:cfRule>
          <xm:sqref>A6:B36</xm:sqref>
        </x14:conditionalFormatting>
        <x14:conditionalFormatting xmlns:xm="http://schemas.microsoft.com/office/excel/2006/main">
          <x14:cfRule type="expression" priority="5184" id="{64FB30DF-D54E-4674-8940-C14668C4771C}">
            <xm:f>OR(A1='Specified CCE Model Price List'!$AB$14,A1='Specified CCE Model Price List'!$AB$17,A1='Specified CCE Model Price List'!$AB$19,A1='Specified CCE Model Price List'!#REF!,A1='Specified CCE Model Price List'!$AB$22)</xm:f>
            <x14:dxf>
              <font>
                <color theme="1"/>
              </font>
              <fill>
                <patternFill>
                  <bgColor theme="1" tint="0.499984740745262"/>
                </patternFill>
              </fill>
            </x14:dxf>
          </x14:cfRule>
          <xm:sqref>H1:H3</xm:sqref>
        </x14:conditionalFormatting>
        <x14:conditionalFormatting xmlns:xm="http://schemas.microsoft.com/office/excel/2006/main">
          <x14:cfRule type="cellIs" priority="5185" operator="equal" id="{392FA4FC-3E88-4A5B-942D-872AB31F0282}">
            <xm:f>'Specified CCE Model Price List'!$AB$16</xm:f>
            <x14:dxf>
              <font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5186" operator="equal" id="{7E6D18B8-C8DD-48AC-AA2B-32EF4069A3E7}">
            <xm:f>'Specified CCE Model Price List'!$AB$18</xm:f>
            <x14:dxf>
              <font>
                <color theme="1"/>
              </font>
              <fill>
                <patternFill>
                  <bgColor rgb="FFCCCCFF"/>
                </patternFill>
              </fill>
            </x14:dxf>
          </x14:cfRule>
          <x14:cfRule type="cellIs" priority="5187" operator="equal" id="{065F79D3-DE18-494A-B378-21D568A7FB4B}">
            <xm:f>'Specified CCE Model Price List'!$AB$20</xm:f>
            <x14:dxf>
              <fill>
                <patternFill>
                  <bgColor rgb="FFFFC000"/>
                </patternFill>
              </fill>
            </x14:dxf>
          </x14:cfRule>
          <x14:cfRule type="cellIs" priority="5188" operator="equal" id="{1FA4DEA3-D36A-4F52-B7A1-D7B6DC3148F2}">
            <xm:f>'Specified CCE Model Price List'!$AB$22</xm:f>
            <x14:dxf>
              <fill>
                <patternFill>
                  <bgColor rgb="FFFFFF00"/>
                </patternFill>
              </fill>
            </x14:dxf>
          </x14:cfRule>
          <x14:cfRule type="cellIs" priority="5189" operator="equal" id="{E096020B-9C17-4856-9885-93C226673A7C}">
            <xm:f>'Specified CCE Model Price List'!$AB$23</xm:f>
            <x14:dxf>
              <font>
                <color theme="0"/>
              </font>
              <fill>
                <patternFill>
                  <bgColor rgb="FF9900CC"/>
                </patternFill>
              </fill>
            </x14:dxf>
          </x14:cfRule>
          <x14:cfRule type="cellIs" priority="5190" operator="equal" id="{7AFC3143-6899-4E58-AAB5-6A37B4071C00}">
            <xm:f>'Specified CCE Model Price List'!$AB$24</xm:f>
            <x14:dxf>
              <fill>
                <patternFill>
                  <bgColor rgb="FFFF99FF"/>
                </patternFill>
              </fill>
            </x14:dxf>
          </x14:cfRule>
          <x14:cfRule type="cellIs" priority="5191" operator="equal" id="{F16A75CD-466F-4F19-A483-6EF701E3E7B9}">
            <xm:f>'Specified CCE Model Price List'!$AB$25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5192" operator="equal" id="{29E9115B-CE5C-4F54-94D5-7C22E014A75D}">
            <xm:f>'Specified CCE Model Price List'!$AB$26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ellIs" priority="5193" operator="equal" id="{E820FB2D-D401-4E15-AC9B-BE020E5E41C5}">
            <xm:f>'Specified CCE Model Price List'!$AB$27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cellIs" priority="5194" operator="equal" id="{1FDA4CD4-7624-4184-8DA4-4DB9A4E3F158}">
            <xm:f>'Specified CCE Model Price List'!$AB$8</xm:f>
            <x14:dxf>
              <font>
                <color theme="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5195" operator="equal" id="{2845C47E-FA69-4987-BB17-BB14A641077C}">
            <xm:f>'Specified CCE Model Price List'!$AB$9</xm:f>
            <x14:dxf>
              <font>
                <color theme="1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5196" operator="equal" id="{5665C3F0-AFC3-4C4A-ABC3-483A71E3493B}">
            <xm:f>'Specified CCE Model Price List'!$AB$10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5197" operator="equal" id="{495E7CAB-6337-4027-9875-FB12AFBDD967}">
            <xm:f>'Specified CCE Model Price List'!$AB$11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5198" operator="equal" id="{5AC4EE82-545D-4166-B50F-A54BF52F6CE5}">
            <xm:f>'Specified CCE Model Price List'!$AB$12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cellIs" priority="5199" operator="equal" id="{A031C525-8A33-4F29-A5AD-8FC0D86F7FC5}">
            <xm:f>'Specified CCE Model Price List'!$AB$13</xm:f>
            <x14:dxf>
              <font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cellIs" priority="5200" operator="equal" id="{FCE997E4-F5DD-483C-BCF5-498EC9E51D8E}">
            <xm:f>'Specified CCE Model Price List'!$AB$14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14:cfRule type="cellIs" priority="5201" operator="equal" id="{A04887D6-A1B8-421D-8BB4-F651E77BCAD9}">
            <xm:f>'Specified CCE Model Price List'!$AB$15</xm:f>
            <x14:dxf>
              <font>
                <color theme="1"/>
              </font>
              <fill>
                <patternFill>
                  <bgColor theme="9" tint="0.59996337778862885"/>
                </patternFill>
              </fill>
            </x14:dxf>
          </x14:cfRule>
          <x14:cfRule type="cellIs" priority="5202" operator="equal" id="{FC734DED-E4B8-4F9E-A593-C13E85798C61}">
            <xm:f>'Specified CCE Model Price List'!$AB$17</xm:f>
            <x14:dxf>
              <font>
                <color theme="1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5203" operator="equal" id="{7F847D63-D9C3-4E8B-B479-D73395A77867}">
            <xm:f>'Specified CCE Model Price List'!$AB$19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ellIs" priority="5204" operator="equal" id="{C88F3786-D632-42F9-A62A-6393F8A9DDDD}">
            <xm:f>'Specified CCE Model Price List'!$AB$22</xm:f>
            <x14:dxf>
              <font>
                <color theme="1"/>
              </font>
              <fill>
                <patternFill>
                  <bgColor rgb="FF9999FF"/>
                </patternFill>
              </fill>
            </x14:dxf>
          </x14:cfRule>
          <xm:sqref>A1:B2 A6:B36</xm:sqref>
        </x14:conditionalFormatting>
        <x14:conditionalFormatting xmlns:xm="http://schemas.microsoft.com/office/excel/2006/main">
          <x14:cfRule type="cellIs" priority="5225" operator="equal" id="{40194035-514E-4E3C-B941-8BFE8D23ABFB}">
            <xm:f>'Specified CCE Model Price List'!$AB$22</xm:f>
            <x14:dxf>
              <fill>
                <patternFill>
                  <bgColor rgb="FFFFFF00"/>
                </patternFill>
              </fill>
            </x14:dxf>
          </x14:cfRule>
          <x14:cfRule type="cellIs" priority="5226" operator="equal" id="{C984F952-6052-460F-A962-25FA7431B731}">
            <xm:f>'Specified CCE Model Price List'!$AB$27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cellIs" priority="5227" operator="equal" id="{1097636C-14FF-4A64-BC6D-E33F69937A5E}">
            <xm:f>'Specified CCE Model Price List'!$AB$26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ellIs" priority="5228" operator="equal" id="{3B251711-67FD-4396-BDE4-8855BA9501B4}">
            <xm:f>'Specified CCE Model Price List'!$AB$25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5229" operator="equal" id="{11D180B7-F0EE-4FB2-ABBB-174D38E8A405}">
            <xm:f>'Specified CCE Model Price List'!$AB$24</xm:f>
            <x14:dxf>
              <fill>
                <patternFill>
                  <bgColor rgb="FFFF99FF"/>
                </patternFill>
              </fill>
            </x14:dxf>
          </x14:cfRule>
          <x14:cfRule type="cellIs" priority="5230" operator="equal" id="{35DB5A15-6D21-4505-982F-E659F9C30492}">
            <xm:f>'Specified CCE Model Price List'!$AB$23</xm:f>
            <x14:dxf>
              <font>
                <color theme="0"/>
              </font>
              <fill>
                <patternFill>
                  <bgColor rgb="FF9900CC"/>
                </patternFill>
              </fill>
            </x14:dxf>
          </x14:cfRule>
          <x14:cfRule type="cellIs" priority="5231" operator="equal" id="{46360C6E-4039-4EC1-ABF9-BCB5740E08AF}">
            <xm:f>'Specified CCE Model Price List'!$AB$22</xm:f>
            <x14:dxf>
              <fill>
                <patternFill>
                  <bgColor rgb="FFFFC000"/>
                </patternFill>
              </fill>
            </x14:dxf>
          </x14:cfRule>
          <x14:cfRule type="cellIs" priority="5232" operator="equal" id="{60318092-4BA8-4431-A1B7-C7ECAFF6DA93}">
            <xm:f>'Specified CCE Model Price List'!$AB$22</xm:f>
            <x14:dxf>
              <font>
                <color theme="1"/>
              </font>
              <fill>
                <patternFill>
                  <bgColor rgb="FFCCCCFF"/>
                </patternFill>
              </fill>
            </x14:dxf>
          </x14:cfRule>
          <x14:cfRule type="cellIs" priority="5233" operator="equal" id="{FDF44A30-81EB-4AD5-AD4C-39806864FFFB}">
            <xm:f>'Specified CCE Model Price List'!#REF!</xm:f>
            <x14:dxf>
              <font>
                <color theme="1"/>
              </font>
              <fill>
                <patternFill>
                  <bgColor rgb="FFCCCCFF"/>
                </patternFill>
              </fill>
            </x14:dxf>
          </x14:cfRule>
          <x14:cfRule type="cellIs" priority="5234" operator="equal" id="{851A3D18-CF7E-457F-A38D-E70423411E30}">
            <xm:f>'Specified CCE Model Price List'!$AB$19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ellIs" priority="5235" operator="equal" id="{5CB73EB2-288D-4109-A54C-C3045933A240}">
            <xm:f>'Specified CCE Model Price List'!$AB$17</xm:f>
            <x14:dxf>
              <font>
                <color theme="1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5236" operator="equal" id="{06C29BEF-F69C-47AB-80AB-95255E887FFE}">
            <xm:f>'Specified CCE Model Price List'!$AB$15</xm:f>
            <x14:dxf>
              <font>
                <color theme="1"/>
              </font>
              <fill>
                <patternFill>
                  <bgColor theme="9" tint="0.59996337778862885"/>
                </patternFill>
              </fill>
            </x14:dxf>
          </x14:cfRule>
          <x14:cfRule type="cellIs" priority="5237" operator="equal" id="{5808F185-541C-4F2C-9E92-1E802444F315}">
            <xm:f>'Specified CCE Model Price List'!$AB$14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14:cfRule type="cellIs" priority="5238" operator="equal" id="{CCF79960-71DD-4DD7-9A80-E0A5545C08BA}">
            <xm:f>'Specified CCE Model Price List'!$AB$13</xm:f>
            <x14:dxf>
              <font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cellIs" priority="5239" operator="equal" id="{E4A658CF-4F53-4B8B-B416-CD6ADB26C830}">
            <xm:f>'Specified CCE Model Price List'!$AB$12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cellIs" priority="5240" operator="equal" id="{DBA9E264-5FAA-442B-AFBA-10D0B7F5919E}">
            <xm:f>'Specified CCE Model Price List'!$AB$11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5241" operator="equal" id="{D8F097F0-EE41-4A87-8600-10F5FDCF1CBD}">
            <xm:f>'Specified CCE Model Price List'!#REF!</xm:f>
            <x14:dxf>
              <font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5242" operator="equal" id="{8B563C4E-C448-4289-81D5-69ECCC131A8C}">
            <xm:f>'Specified CCE Model Price List'!$AB$10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5243" operator="equal" id="{995B5785-ED94-47EB-96A1-56CE764E5BBB}">
            <xm:f>'Specified CCE Model Price List'!$AB$9</xm:f>
            <x14:dxf>
              <font>
                <color theme="1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5244" operator="equal" id="{68B258F2-830E-47A5-8FFC-0343B1DFF23A}">
            <xm:f>'Specified CCE Model Price List'!$AB$8</xm:f>
            <x14:dxf>
              <font>
                <color theme="1"/>
              </font>
              <fill>
                <patternFill>
                  <bgColor theme="4" tint="0.79998168889431442"/>
                </patternFill>
              </fill>
            </x14:dxf>
          </x14:cfRule>
          <xm:sqref>A3:B4</xm:sqref>
        </x14:conditionalFormatting>
        <x14:conditionalFormatting xmlns:xm="http://schemas.microsoft.com/office/excel/2006/main">
          <x14:cfRule type="expression" priority="5245" id="{49112B5E-7369-42A9-8AD7-05205E442C6A}">
            <xm:f>OR(A4='Specified CCE Model Price List'!$AB$14,A4='Specified CCE Model Price List'!$AB$17,A4='Specified CCE Model Price List'!$AB$19,A4='Specified CCE Model Price List'!#REF!,A4='Specified CCE Model Price List'!$AB$22)</xm:f>
            <x14:dxf>
              <font>
                <color theme="1"/>
              </font>
              <fill>
                <patternFill>
                  <bgColor theme="1" tint="0.499984740745262"/>
                </patternFill>
              </fill>
            </x14:dxf>
          </x14:cfRule>
          <xm:sqref>H4:H5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5AFC-909B-4A15-BECD-250E08522EA7}">
  <sheetPr>
    <tabColor theme="3" tint="-0.249977111117893"/>
    <pageSetUpPr fitToPage="1"/>
  </sheetPr>
  <dimension ref="A1:BW58"/>
  <sheetViews>
    <sheetView showGridLines="0" topLeftCell="A35" zoomScaleNormal="100" zoomScaleSheetLayoutView="100" workbookViewId="0">
      <selection activeCell="A39" sqref="A39:K47"/>
    </sheetView>
  </sheetViews>
  <sheetFormatPr defaultColWidth="0" defaultRowHeight="27" customHeight="1" x14ac:dyDescent="0.25"/>
  <cols>
    <col min="1" max="2" width="30.42578125" customWidth="1"/>
    <col min="3" max="4" width="15.42578125" customWidth="1"/>
    <col min="5" max="5" width="15.42578125" style="32" customWidth="1"/>
    <col min="6" max="6" width="11.42578125" style="32" bestFit="1" customWidth="1"/>
    <col min="7" max="7" width="13.42578125" style="32" bestFit="1" customWidth="1"/>
    <col min="8" max="8" width="21.42578125" style="32" bestFit="1" customWidth="1"/>
    <col min="9" max="9" width="14.42578125" style="32" bestFit="1" customWidth="1"/>
    <col min="10" max="11" width="12.42578125" style="32" customWidth="1"/>
    <col min="12" max="13" width="9.140625" style="58" customWidth="1"/>
    <col min="14" max="75" width="0" hidden="1" customWidth="1"/>
    <col min="76" max="16384" width="9.140625" hidden="1"/>
  </cols>
  <sheetData>
    <row r="1" spans="1:13" s="69" customFormat="1" ht="16.5" customHeight="1" thickTop="1" thickBot="1" x14ac:dyDescent="0.3">
      <c r="A1" s="66"/>
      <c r="B1" s="67"/>
      <c r="C1" s="67"/>
      <c r="D1" s="67"/>
      <c r="E1" s="67"/>
      <c r="F1" s="70"/>
      <c r="G1" s="70"/>
      <c r="H1" s="70"/>
      <c r="I1" s="70"/>
      <c r="J1" s="284" t="s">
        <v>407</v>
      </c>
      <c r="K1" s="285"/>
      <c r="L1" s="68"/>
      <c r="M1" s="68"/>
    </row>
    <row r="2" spans="1:13" s="6" customFormat="1" ht="60.75" customHeight="1" thickTop="1" x14ac:dyDescent="0.25">
      <c r="A2" s="7" t="s">
        <v>408</v>
      </c>
      <c r="B2" s="7"/>
      <c r="C2" s="7" t="s">
        <v>409</v>
      </c>
      <c r="D2" s="7" t="s">
        <v>410</v>
      </c>
      <c r="E2" s="29" t="s">
        <v>411</v>
      </c>
      <c r="F2" s="76" t="s">
        <v>412</v>
      </c>
      <c r="G2" s="76" t="s">
        <v>413</v>
      </c>
      <c r="H2" s="76" t="s">
        <v>414</v>
      </c>
      <c r="I2" s="77" t="s">
        <v>415</v>
      </c>
      <c r="J2" s="78" t="s">
        <v>416</v>
      </c>
      <c r="K2" s="79" t="s">
        <v>417</v>
      </c>
      <c r="L2" s="53"/>
      <c r="M2" s="53"/>
    </row>
    <row r="3" spans="1:13" s="11" customFormat="1" ht="45" customHeight="1" thickBot="1" x14ac:dyDescent="0.3">
      <c r="A3" s="9"/>
      <c r="B3" s="194" t="s">
        <v>418</v>
      </c>
      <c r="C3" s="10" t="s">
        <v>419</v>
      </c>
      <c r="D3" s="9"/>
      <c r="E3" s="30"/>
      <c r="F3" s="30"/>
      <c r="G3" s="30"/>
      <c r="H3" s="80" t="s">
        <v>420</v>
      </c>
      <c r="I3" s="81"/>
      <c r="J3" s="82" t="s">
        <v>421</v>
      </c>
      <c r="K3" s="83"/>
      <c r="L3" s="54"/>
      <c r="M3" s="54"/>
    </row>
    <row r="4" spans="1:13" s="11" customFormat="1" ht="45" customHeight="1" thickTop="1" x14ac:dyDescent="0.25">
      <c r="A4" s="302" t="s">
        <v>422</v>
      </c>
      <c r="B4" s="300" t="s">
        <v>423</v>
      </c>
      <c r="C4" s="7" t="s">
        <v>424</v>
      </c>
      <c r="D4" s="7" t="s">
        <v>425</v>
      </c>
      <c r="E4" s="29" t="s">
        <v>426</v>
      </c>
      <c r="F4" s="76" t="s">
        <v>427</v>
      </c>
      <c r="G4" s="76" t="s">
        <v>428</v>
      </c>
      <c r="H4" s="76" t="s">
        <v>429</v>
      </c>
      <c r="I4" s="77" t="s">
        <v>430</v>
      </c>
      <c r="J4" s="78" t="s">
        <v>431</v>
      </c>
      <c r="K4" s="79" t="s">
        <v>432</v>
      </c>
      <c r="L4" s="54"/>
      <c r="M4" s="54"/>
    </row>
    <row r="5" spans="1:13" s="25" customFormat="1" ht="27" customHeight="1" x14ac:dyDescent="0.25">
      <c r="A5" s="303"/>
      <c r="B5" s="301"/>
      <c r="C5" s="10" t="s">
        <v>433</v>
      </c>
      <c r="D5" s="9"/>
      <c r="E5" s="30"/>
      <c r="F5" s="30"/>
      <c r="G5" s="30"/>
      <c r="H5" s="80" t="s">
        <v>434</v>
      </c>
      <c r="I5" s="81"/>
      <c r="J5" s="82" t="s">
        <v>435</v>
      </c>
      <c r="K5" s="83"/>
      <c r="L5" s="55"/>
      <c r="M5" s="170" t="str">
        <f>LEFT(A5,3)</f>
        <v/>
      </c>
    </row>
    <row r="6" spans="1:13" s="25" customFormat="1" ht="27" customHeight="1" x14ac:dyDescent="0.25">
      <c r="A6" s="40" t="s">
        <v>257</v>
      </c>
      <c r="B6" s="40" t="s">
        <v>373</v>
      </c>
      <c r="C6" s="41"/>
      <c r="D6" s="28" t="str">
        <f>IFERROR(INDEX('Specified CCE Model Price List'!$A$3:$O$278,MATCH('Option B_CCE Model selection'!$C6,'Specified CCE Model Price List'!$E$3:$E$278,0),MATCH('Option B_CCE Model selection'!D$4,'Specified CCE Model Price List'!$A$3:$O$3,0)),"")</f>
        <v/>
      </c>
      <c r="E6" s="31" t="str">
        <f>IFERROR(INDEX('Specified CCE Model Price List'!$A$3:$O$278,MATCH('Option B_CCE Model selection'!$C6,'Specified CCE Model Price List'!$E$3:$E$278,0),MATCH('Option B_CCE Model selection'!E$4,'Specified CCE Model Price List'!$A$3:$O$3,0)),"")</f>
        <v/>
      </c>
      <c r="F6" s="31" t="str">
        <f>IFERROR(INDEX('Specified CCE Model Price List'!$A$3:$O$278,MATCH('Option B_CCE Model selection'!$C6,'Specified CCE Model Price List'!$E$3:$E$278,0),MATCH('Option B_CCE Model selection'!F$4,'Specified CCE Model Price List'!$A$3:$O$3,0)),"")</f>
        <v/>
      </c>
      <c r="G6" s="130" t="str">
        <f>IFERROR(INDEX('Specified CCE Model Price List'!$A$3:$O$278,MATCH('Option B_CCE Model selection'!$C6,'Specified CCE Model Price List'!$E$3:$E$278,0),MATCH('Option B_CCE Model selection'!G$4,'Specified CCE Model Price List'!$A$3:$O$3,0)),"")</f>
        <v/>
      </c>
      <c r="H6" s="201"/>
      <c r="I6" s="120" t="str">
        <f>IFERROR(IF(OR(EXACT(A6,'Specified CCE Model Price List'!$AB$14),EXACT(A6,'Specified CCE Model Price List'!$AB$16),EXACT(A6,'Specified CCE Model Price List'!$AB$17),EXACT(A6,'Specified CCE Model Price List'!$AB$18),EXACT(A6,'Specified CCE Model Price List'!$AB$19),EXACT(A6,'Specified CCE Model Price List'!$AB$20),EXACT(A6,'Specified CCE Model Price List'!$AB$21),EXACT(A6,'Specified CCE Model Price List'!$AB$22),EXACT(A6,'Specified CCE Model Price List'!$AB$23),EXACT(A6,'Specified CCE Model Price List'!$AB$24),EXACT(A6,'Specified CCE Model Price List'!$AB$25),EXACT(A6,'Specified CCE Model Price List'!$AB$26),EXACT(A6,'Specified CCE Model Price List'!$AB$27)),"N/A",H6+G6),"")</f>
        <v/>
      </c>
      <c r="J6" s="74"/>
      <c r="K6" s="75" t="str">
        <f t="shared" ref="K6" si="0">IFERROR(IF(I6="N/A",G6*J6,I6*J6),"")</f>
        <v/>
      </c>
      <c r="L6" s="55"/>
      <c r="M6" s="170"/>
    </row>
    <row r="7" spans="1:13" s="25" customFormat="1" ht="27" customHeight="1" x14ac:dyDescent="0.25">
      <c r="A7" s="40" t="s">
        <v>257</v>
      </c>
      <c r="B7" s="40" t="s">
        <v>373</v>
      </c>
      <c r="C7" s="41"/>
      <c r="D7" s="28" t="str">
        <f>IFERROR(INDEX('Specified CCE Model Price List'!$A$3:$O$278,MATCH('Option B_CCE Model selection'!$C7,'Specified CCE Model Price List'!$E$3:$E$278,0),MATCH('Option B_CCE Model selection'!D$4,'Specified CCE Model Price List'!$A$3:$O$3,0)),"")</f>
        <v/>
      </c>
      <c r="E7" s="31" t="str">
        <f>IFERROR(INDEX('Specified CCE Model Price List'!$A$3:$O$278,MATCH('Option B_CCE Model selection'!$C7,'Specified CCE Model Price List'!$E$3:$E$278,0),MATCH('Option B_CCE Model selection'!E$4,'Specified CCE Model Price List'!$A$3:$O$3,0)),"")</f>
        <v/>
      </c>
      <c r="F7" s="31" t="str">
        <f>IFERROR(INDEX('Specified CCE Model Price List'!$A$3:$O$278,MATCH('Option B_CCE Model selection'!$C7,'Specified CCE Model Price List'!$E$3:$E$278,0),MATCH('Option B_CCE Model selection'!F$4,'Specified CCE Model Price List'!$A$3:$O$3,0)),"")</f>
        <v/>
      </c>
      <c r="G7" s="130" t="str">
        <f>IFERROR(INDEX('Specified CCE Model Price List'!$A$3:$O$278,MATCH('Option B_CCE Model selection'!$C7,'Specified CCE Model Price List'!$E$3:$E$278,0),MATCH('Option B_CCE Model selection'!G$4,'Specified CCE Model Price List'!$A$3:$O$3,0)),"")</f>
        <v/>
      </c>
      <c r="H7" s="201"/>
      <c r="I7" s="120" t="str">
        <f>IFERROR(IF(OR(EXACT(A7,'Specified CCE Model Price List'!$AB$14),EXACT(A7,'Specified CCE Model Price List'!$AB$16),EXACT(A7,'Specified CCE Model Price List'!$AB$17),EXACT(A7,'Specified CCE Model Price List'!$AB$18),EXACT(A7,'Specified CCE Model Price List'!$AB$19),EXACT(A7,'Specified CCE Model Price List'!$AB$20),EXACT(A7,'Specified CCE Model Price List'!$AB$21),EXACT(A7,'Specified CCE Model Price List'!$AB$22),EXACT(A7,'Specified CCE Model Price List'!$AB$23),EXACT(A7,'Specified CCE Model Price List'!$AB$24),EXACT(A7,'Specified CCE Model Price List'!$AB$25),EXACT(A7,'Specified CCE Model Price List'!$AB$26),EXACT(A7,'Specified CCE Model Price List'!$AB$27)),"N/A",H7+G7),"")</f>
        <v/>
      </c>
      <c r="J7" s="74"/>
      <c r="K7" s="75" t="str">
        <f t="shared" ref="K7:K36" si="1">IFERROR(IF(I7="N/A",G7*J7,I7*J7),"")</f>
        <v/>
      </c>
      <c r="L7" s="55"/>
      <c r="M7" s="170" t="str">
        <f t="shared" ref="M7:M36" si="2">LEFT(A7,3)</f>
        <v>_1.</v>
      </c>
    </row>
    <row r="8" spans="1:13" s="25" customFormat="1" ht="27" customHeight="1" x14ac:dyDescent="0.25">
      <c r="A8" s="40" t="s">
        <v>343</v>
      </c>
      <c r="B8" s="40" t="s">
        <v>379</v>
      </c>
      <c r="C8" s="41"/>
      <c r="D8" s="28" t="str">
        <f>IFERROR(INDEX('Specified CCE Model Price List'!$A$3:$O$278,MATCH('Option B_CCE Model selection'!$C8,'Specified CCE Model Price List'!$E$3:$E$278,0),MATCH('Option B_CCE Model selection'!D$4,'Specified CCE Model Price List'!$A$3:$O$3,0)),"")</f>
        <v/>
      </c>
      <c r="E8" s="31" t="str">
        <f>IFERROR(INDEX('Specified CCE Model Price List'!$A$3:$O$278,MATCH('Option B_CCE Model selection'!$C8,'Specified CCE Model Price List'!$E$3:$E$278,0),MATCH('Option B_CCE Model selection'!E$4,'Specified CCE Model Price List'!$A$3:$O$3,0)),"")</f>
        <v/>
      </c>
      <c r="F8" s="31" t="str">
        <f>IFERROR(INDEX('Specified CCE Model Price List'!$A$3:$O$278,MATCH('Option B_CCE Model selection'!$C8,'Specified CCE Model Price List'!$E$3:$E$278,0),MATCH('Option B_CCE Model selection'!F$4,'Specified CCE Model Price List'!$A$3:$O$3,0)),"")</f>
        <v/>
      </c>
      <c r="G8" s="130" t="str">
        <f>IFERROR(INDEX('Specified CCE Model Price List'!$A$3:$O$278,MATCH('Option B_CCE Model selection'!$C8,'Specified CCE Model Price List'!$E$3:$E$278,0),MATCH('Option B_CCE Model selection'!G$4,'Specified CCE Model Price List'!$A$3:$O$3,0)),"")</f>
        <v/>
      </c>
      <c r="H8" s="201"/>
      <c r="I8" s="120" t="str">
        <f>IFERROR(IF(OR(EXACT(A8,'Specified CCE Model Price List'!$AB$14),EXACT(A8,'Specified CCE Model Price List'!$AB$16),EXACT(A8,'Specified CCE Model Price List'!$AB$17),EXACT(A8,'Specified CCE Model Price List'!$AB$18),EXACT(A8,'Specified CCE Model Price List'!$AB$19),EXACT(A8,'Specified CCE Model Price List'!$AB$20),EXACT(A8,'Specified CCE Model Price List'!$AB$21),EXACT(A8,'Specified CCE Model Price List'!$AB$22),EXACT(A8,'Specified CCE Model Price List'!$AB$23),EXACT(A8,'Specified CCE Model Price List'!$AB$24),EXACT(A8,'Specified CCE Model Price List'!$AB$25),EXACT(A8,'Specified CCE Model Price List'!$AB$26),EXACT(A8,'Specified CCE Model Price List'!$AB$27)),"N/A",H8+G8),"")</f>
        <v/>
      </c>
      <c r="J8" s="74"/>
      <c r="K8" s="75" t="str">
        <f t="shared" si="1"/>
        <v/>
      </c>
      <c r="L8" s="55"/>
      <c r="M8" s="170" t="str">
        <f t="shared" si="2"/>
        <v>_2.</v>
      </c>
    </row>
    <row r="9" spans="1:13" s="25" customFormat="1" ht="27" customHeight="1" x14ac:dyDescent="0.25">
      <c r="A9" s="40" t="s">
        <v>344</v>
      </c>
      <c r="B9" s="40" t="s">
        <v>380</v>
      </c>
      <c r="C9" s="41"/>
      <c r="D9" s="28" t="str">
        <f>IFERROR(INDEX('Specified CCE Model Price List'!$A$3:$O$278,MATCH('Option B_CCE Model selection'!$C9,'Specified CCE Model Price List'!$E$3:$E$278,0),MATCH('Option B_CCE Model selection'!D$4,'Specified CCE Model Price List'!$A$3:$O$3,0)),"")</f>
        <v/>
      </c>
      <c r="E9" s="31" t="str">
        <f>IFERROR(INDEX('Specified CCE Model Price List'!$A$3:$O$278,MATCH('Option B_CCE Model selection'!$C9,'Specified CCE Model Price List'!$E$3:$E$278,0),MATCH('Option B_CCE Model selection'!E$4,'Specified CCE Model Price List'!$A$3:$O$3,0)),"")</f>
        <v/>
      </c>
      <c r="F9" s="31" t="str">
        <f>IFERROR(INDEX('Specified CCE Model Price List'!$A$3:$O$278,MATCH('Option B_CCE Model selection'!$C9,'Specified CCE Model Price List'!$E$3:$E$278,0),MATCH('Option B_CCE Model selection'!F$4,'Specified CCE Model Price List'!$A$3:$O$3,0)),"")</f>
        <v/>
      </c>
      <c r="G9" s="130" t="str">
        <f>IFERROR(INDEX('Specified CCE Model Price List'!$A$3:$O$278,MATCH('Option B_CCE Model selection'!$C9,'Specified CCE Model Price List'!$E$3:$E$278,0),MATCH('Option B_CCE Model selection'!G$4,'Specified CCE Model Price List'!$A$3:$O$3,0)),"")</f>
        <v/>
      </c>
      <c r="H9" s="201"/>
      <c r="I9" s="120" t="str">
        <f>IFERROR(IF(OR(EXACT(A9,'Specified CCE Model Price List'!$AB$14),EXACT(A9,'Specified CCE Model Price List'!$AB$16),EXACT(A9,'Specified CCE Model Price List'!$AB$17),EXACT(A9,'Specified CCE Model Price List'!$AB$18),EXACT(A9,'Specified CCE Model Price List'!$AB$19),EXACT(A9,'Specified CCE Model Price List'!$AB$20),EXACT(A9,'Specified CCE Model Price List'!$AB$21),EXACT(A9,'Specified CCE Model Price List'!$AB$22),EXACT(A9,'Specified CCE Model Price List'!$AB$23),EXACT(A9,'Specified CCE Model Price List'!$AB$24),EXACT(A9,'Specified CCE Model Price List'!$AB$25),EXACT(A9,'Specified CCE Model Price List'!$AB$26),EXACT(A9,'Specified CCE Model Price List'!$AB$27)),"N/A",H9+G9),"")</f>
        <v/>
      </c>
      <c r="J9" s="74"/>
      <c r="K9" s="75" t="str">
        <f t="shared" si="1"/>
        <v/>
      </c>
      <c r="L9" s="55"/>
      <c r="M9" s="170" t="str">
        <f t="shared" si="2"/>
        <v>_3.</v>
      </c>
    </row>
    <row r="10" spans="1:13" s="25" customFormat="1" ht="27" customHeight="1" x14ac:dyDescent="0.25">
      <c r="A10" s="40" t="s">
        <v>320</v>
      </c>
      <c r="B10" s="40" t="s">
        <v>381</v>
      </c>
      <c r="C10" s="41"/>
      <c r="D10" s="28" t="str">
        <f>IFERROR(INDEX('Specified CCE Model Price List'!$A$3:$O$278,MATCH('Option B_CCE Model selection'!$C10,'Specified CCE Model Price List'!$E$3:$E$278,0),MATCH('Option B_CCE Model selection'!D$4,'Specified CCE Model Price List'!$A$3:$O$3,0)),"")</f>
        <v/>
      </c>
      <c r="E10" s="31" t="str">
        <f>IFERROR(INDEX('Specified CCE Model Price List'!$A$3:$O$278,MATCH('Option B_CCE Model selection'!$C10,'Specified CCE Model Price List'!$E$3:$E$278,0),MATCH('Option B_CCE Model selection'!E$4,'Specified CCE Model Price List'!$A$3:$O$3,0)),"")</f>
        <v/>
      </c>
      <c r="F10" s="31" t="str">
        <f>IFERROR(INDEX('Specified CCE Model Price List'!$A$3:$O$278,MATCH('Option B_CCE Model selection'!$C10,'Specified CCE Model Price List'!$E$3:$E$278,0),MATCH('Option B_CCE Model selection'!F$4,'Specified CCE Model Price List'!$A$3:$O$3,0)),"")</f>
        <v/>
      </c>
      <c r="G10" s="130" t="str">
        <f>IFERROR(INDEX('Specified CCE Model Price List'!$A$3:$O$278,MATCH('Option B_CCE Model selection'!$C10,'Specified CCE Model Price List'!$E$3:$E$278,0),MATCH('Option B_CCE Model selection'!G$4,'Specified CCE Model Price List'!$A$3:$O$3,0)),"")</f>
        <v/>
      </c>
      <c r="H10" s="201"/>
      <c r="I10" s="120" t="str">
        <f>IFERROR(IF(OR(EXACT(A10,'Specified CCE Model Price List'!$AB$14),EXACT(A10,'Specified CCE Model Price List'!$AB$16),EXACT(A10,'Specified CCE Model Price List'!$AB$17),EXACT(A10,'Specified CCE Model Price List'!$AB$18),EXACT(A10,'Specified CCE Model Price List'!$AB$19),EXACT(A10,'Specified CCE Model Price List'!$AB$20),EXACT(A10,'Specified CCE Model Price List'!$AB$21),EXACT(A10,'Specified CCE Model Price List'!$AB$22),EXACT(A10,'Specified CCE Model Price List'!$AB$23),EXACT(A10,'Specified CCE Model Price List'!$AB$24),EXACT(A10,'Specified CCE Model Price List'!$AB$25),EXACT(A10,'Specified CCE Model Price List'!$AB$26),EXACT(A10,'Specified CCE Model Price List'!$AB$27)),"N/A",H10+G10),"")</f>
        <v/>
      </c>
      <c r="J10" s="74"/>
      <c r="K10" s="75" t="str">
        <f t="shared" si="1"/>
        <v/>
      </c>
      <c r="L10" s="55"/>
      <c r="M10" s="170" t="str">
        <f t="shared" si="2"/>
        <v>_4.</v>
      </c>
    </row>
    <row r="11" spans="1:13" s="25" customFormat="1" ht="27" customHeight="1" x14ac:dyDescent="0.25">
      <c r="A11" s="42" t="s">
        <v>311</v>
      </c>
      <c r="B11" s="42" t="s">
        <v>382</v>
      </c>
      <c r="C11" s="41"/>
      <c r="D11" s="28" t="str">
        <f>IFERROR(INDEX('Specified CCE Model Price List'!$A$3:$O$278,MATCH('Option B_CCE Model selection'!$C11,'Specified CCE Model Price List'!$E$3:$E$278,0),MATCH('Option B_CCE Model selection'!D$4,'Specified CCE Model Price List'!$A$3:$O$3,0)),"")</f>
        <v/>
      </c>
      <c r="E11" s="31" t="str">
        <f>IFERROR(INDEX('Specified CCE Model Price List'!$A$3:$O$278,MATCH('Option B_CCE Model selection'!$C11,'Specified CCE Model Price List'!$E$3:$E$278,0),MATCH('Option B_CCE Model selection'!E$4,'Specified CCE Model Price List'!$A$3:$O$3,0)),"")</f>
        <v/>
      </c>
      <c r="F11" s="31" t="str">
        <f>IFERROR(INDEX('Specified CCE Model Price List'!$A$3:$O$278,MATCH('Option B_CCE Model selection'!$C11,'Specified CCE Model Price List'!$E$3:$E$278,0),MATCH('Option B_CCE Model selection'!F$4,'Specified CCE Model Price List'!$A$3:$O$3,0)),"")</f>
        <v/>
      </c>
      <c r="G11" s="130" t="str">
        <f>IFERROR(INDEX('Specified CCE Model Price List'!$A$3:$O$278,MATCH('Option B_CCE Model selection'!$C11,'Specified CCE Model Price List'!$E$3:$E$278,0),MATCH('Option B_CCE Model selection'!G$4,'Specified CCE Model Price List'!$A$3:$O$3,0)),"")</f>
        <v/>
      </c>
      <c r="H11" s="201"/>
      <c r="I11" s="120" t="str">
        <f>IFERROR(IF(OR(EXACT(A11,'Specified CCE Model Price List'!$AB$14),EXACT(A11,'Specified CCE Model Price List'!$AB$16),EXACT(A11,'Specified CCE Model Price List'!$AB$17),EXACT(A11,'Specified CCE Model Price List'!$AB$18),EXACT(A11,'Specified CCE Model Price List'!$AB$19),EXACT(A11,'Specified CCE Model Price List'!$AB$20),EXACT(A11,'Specified CCE Model Price List'!$AB$21),EXACT(A11,'Specified CCE Model Price List'!$AB$22),EXACT(A11,'Specified CCE Model Price List'!$AB$23),EXACT(A11,'Specified CCE Model Price List'!$AB$24),EXACT(A11,'Specified CCE Model Price List'!$AB$25),EXACT(A11,'Specified CCE Model Price List'!$AB$26),EXACT(A11,'Specified CCE Model Price List'!$AB$27)),"N/A",H11+G11),"")</f>
        <v/>
      </c>
      <c r="J11" s="74"/>
      <c r="K11" s="75" t="str">
        <f t="shared" si="1"/>
        <v/>
      </c>
      <c r="L11" s="55"/>
      <c r="M11" s="170" t="str">
        <f t="shared" si="2"/>
        <v>_5.</v>
      </c>
    </row>
    <row r="12" spans="1:13" s="25" customFormat="1" ht="27" customHeight="1" x14ac:dyDescent="0.25">
      <c r="A12" s="43" t="s">
        <v>312</v>
      </c>
      <c r="B12" s="43" t="s">
        <v>383</v>
      </c>
      <c r="C12" s="41"/>
      <c r="D12" s="28" t="str">
        <f>IFERROR(INDEX('Specified CCE Model Price List'!$A$3:$O$278,MATCH('Option B_CCE Model selection'!$C12,'Specified CCE Model Price List'!$E$3:$E$278,0),MATCH('Option B_CCE Model selection'!D$4,'Specified CCE Model Price List'!$A$3:$O$3,0)),"")</f>
        <v/>
      </c>
      <c r="E12" s="31" t="str">
        <f>IFERROR(INDEX('Specified CCE Model Price List'!$A$3:$O$278,MATCH('Option B_CCE Model selection'!$C12,'Specified CCE Model Price List'!$E$3:$E$278,0),MATCH('Option B_CCE Model selection'!E$4,'Specified CCE Model Price List'!$A$3:$O$3,0)),"")</f>
        <v/>
      </c>
      <c r="F12" s="31" t="str">
        <f>IFERROR(INDEX('Specified CCE Model Price List'!$A$3:$O$278,MATCH('Option B_CCE Model selection'!$C12,'Specified CCE Model Price List'!$E$3:$E$278,0),MATCH('Option B_CCE Model selection'!F$4,'Specified CCE Model Price List'!$A$3:$O$3,0)),"")</f>
        <v/>
      </c>
      <c r="G12" s="130" t="str">
        <f>IFERROR(INDEX('Specified CCE Model Price List'!$A$3:$O$278,MATCH('Option B_CCE Model selection'!$C12,'Specified CCE Model Price List'!$E$3:$E$278,0),MATCH('Option B_CCE Model selection'!G$4,'Specified CCE Model Price List'!$A$3:$O$3,0)),"")</f>
        <v/>
      </c>
      <c r="H12" s="201"/>
      <c r="I12" s="120" t="str">
        <f>IFERROR(IF(OR(EXACT(A12,'Specified CCE Model Price List'!$AB$14),EXACT(A12,'Specified CCE Model Price List'!$AB$16),EXACT(A12,'Specified CCE Model Price List'!$AB$17),EXACT(A12,'Specified CCE Model Price List'!$AB$18),EXACT(A12,'Specified CCE Model Price List'!$AB$19),EXACT(A12,'Specified CCE Model Price List'!$AB$20),EXACT(A12,'Specified CCE Model Price List'!$AB$21),EXACT(A12,'Specified CCE Model Price List'!$AB$22),EXACT(A12,'Specified CCE Model Price List'!$AB$23),EXACT(A12,'Specified CCE Model Price List'!$AB$24),EXACT(A12,'Specified CCE Model Price List'!$AB$25),EXACT(A12,'Specified CCE Model Price List'!$AB$26),EXACT(A12,'Specified CCE Model Price List'!$AB$27)),"N/A",H12+G12),"")</f>
        <v/>
      </c>
      <c r="J12" s="74"/>
      <c r="K12" s="75" t="str">
        <f t="shared" si="1"/>
        <v/>
      </c>
      <c r="L12" s="55"/>
      <c r="M12" s="170" t="str">
        <f t="shared" si="2"/>
        <v>_6.</v>
      </c>
    </row>
    <row r="13" spans="1:13" s="25" customFormat="1" ht="27" customHeight="1" x14ac:dyDescent="0.25">
      <c r="A13" s="43" t="s">
        <v>312</v>
      </c>
      <c r="B13" s="43" t="s">
        <v>383</v>
      </c>
      <c r="C13" s="41"/>
      <c r="D13" s="28" t="str">
        <f>IFERROR(INDEX('Specified CCE Model Price List'!$A$3:$O$278,MATCH('Option B_CCE Model selection'!$C13,'Specified CCE Model Price List'!$E$3:$E$278,0),MATCH('Option B_CCE Model selection'!D$4,'Specified CCE Model Price List'!$A$3:$O$3,0)),"")</f>
        <v/>
      </c>
      <c r="E13" s="31" t="str">
        <f>IFERROR(INDEX('Specified CCE Model Price List'!$A$3:$O$278,MATCH('Option B_CCE Model selection'!$C13,'Specified CCE Model Price List'!$E$3:$E$278,0),MATCH('Option B_CCE Model selection'!E$4,'Specified CCE Model Price List'!$A$3:$O$3,0)),"")</f>
        <v/>
      </c>
      <c r="F13" s="31" t="str">
        <f>IFERROR(INDEX('Specified CCE Model Price List'!$A$3:$O$278,MATCH('Option B_CCE Model selection'!$C13,'Specified CCE Model Price List'!$E$3:$E$278,0),MATCH('Option B_CCE Model selection'!F$4,'Specified CCE Model Price List'!$A$3:$O$3,0)),"")</f>
        <v/>
      </c>
      <c r="G13" s="130" t="str">
        <f>IFERROR(INDEX('Specified CCE Model Price List'!$A$3:$O$278,MATCH('Option B_CCE Model selection'!$C13,'Specified CCE Model Price List'!$E$3:$E$278,0),MATCH('Option B_CCE Model selection'!G$4,'Specified CCE Model Price List'!$A$3:$O$3,0)),"")</f>
        <v/>
      </c>
      <c r="H13" s="201"/>
      <c r="I13" s="120" t="str">
        <f>IFERROR(IF(OR(EXACT(A13,'Specified CCE Model Price List'!$AB$14),EXACT(A13,'Specified CCE Model Price List'!$AB$16),EXACT(A13,'Specified CCE Model Price List'!$AB$17),EXACT(A13,'Specified CCE Model Price List'!$AB$18),EXACT(A13,'Specified CCE Model Price List'!$AB$19),EXACT(A13,'Specified CCE Model Price List'!$AB$20),EXACT(A13,'Specified CCE Model Price List'!$AB$21),EXACT(A13,'Specified CCE Model Price List'!$AB$22),EXACT(A13,'Specified CCE Model Price List'!$AB$23),EXACT(A13,'Specified CCE Model Price List'!$AB$24),EXACT(A13,'Specified CCE Model Price List'!$AB$25),EXACT(A13,'Specified CCE Model Price List'!$AB$26),EXACT(A13,'Specified CCE Model Price List'!$AB$27)),"N/A",H13+G13),"")</f>
        <v/>
      </c>
      <c r="J13" s="74"/>
      <c r="K13" s="75" t="str">
        <f t="shared" si="1"/>
        <v/>
      </c>
      <c r="L13" s="55"/>
      <c r="M13" s="170" t="str">
        <f t="shared" si="2"/>
        <v>_6.</v>
      </c>
    </row>
    <row r="14" spans="1:13" s="25" customFormat="1" ht="27" customHeight="1" x14ac:dyDescent="0.25">
      <c r="A14" s="43" t="s">
        <v>313</v>
      </c>
      <c r="B14" s="43" t="s">
        <v>386</v>
      </c>
      <c r="C14" s="41"/>
      <c r="D14" s="28" t="str">
        <f>IFERROR(INDEX('Specified CCE Model Price List'!$A$3:$O$278,MATCH('Option B_CCE Model selection'!$C14,'Specified CCE Model Price List'!$E$3:$E$278,0),MATCH('Option B_CCE Model selection'!D$4,'Specified CCE Model Price List'!$A$3:$O$3,0)),"")</f>
        <v/>
      </c>
      <c r="E14" s="31" t="str">
        <f>IFERROR(INDEX('Specified CCE Model Price List'!$A$3:$O$278,MATCH('Option B_CCE Model selection'!$C14,'Specified CCE Model Price List'!$E$3:$E$278,0),MATCH('Option B_CCE Model selection'!E$4,'Specified CCE Model Price List'!$A$3:$O$3,0)),"")</f>
        <v/>
      </c>
      <c r="F14" s="31" t="str">
        <f>IFERROR(INDEX('Specified CCE Model Price List'!$A$3:$O$278,MATCH('Option B_CCE Model selection'!$C14,'Specified CCE Model Price List'!$E$3:$E$278,0),MATCH('Option B_CCE Model selection'!F$4,'Specified CCE Model Price List'!$A$3:$O$3,0)),"")</f>
        <v/>
      </c>
      <c r="G14" s="130" t="str">
        <f>IFERROR(INDEX('Specified CCE Model Price List'!$A$3:$O$278,MATCH('Option B_CCE Model selection'!$C14,'Specified CCE Model Price List'!$E$3:$E$278,0),MATCH('Option B_CCE Model selection'!G$4,'Specified CCE Model Price List'!$A$3:$O$3,0)),"")</f>
        <v/>
      </c>
      <c r="H14" s="201"/>
      <c r="I14" s="120" t="str">
        <f>IFERROR(IF(OR(EXACT(A14,'Specified CCE Model Price List'!$AB$14),EXACT(A14,'Specified CCE Model Price List'!$AB$16),EXACT(A14,'Specified CCE Model Price List'!$AB$17),EXACT(A14,'Specified CCE Model Price List'!$AB$18),EXACT(A14,'Specified CCE Model Price List'!$AB$19),EXACT(A14,'Specified CCE Model Price List'!$AB$20),EXACT(A14,'Specified CCE Model Price List'!$AB$21),EXACT(A14,'Specified CCE Model Price List'!$AB$22),EXACT(A14,'Specified CCE Model Price List'!$AB$23),EXACT(A14,'Specified CCE Model Price List'!$AB$24),EXACT(A14,'Specified CCE Model Price List'!$AB$25),EXACT(A14,'Specified CCE Model Price List'!$AB$26),EXACT(A14,'Specified CCE Model Price List'!$AB$27)),"N/A",H14+G14),"")</f>
        <v/>
      </c>
      <c r="J14" s="74"/>
      <c r="K14" s="75" t="str">
        <f t="shared" si="1"/>
        <v/>
      </c>
      <c r="L14" s="55"/>
      <c r="M14" s="170" t="str">
        <f t="shared" si="2"/>
        <v>_7.</v>
      </c>
    </row>
    <row r="15" spans="1:13" s="25" customFormat="1" ht="27" customHeight="1" x14ac:dyDescent="0.25">
      <c r="A15" s="44" t="s">
        <v>314</v>
      </c>
      <c r="B15" s="44" t="s">
        <v>387</v>
      </c>
      <c r="C15" s="41"/>
      <c r="D15" s="28" t="str">
        <f>IFERROR(INDEX('Specified CCE Model Price List'!$A$3:$O$278,MATCH('Option B_CCE Model selection'!$C15,'Specified CCE Model Price List'!$E$3:$E$278,0),MATCH('Option B_CCE Model selection'!D$4,'Specified CCE Model Price List'!$A$3:$O$3,0)),"")</f>
        <v/>
      </c>
      <c r="E15" s="31" t="str">
        <f>IFERROR(INDEX('Specified CCE Model Price List'!$A$3:$O$278,MATCH('Option B_CCE Model selection'!$C15,'Specified CCE Model Price List'!$E$3:$E$278,0),MATCH('Option B_CCE Model selection'!E$4,'Specified CCE Model Price List'!$A$3:$O$3,0)),"")</f>
        <v/>
      </c>
      <c r="F15" s="31" t="str">
        <f>IFERROR(INDEX('Specified CCE Model Price List'!$A$3:$O$278,MATCH('Option B_CCE Model selection'!$C15,'Specified CCE Model Price List'!$E$3:$E$278,0),MATCH('Option B_CCE Model selection'!F$4,'Specified CCE Model Price List'!$A$3:$O$3,0)),"")</f>
        <v/>
      </c>
      <c r="G15" s="130" t="str">
        <f>IFERROR(INDEX('Specified CCE Model Price List'!$A$3:$O$278,MATCH('Option B_CCE Model selection'!$C15,'Specified CCE Model Price List'!$E$3:$E$278,0),MATCH('Option B_CCE Model selection'!G$4,'Specified CCE Model Price List'!$A$3:$O$3,0)),"")</f>
        <v/>
      </c>
      <c r="H15" s="201"/>
      <c r="I15" s="120" t="str">
        <f>IFERROR(IF(OR(EXACT(A15,'Specified CCE Model Price List'!$AB$14),EXACT(A15,'Specified CCE Model Price List'!$AB$16),EXACT(A15,'Specified CCE Model Price List'!$AB$17),EXACT(A15,'Specified CCE Model Price List'!$AB$18),EXACT(A15,'Specified CCE Model Price List'!$AB$19),EXACT(A15,'Specified CCE Model Price List'!$AB$20),EXACT(A15,'Specified CCE Model Price List'!$AB$21),EXACT(A15,'Specified CCE Model Price List'!$AB$22),EXACT(A15,'Specified CCE Model Price List'!$AB$23),EXACT(A15,'Specified CCE Model Price List'!$AB$24),EXACT(A15,'Specified CCE Model Price List'!$AB$25),EXACT(A15,'Specified CCE Model Price List'!$AB$26),EXACT(A15,'Specified CCE Model Price List'!$AB$27)),"N/A",H15+G15),"")</f>
        <v/>
      </c>
      <c r="J15" s="74"/>
      <c r="K15" s="75" t="str">
        <f t="shared" si="1"/>
        <v/>
      </c>
      <c r="L15" s="55"/>
      <c r="M15" s="170" t="str">
        <f t="shared" si="2"/>
        <v>_8.</v>
      </c>
    </row>
    <row r="16" spans="1:13" s="25" customFormat="1" ht="27" customHeight="1" x14ac:dyDescent="0.25">
      <c r="A16" s="45" t="s">
        <v>314</v>
      </c>
      <c r="B16" s="45" t="s">
        <v>387</v>
      </c>
      <c r="C16" s="41"/>
      <c r="D16" s="28" t="str">
        <f>IFERROR(INDEX('Specified CCE Model Price List'!$A$3:$O$278,MATCH('Option B_CCE Model selection'!$C16,'Specified CCE Model Price List'!$E$3:$E$278,0),MATCH('Option B_CCE Model selection'!D$4,'Specified CCE Model Price List'!$A$3:$O$3,0)),"")</f>
        <v/>
      </c>
      <c r="E16" s="31" t="str">
        <f>IFERROR(INDEX('Specified CCE Model Price List'!$A$3:$O$278,MATCH('Option B_CCE Model selection'!$C16,'Specified CCE Model Price List'!$E$3:$E$278,0),MATCH('Option B_CCE Model selection'!E$4,'Specified CCE Model Price List'!$A$3:$O$3,0)),"")</f>
        <v/>
      </c>
      <c r="F16" s="31" t="str">
        <f>IFERROR(INDEX('Specified CCE Model Price List'!$A$3:$O$278,MATCH('Option B_CCE Model selection'!$C16,'Specified CCE Model Price List'!$E$3:$E$278,0),MATCH('Option B_CCE Model selection'!F$4,'Specified CCE Model Price List'!$A$3:$O$3,0)),"")</f>
        <v/>
      </c>
      <c r="G16" s="130" t="str">
        <f>IFERROR(INDEX('Specified CCE Model Price List'!$A$3:$O$278,MATCH('Option B_CCE Model selection'!$C16,'Specified CCE Model Price List'!$E$3:$E$278,0),MATCH('Option B_CCE Model selection'!G$4,'Specified CCE Model Price List'!$A$3:$O$3,0)),"")</f>
        <v/>
      </c>
      <c r="H16" s="201"/>
      <c r="I16" s="120" t="str">
        <f>IFERROR(IF(OR(EXACT(A16,'Specified CCE Model Price List'!$AB$14),EXACT(A16,'Specified CCE Model Price List'!$AB$16),EXACT(A16,'Specified CCE Model Price List'!$AB$17),EXACT(A16,'Specified CCE Model Price List'!$AB$18),EXACT(A16,'Specified CCE Model Price List'!$AB$19),EXACT(A16,'Specified CCE Model Price List'!$AB$20),EXACT(A16,'Specified CCE Model Price List'!$AB$21),EXACT(A16,'Specified CCE Model Price List'!$AB$22),EXACT(A16,'Specified CCE Model Price List'!$AB$23),EXACT(A16,'Specified CCE Model Price List'!$AB$24),EXACT(A16,'Specified CCE Model Price List'!$AB$25),EXACT(A16,'Specified CCE Model Price List'!$AB$26),EXACT(A16,'Specified CCE Model Price List'!$AB$27)),"N/A",H16+G16),"")</f>
        <v/>
      </c>
      <c r="J16" s="74"/>
      <c r="K16" s="75" t="str">
        <f t="shared" si="1"/>
        <v/>
      </c>
      <c r="L16" s="55"/>
      <c r="M16" s="170" t="str">
        <f t="shared" si="2"/>
        <v>_8.</v>
      </c>
    </row>
    <row r="17" spans="1:13" s="25" customFormat="1" ht="27" customHeight="1" x14ac:dyDescent="0.25">
      <c r="A17" s="45" t="s">
        <v>315</v>
      </c>
      <c r="B17" s="45" t="s">
        <v>390</v>
      </c>
      <c r="C17" s="41"/>
      <c r="D17" s="28" t="str">
        <f>IFERROR(INDEX('Specified CCE Model Price List'!$A$3:$O$278,MATCH('Option B_CCE Model selection'!$C17,'Specified CCE Model Price List'!$E$3:$E$278,0),MATCH('Option B_CCE Model selection'!D$4,'Specified CCE Model Price List'!$A$3:$O$3,0)),"")</f>
        <v/>
      </c>
      <c r="E17" s="31" t="str">
        <f>IFERROR(INDEX('Specified CCE Model Price List'!$A$3:$O$278,MATCH('Option B_CCE Model selection'!$C17,'Specified CCE Model Price List'!$E$3:$E$278,0),MATCH('Option B_CCE Model selection'!E$4,'Specified CCE Model Price List'!$A$3:$O$3,0)),"")</f>
        <v/>
      </c>
      <c r="F17" s="31" t="str">
        <f>IFERROR(INDEX('Specified CCE Model Price List'!$A$3:$O$278,MATCH('Option B_CCE Model selection'!$C17,'Specified CCE Model Price List'!$E$3:$E$278,0),MATCH('Option B_CCE Model selection'!F$4,'Specified CCE Model Price List'!$A$3:$O$3,0)),"")</f>
        <v/>
      </c>
      <c r="G17" s="130" t="str">
        <f>IFERROR(INDEX('Specified CCE Model Price List'!$A$3:$O$278,MATCH('Option B_CCE Model selection'!$C17,'Specified CCE Model Price List'!$E$3:$E$278,0),MATCH('Option B_CCE Model selection'!G$4,'Specified CCE Model Price List'!$A$3:$O$3,0)),"")</f>
        <v/>
      </c>
      <c r="H17" s="201"/>
      <c r="I17" s="120" t="str">
        <f>IFERROR(IF(OR(EXACT(A17,'Specified CCE Model Price List'!$AB$14),EXACT(A17,'Specified CCE Model Price List'!$AB$16),EXACT(A17,'Specified CCE Model Price List'!$AB$17),EXACT(A17,'Specified CCE Model Price List'!$AB$18),EXACT(A17,'Specified CCE Model Price List'!$AB$19),EXACT(A17,'Specified CCE Model Price List'!$AB$20),EXACT(A17,'Specified CCE Model Price List'!$AB$21),EXACT(A17,'Specified CCE Model Price List'!$AB$22),EXACT(A17,'Specified CCE Model Price List'!$AB$23),EXACT(A17,'Specified CCE Model Price List'!$AB$24),EXACT(A17,'Specified CCE Model Price List'!$AB$25),EXACT(A17,'Specified CCE Model Price List'!$AB$26),EXACT(A17,'Specified CCE Model Price List'!$AB$27)),"N/A",H17+G17),"")</f>
        <v/>
      </c>
      <c r="J17" s="74"/>
      <c r="K17" s="75" t="str">
        <f t="shared" si="1"/>
        <v/>
      </c>
      <c r="L17" s="55"/>
      <c r="M17" s="170" t="str">
        <f t="shared" si="2"/>
        <v>_9.</v>
      </c>
    </row>
    <row r="18" spans="1:13" s="25" customFormat="1" ht="27" customHeight="1" x14ac:dyDescent="0.25">
      <c r="A18" s="45" t="s">
        <v>315</v>
      </c>
      <c r="B18" s="45" t="s">
        <v>390</v>
      </c>
      <c r="C18" s="41"/>
      <c r="D18" s="28" t="str">
        <f>IFERROR(INDEX('Specified CCE Model Price List'!$A$3:$O$278,MATCH('Option B_CCE Model selection'!$C18,'Specified CCE Model Price List'!$E$3:$E$278,0),MATCH('Option B_CCE Model selection'!D$4,'Specified CCE Model Price List'!$A$3:$O$3,0)),"")</f>
        <v/>
      </c>
      <c r="E18" s="31" t="str">
        <f>IFERROR(INDEX('Specified CCE Model Price List'!$A$3:$O$278,MATCH('Option B_CCE Model selection'!$C18,'Specified CCE Model Price List'!$E$3:$E$278,0),MATCH('Option B_CCE Model selection'!E$4,'Specified CCE Model Price List'!$A$3:$O$3,0)),"")</f>
        <v/>
      </c>
      <c r="F18" s="31" t="str">
        <f>IFERROR(INDEX('Specified CCE Model Price List'!$A$3:$O$278,MATCH('Option B_CCE Model selection'!$C18,'Specified CCE Model Price List'!$E$3:$E$278,0),MATCH('Option B_CCE Model selection'!F$4,'Specified CCE Model Price List'!$A$3:$O$3,0)),"")</f>
        <v/>
      </c>
      <c r="G18" s="130" t="str">
        <f>IFERROR(INDEX('Specified CCE Model Price List'!$A$3:$O$278,MATCH('Option B_CCE Model selection'!$C18,'Specified CCE Model Price List'!$E$3:$E$278,0),MATCH('Option B_CCE Model selection'!G$4,'Specified CCE Model Price List'!$A$3:$O$3,0)),"")</f>
        <v/>
      </c>
      <c r="H18" s="201"/>
      <c r="I18" s="120" t="str">
        <f>IFERROR(IF(OR(EXACT(A18,'Specified CCE Model Price List'!$AB$14),EXACT(A18,'Specified CCE Model Price List'!$AB$16),EXACT(A18,'Specified CCE Model Price List'!$AB$17),EXACT(A18,'Specified CCE Model Price List'!$AB$18),EXACT(A18,'Specified CCE Model Price List'!$AB$19),EXACT(A18,'Specified CCE Model Price List'!$AB$20),EXACT(A18,'Specified CCE Model Price List'!$AB$21),EXACT(A18,'Specified CCE Model Price List'!$AB$22),EXACT(A18,'Specified CCE Model Price List'!$AB$23),EXACT(A18,'Specified CCE Model Price List'!$AB$24),EXACT(A18,'Specified CCE Model Price List'!$AB$25),EXACT(A18,'Specified CCE Model Price List'!$AB$26),EXACT(A18,'Specified CCE Model Price List'!$AB$27)),"N/A",H18+G18),"")</f>
        <v/>
      </c>
      <c r="J18" s="74"/>
      <c r="K18" s="75" t="str">
        <f t="shared" si="1"/>
        <v/>
      </c>
      <c r="L18" s="55"/>
      <c r="M18" s="170" t="str">
        <f t="shared" si="2"/>
        <v>_9.</v>
      </c>
    </row>
    <row r="19" spans="1:13" s="25" customFormat="1" ht="27" customHeight="1" x14ac:dyDescent="0.25">
      <c r="A19" s="45" t="s">
        <v>315</v>
      </c>
      <c r="B19" s="45" t="s">
        <v>390</v>
      </c>
      <c r="C19" s="41"/>
      <c r="D19" s="28" t="str">
        <f>IFERROR(INDEX('Specified CCE Model Price List'!$A$3:$O$278,MATCH('Option B_CCE Model selection'!$C19,'Specified CCE Model Price List'!$E$3:$E$278,0),MATCH('Option B_CCE Model selection'!D$4,'Specified CCE Model Price List'!$A$3:$O$3,0)),"")</f>
        <v/>
      </c>
      <c r="E19" s="31" t="str">
        <f>IFERROR(INDEX('Specified CCE Model Price List'!$A$3:$O$278,MATCH('Option B_CCE Model selection'!$C19,'Specified CCE Model Price List'!$E$3:$E$278,0),MATCH('Option B_CCE Model selection'!E$4,'Specified CCE Model Price List'!$A$3:$O$3,0)),"")</f>
        <v/>
      </c>
      <c r="F19" s="31" t="str">
        <f>IFERROR(INDEX('Specified CCE Model Price List'!$A$3:$O$278,MATCH('Option B_CCE Model selection'!$C19,'Specified CCE Model Price List'!$E$3:$E$278,0),MATCH('Option B_CCE Model selection'!F$4,'Specified CCE Model Price List'!$A$3:$O$3,0)),"")</f>
        <v/>
      </c>
      <c r="G19" s="130" t="str">
        <f>IFERROR(INDEX('Specified CCE Model Price List'!$A$3:$O$278,MATCH('Option B_CCE Model selection'!$C19,'Specified CCE Model Price List'!$E$3:$E$278,0),MATCH('Option B_CCE Model selection'!G$4,'Specified CCE Model Price List'!$A$3:$O$3,0)),"")</f>
        <v/>
      </c>
      <c r="H19" s="201"/>
      <c r="I19" s="120" t="str">
        <f>IFERROR(IF(OR(EXACT(A19,'Specified CCE Model Price List'!$AB$14),EXACT(A19,'Specified CCE Model Price List'!$AB$16),EXACT(A19,'Specified CCE Model Price List'!$AB$17),EXACT(A19,'Specified CCE Model Price List'!$AB$18),EXACT(A19,'Specified CCE Model Price List'!$AB$19),EXACT(A19,'Specified CCE Model Price List'!$AB$20),EXACT(A19,'Specified CCE Model Price List'!$AB$21),EXACT(A19,'Specified CCE Model Price List'!$AB$22),EXACT(A19,'Specified CCE Model Price List'!$AB$23),EXACT(A19,'Specified CCE Model Price List'!$AB$24),EXACT(A19,'Specified CCE Model Price List'!$AB$25),EXACT(A19,'Specified CCE Model Price List'!$AB$26),EXACT(A19,'Specified CCE Model Price List'!$AB$27)),"N/A",H19+G19),"")</f>
        <v/>
      </c>
      <c r="J19" s="74"/>
      <c r="K19" s="75" t="str">
        <f t="shared" si="1"/>
        <v/>
      </c>
      <c r="L19" s="55"/>
      <c r="M19" s="170" t="str">
        <f t="shared" si="2"/>
        <v>_9.</v>
      </c>
    </row>
    <row r="20" spans="1:13" s="25" customFormat="1" ht="27" customHeight="1" x14ac:dyDescent="0.25">
      <c r="A20" s="46" t="s">
        <v>316</v>
      </c>
      <c r="B20" s="46" t="s">
        <v>395</v>
      </c>
      <c r="C20" s="41"/>
      <c r="D20" s="28" t="str">
        <f>IFERROR(INDEX('Specified CCE Model Price List'!$A$3:$O$278,MATCH('Option B_CCE Model selection'!$C20,'Specified CCE Model Price List'!$E$3:$E$278,0),MATCH('Option B_CCE Model selection'!D$4,'Specified CCE Model Price List'!$A$3:$O$3,0)),"")</f>
        <v/>
      </c>
      <c r="E20" s="31" t="str">
        <f>IFERROR(INDEX('Specified CCE Model Price List'!$A$3:$O$278,MATCH('Option B_CCE Model selection'!$C20,'Specified CCE Model Price List'!$E$3:$E$278,0),MATCH('Option B_CCE Model selection'!E$4,'Specified CCE Model Price List'!$A$3:$O$3,0)),"")</f>
        <v/>
      </c>
      <c r="F20" s="31" t="str">
        <f>IFERROR(INDEX('Specified CCE Model Price List'!$A$3:$O$278,MATCH('Option B_CCE Model selection'!$C20,'Specified CCE Model Price List'!$E$3:$E$278,0),MATCH('Option B_CCE Model selection'!F$4,'Specified CCE Model Price List'!$A$3:$O$3,0)),"")</f>
        <v/>
      </c>
      <c r="G20" s="130" t="str">
        <f>IFERROR(INDEX('Specified CCE Model Price List'!$A$3:$O$278,MATCH('Option B_CCE Model selection'!$C20,'Specified CCE Model Price List'!$E$3:$E$278,0),MATCH('Option B_CCE Model selection'!G$4,'Specified CCE Model Price List'!$A$3:$O$3,0)),"")</f>
        <v/>
      </c>
      <c r="H20" s="201"/>
      <c r="I20" s="120" t="str">
        <f>IFERROR(IF(OR(EXACT(A20,'Specified CCE Model Price List'!$AB$14),EXACT(A20,'Specified CCE Model Price List'!$AB$16),EXACT(A20,'Specified CCE Model Price List'!$AB$17),EXACT(A20,'Specified CCE Model Price List'!$AB$18),EXACT(A20,'Specified CCE Model Price List'!$AB$19),EXACT(A20,'Specified CCE Model Price List'!$AB$20),EXACT(A20,'Specified CCE Model Price List'!$AB$21),EXACT(A20,'Specified CCE Model Price List'!$AB$22),EXACT(A20,'Specified CCE Model Price List'!$AB$23),EXACT(A20,'Specified CCE Model Price List'!$AB$24),EXACT(A20,'Specified CCE Model Price List'!$AB$25),EXACT(A20,'Specified CCE Model Price List'!$AB$26),EXACT(A20,'Specified CCE Model Price List'!$AB$27)),"N/A",H20+G20),"")</f>
        <v/>
      </c>
      <c r="J20" s="74"/>
      <c r="K20" s="75" t="str">
        <f t="shared" si="1"/>
        <v/>
      </c>
      <c r="L20" s="55"/>
      <c r="M20" s="170" t="str">
        <f t="shared" si="2"/>
        <v>_10</v>
      </c>
    </row>
    <row r="21" spans="1:13" s="25" customFormat="1" ht="27" customHeight="1" x14ac:dyDescent="0.25">
      <c r="A21" s="46" t="s">
        <v>316</v>
      </c>
      <c r="B21" s="46" t="s">
        <v>395</v>
      </c>
      <c r="C21" s="41"/>
      <c r="D21" s="28" t="str">
        <f>IFERROR(INDEX('Specified CCE Model Price List'!$A$3:$O$278,MATCH('Option B_CCE Model selection'!$C21,'Specified CCE Model Price List'!$E$3:$E$278,0),MATCH('Option B_CCE Model selection'!D$4,'Specified CCE Model Price List'!$A$3:$O$3,0)),"")</f>
        <v/>
      </c>
      <c r="E21" s="31" t="str">
        <f>IFERROR(INDEX('Specified CCE Model Price List'!$A$3:$O$278,MATCH('Option B_CCE Model selection'!$C21,'Specified CCE Model Price List'!$E$3:$E$278,0),MATCH('Option B_CCE Model selection'!E$4,'Specified CCE Model Price List'!$A$3:$O$3,0)),"")</f>
        <v/>
      </c>
      <c r="F21" s="31" t="str">
        <f>IFERROR(INDEX('Specified CCE Model Price List'!$A$3:$O$278,MATCH('Option B_CCE Model selection'!$C21,'Specified CCE Model Price List'!$E$3:$E$278,0),MATCH('Option B_CCE Model selection'!F$4,'Specified CCE Model Price List'!$A$3:$O$3,0)),"")</f>
        <v/>
      </c>
      <c r="G21" s="130" t="str">
        <f>IFERROR(INDEX('Specified CCE Model Price List'!$A$3:$O$278,MATCH('Option B_CCE Model selection'!$C21,'Specified CCE Model Price List'!$E$3:$E$278,0),MATCH('Option B_CCE Model selection'!G$4,'Specified CCE Model Price List'!$A$3:$O$3,0)),"")</f>
        <v/>
      </c>
      <c r="H21" s="201"/>
      <c r="I21" s="120" t="str">
        <f>IFERROR(IF(OR(EXACT(A21,'Specified CCE Model Price List'!$AB$14),EXACT(A21,'Specified CCE Model Price List'!$AB$16),EXACT(A21,'Specified CCE Model Price List'!$AB$17),EXACT(A21,'Specified CCE Model Price List'!$AB$18),EXACT(A21,'Specified CCE Model Price List'!$AB$19),EXACT(A21,'Specified CCE Model Price List'!$AB$20),EXACT(A21,'Specified CCE Model Price List'!$AB$21),EXACT(A21,'Specified CCE Model Price List'!$AB$22),EXACT(A21,'Specified CCE Model Price List'!$AB$23),EXACT(A21,'Specified CCE Model Price List'!$AB$24),EXACT(A21,'Specified CCE Model Price List'!$AB$25),EXACT(A21,'Specified CCE Model Price List'!$AB$26),EXACT(A21,'Specified CCE Model Price List'!$AB$27)),"N/A",H21+G21),"")</f>
        <v/>
      </c>
      <c r="J21" s="74"/>
      <c r="K21" s="75" t="str">
        <f t="shared" si="1"/>
        <v/>
      </c>
      <c r="L21" s="55"/>
      <c r="M21" s="170" t="str">
        <f t="shared" si="2"/>
        <v>_10</v>
      </c>
    </row>
    <row r="22" spans="1:13" s="25" customFormat="1" ht="27" customHeight="1" x14ac:dyDescent="0.25">
      <c r="A22" s="47" t="s">
        <v>317</v>
      </c>
      <c r="B22" s="47" t="s">
        <v>398</v>
      </c>
      <c r="C22" s="41"/>
      <c r="D22" s="28" t="str">
        <f>IFERROR(INDEX('Specified CCE Model Price List'!$A$3:$O$278,MATCH('Option B_CCE Model selection'!$C22,'Specified CCE Model Price List'!$E$3:$E$278,0),MATCH('Option B_CCE Model selection'!D$4,'Specified CCE Model Price List'!$A$3:$O$3,0)),"")</f>
        <v/>
      </c>
      <c r="E22" s="31" t="str">
        <f>IFERROR(INDEX('Specified CCE Model Price List'!$A$3:$O$278,MATCH('Option B_CCE Model selection'!$C22,'Specified CCE Model Price List'!$E$3:$E$278,0),MATCH('Option B_CCE Model selection'!E$4,'Specified CCE Model Price List'!$A$3:$O$3,0)),"")</f>
        <v/>
      </c>
      <c r="F22" s="31" t="str">
        <f>IFERROR(INDEX('Specified CCE Model Price List'!$A$3:$O$278,MATCH('Option B_CCE Model selection'!$C22,'Specified CCE Model Price List'!$E$3:$E$278,0),MATCH('Option B_CCE Model selection'!F$4,'Specified CCE Model Price List'!$A$3:$O$3,0)),"")</f>
        <v/>
      </c>
      <c r="G22" s="130" t="str">
        <f>IFERROR(INDEX('Specified CCE Model Price List'!$A$3:$O$278,MATCH('Option B_CCE Model selection'!$C22,'Specified CCE Model Price List'!$E$3:$E$278,0),MATCH('Option B_CCE Model selection'!G$4,'Specified CCE Model Price List'!$A$3:$O$3,0)),"")</f>
        <v/>
      </c>
      <c r="H22" s="202"/>
      <c r="I22" s="120" t="str">
        <f>IFERROR(IF(OR(EXACT(A22,'Specified CCE Model Price List'!$AB$14),EXACT(A22,'Specified CCE Model Price List'!$AB$16),EXACT(A22,'Specified CCE Model Price List'!$AB$17),EXACT(A22,'Specified CCE Model Price List'!$AB$18),EXACT(A22,'Specified CCE Model Price List'!$AB$19),EXACT(A22,'Specified CCE Model Price List'!$AB$20),EXACT(A22,'Specified CCE Model Price List'!$AB$21),EXACT(A22,'Specified CCE Model Price List'!$AB$22),EXACT(A22,'Specified CCE Model Price List'!$AB$23),EXACT(A22,'Specified CCE Model Price List'!$AB$24),EXACT(A22,'Specified CCE Model Price List'!$AB$25),EXACT(A22,'Specified CCE Model Price List'!$AB$26),EXACT(A22,'Specified CCE Model Price List'!$AB$27)),"N/A",H22+G22),"")</f>
        <v>N/A</v>
      </c>
      <c r="J22" s="74"/>
      <c r="K22" s="75" t="str">
        <f t="shared" si="1"/>
        <v/>
      </c>
      <c r="L22" s="55"/>
      <c r="M22" s="170" t="str">
        <f t="shared" si="2"/>
        <v>_11</v>
      </c>
    </row>
    <row r="23" spans="1:13" s="25" customFormat="1" ht="27" customHeight="1" x14ac:dyDescent="0.25">
      <c r="A23" s="48" t="s">
        <v>318</v>
      </c>
      <c r="B23" s="48" t="s">
        <v>399</v>
      </c>
      <c r="C23" s="41"/>
      <c r="D23" s="28" t="str">
        <f>IFERROR(INDEX('Specified CCE Model Price List'!$A$3:$O$278,MATCH('Option B_CCE Model selection'!$C23,'Specified CCE Model Price List'!$E$3:$E$278,0),MATCH('Option B_CCE Model selection'!D$4,'Specified CCE Model Price List'!$A$3:$O$3,0)),"")</f>
        <v/>
      </c>
      <c r="E23" s="31" t="str">
        <f>IFERROR(INDEX('Specified CCE Model Price List'!$A$3:$O$278,MATCH('Option B_CCE Model selection'!$C23,'Specified CCE Model Price List'!$E$3:$E$278,0),MATCH('Option B_CCE Model selection'!E$4,'Specified CCE Model Price List'!$A$3:$O$3,0)),"")</f>
        <v/>
      </c>
      <c r="F23" s="31" t="str">
        <f>IFERROR(INDEX('Specified CCE Model Price List'!$A$3:$O$278,MATCH('Option B_CCE Model selection'!$C23,'Specified CCE Model Price List'!$E$3:$E$278,0),MATCH('Option B_CCE Model selection'!F$4,'Specified CCE Model Price List'!$A$3:$O$3,0)),"")</f>
        <v/>
      </c>
      <c r="G23" s="130" t="str">
        <f>IFERROR(INDEX('Specified CCE Model Price List'!$A$3:$O$278,MATCH('Option B_CCE Model selection'!$C23,'Specified CCE Model Price List'!$E$3:$E$278,0),MATCH('Option B_CCE Model selection'!G$4,'Specified CCE Model Price List'!$A$3:$O$3,0)),"")</f>
        <v/>
      </c>
      <c r="H23" s="203"/>
      <c r="I23" s="120" t="str">
        <f>IFERROR(IF(OR(EXACT(A23,'Specified CCE Model Price List'!$AB$14),EXACT(A23,'Specified CCE Model Price List'!$AB$16),EXACT(A23,'Specified CCE Model Price List'!$AB$17),EXACT(A23,'Specified CCE Model Price List'!$AB$18),EXACT(A23,'Specified CCE Model Price List'!$AB$19),EXACT(A23,'Specified CCE Model Price List'!$AB$20),EXACT(A23,'Specified CCE Model Price List'!$AB$21),EXACT(A23,'Specified CCE Model Price List'!$AB$22),EXACT(A23,'Specified CCE Model Price List'!$AB$23),EXACT(A23,'Specified CCE Model Price List'!$AB$24),EXACT(A23,'Specified CCE Model Price List'!$AB$25),EXACT(A23,'Specified CCE Model Price List'!$AB$26),EXACT(A23,'Specified CCE Model Price List'!$AB$27)),"N/A",H23+G23),"")</f>
        <v/>
      </c>
      <c r="J23" s="74"/>
      <c r="K23" s="75" t="str">
        <f t="shared" si="1"/>
        <v/>
      </c>
      <c r="L23" s="55"/>
      <c r="M23" s="170" t="str">
        <f t="shared" si="2"/>
        <v>_12</v>
      </c>
    </row>
    <row r="24" spans="1:13" s="25" customFormat="1" ht="27" customHeight="1" x14ac:dyDescent="0.25">
      <c r="A24" s="48" t="s">
        <v>318</v>
      </c>
      <c r="B24" s="48" t="s">
        <v>399</v>
      </c>
      <c r="C24" s="41"/>
      <c r="D24" s="28" t="str">
        <f>IFERROR(INDEX('Specified CCE Model Price List'!$A$3:$O$278,MATCH('Option B_CCE Model selection'!$C24,'Specified CCE Model Price List'!$E$3:$E$278,0),MATCH('Option B_CCE Model selection'!D$4,'Specified CCE Model Price List'!$A$3:$O$3,0)),"")</f>
        <v/>
      </c>
      <c r="E24" s="31" t="str">
        <f>IFERROR(INDEX('Specified CCE Model Price List'!$A$3:$O$278,MATCH('Option B_CCE Model selection'!$C24,'Specified CCE Model Price List'!$E$3:$E$278,0),MATCH('Option B_CCE Model selection'!E$4,'Specified CCE Model Price List'!$A$3:$O$3,0)),"")</f>
        <v/>
      </c>
      <c r="F24" s="31" t="str">
        <f>IFERROR(INDEX('Specified CCE Model Price List'!$A$3:$O$278,MATCH('Option B_CCE Model selection'!$C24,'Specified CCE Model Price List'!$E$3:$E$278,0),MATCH('Option B_CCE Model selection'!F$4,'Specified CCE Model Price List'!$A$3:$O$3,0)),"")</f>
        <v/>
      </c>
      <c r="G24" s="130" t="str">
        <f>IFERROR(INDEX('Specified CCE Model Price List'!$A$3:$O$278,MATCH('Option B_CCE Model selection'!$C24,'Specified CCE Model Price List'!$E$3:$E$278,0),MATCH('Option B_CCE Model selection'!G$4,'Specified CCE Model Price List'!$A$3:$O$3,0)),"")</f>
        <v/>
      </c>
      <c r="H24" s="203"/>
      <c r="I24" s="120" t="str">
        <f>IFERROR(IF(OR(EXACT(A24,'Specified CCE Model Price List'!$AB$14),EXACT(A24,'Specified CCE Model Price List'!$AB$16),EXACT(A24,'Specified CCE Model Price List'!$AB$17),EXACT(A24,'Specified CCE Model Price List'!$AB$18),EXACT(A24,'Specified CCE Model Price List'!$AB$19),EXACT(A24,'Specified CCE Model Price List'!$AB$20),EXACT(A24,'Specified CCE Model Price List'!$AB$21),EXACT(A24,'Specified CCE Model Price List'!$AB$22),EXACT(A24,'Specified CCE Model Price List'!$AB$23),EXACT(A24,'Specified CCE Model Price List'!$AB$24),EXACT(A24,'Specified CCE Model Price List'!$AB$25),EXACT(A24,'Specified CCE Model Price List'!$AB$26),EXACT(A24,'Specified CCE Model Price List'!$AB$27)),"N/A",H24+G24),"")</f>
        <v/>
      </c>
      <c r="J24" s="74"/>
      <c r="K24" s="75" t="str">
        <f t="shared" si="1"/>
        <v/>
      </c>
      <c r="L24" s="55"/>
      <c r="M24" s="170" t="str">
        <f t="shared" si="2"/>
        <v>_12</v>
      </c>
    </row>
    <row r="25" spans="1:13" s="25" customFormat="1" ht="27" customHeight="1" x14ac:dyDescent="0.25">
      <c r="A25" s="48" t="s">
        <v>338</v>
      </c>
      <c r="B25" s="48" t="s">
        <v>402</v>
      </c>
      <c r="C25" s="41"/>
      <c r="D25" s="28" t="str">
        <f>IFERROR(INDEX('Specified CCE Model Price List'!$A$3:$O$278,MATCH('Option B_CCE Model selection'!$C25,'Specified CCE Model Price List'!$E$3:$E$278,0),MATCH('Option B_CCE Model selection'!D$4,'Specified CCE Model Price List'!$A$3:$O$3,0)),"")</f>
        <v/>
      </c>
      <c r="E25" s="31" t="str">
        <f>IFERROR(INDEX('Specified CCE Model Price List'!$A$3:$O$278,MATCH('Option B_CCE Model selection'!$C25,'Specified CCE Model Price List'!$E$3:$E$278,0),MATCH('Option B_CCE Model selection'!E$4,'Specified CCE Model Price List'!$A$3:$O$3,0)),"")</f>
        <v/>
      </c>
      <c r="F25" s="31" t="str">
        <f>IFERROR(INDEX('Specified CCE Model Price List'!$A$3:$O$278,MATCH('Option B_CCE Model selection'!$C25,'Specified CCE Model Price List'!$E$3:$E$278,0),MATCH('Option B_CCE Model selection'!F$4,'Specified CCE Model Price List'!$A$3:$O$3,0)),"")</f>
        <v/>
      </c>
      <c r="G25" s="130" t="str">
        <f>IFERROR(INDEX('Specified CCE Model Price List'!$A$3:$O$278,MATCH('Option B_CCE Model selection'!$C25,'Specified CCE Model Price List'!$E$3:$E$278,0),MATCH('Option B_CCE Model selection'!G$4,'Specified CCE Model Price List'!$A$3:$O$3,0)),"")</f>
        <v/>
      </c>
      <c r="H25" s="202"/>
      <c r="I25" s="120" t="str">
        <f>IFERROR(IF(OR(EXACT(A25,'Specified CCE Model Price List'!$AB$14),EXACT(A25,'Specified CCE Model Price List'!$AB$16),EXACT(A25,'Specified CCE Model Price List'!$AB$17),EXACT(A25,'Specified CCE Model Price List'!$AB$18),EXACT(A25,'Specified CCE Model Price List'!$AB$19),EXACT(A25,'Specified CCE Model Price List'!$AB$20),EXACT(A25,'Specified CCE Model Price List'!$AB$21),EXACT(A25,'Specified CCE Model Price List'!$AB$22),EXACT(A25,'Specified CCE Model Price List'!$AB$23),EXACT(A25,'Specified CCE Model Price List'!$AB$24),EXACT(A25,'Specified CCE Model Price List'!$AB$25),EXACT(A25,'Specified CCE Model Price List'!$AB$26),EXACT(A25,'Specified CCE Model Price List'!$AB$27)),"N/A",H25+G25),"")</f>
        <v>N/A</v>
      </c>
      <c r="J25" s="74"/>
      <c r="K25" s="75" t="str">
        <f t="shared" si="1"/>
        <v/>
      </c>
      <c r="L25" s="55"/>
      <c r="M25" s="170" t="str">
        <f t="shared" si="2"/>
        <v>_13</v>
      </c>
    </row>
    <row r="26" spans="1:13" s="25" customFormat="1" ht="27" customHeight="1" x14ac:dyDescent="0.25">
      <c r="A26" s="48" t="s">
        <v>339</v>
      </c>
      <c r="B26" s="48" t="s">
        <v>403</v>
      </c>
      <c r="C26" s="41"/>
      <c r="D26" s="28" t="str">
        <f>IFERROR(INDEX('Specified CCE Model Price List'!$A$3:$O$278,MATCH('Option B_CCE Model selection'!$C26,'Specified CCE Model Price List'!$E$3:$E$278,0),MATCH('Option B_CCE Model selection'!D$4,'Specified CCE Model Price List'!$A$3:$O$3,0)),"")</f>
        <v/>
      </c>
      <c r="E26" s="31" t="str">
        <f>IFERROR(INDEX('Specified CCE Model Price List'!$A$3:$O$278,MATCH('Option B_CCE Model selection'!$C26,'Specified CCE Model Price List'!$E$3:$E$278,0),MATCH('Option B_CCE Model selection'!E$4,'Specified CCE Model Price List'!$A$3:$O$3,0)),"")</f>
        <v/>
      </c>
      <c r="F26" s="31" t="str">
        <f>IFERROR(INDEX('Specified CCE Model Price List'!$A$3:$O$278,MATCH('Option B_CCE Model selection'!$C26,'Specified CCE Model Price List'!$E$3:$E$278,0),MATCH('Option B_CCE Model selection'!F$4,'Specified CCE Model Price List'!$A$3:$O$3,0)),"")</f>
        <v/>
      </c>
      <c r="G26" s="130" t="str">
        <f>IFERROR(INDEX('Specified CCE Model Price List'!$A$3:$O$278,MATCH('Option B_CCE Model selection'!$C26,'Specified CCE Model Price List'!$E$3:$E$278,0),MATCH('Option B_CCE Model selection'!G$4,'Specified CCE Model Price List'!$A$3:$O$3,0)),"")</f>
        <v/>
      </c>
      <c r="H26" s="202"/>
      <c r="I26" s="120" t="str">
        <f>IFERROR(IF(OR(EXACT(A26,'Specified CCE Model Price List'!$AB$14),EXACT(A26,'Specified CCE Model Price List'!$AB$16),EXACT(A26,'Specified CCE Model Price List'!$AB$17),EXACT(A26,'Specified CCE Model Price List'!$AB$18),EXACT(A26,'Specified CCE Model Price List'!$AB$19),EXACT(A26,'Specified CCE Model Price List'!$AB$20),EXACT(A26,'Specified CCE Model Price List'!$AB$21),EXACT(A26,'Specified CCE Model Price List'!$AB$22),EXACT(A26,'Specified CCE Model Price List'!$AB$23),EXACT(A26,'Specified CCE Model Price List'!$AB$24),EXACT(A26,'Specified CCE Model Price List'!$AB$25),EXACT(A26,'Specified CCE Model Price List'!$AB$26),EXACT(A26,'Specified CCE Model Price List'!$AB$27)),"N/A",H26+G26),"")</f>
        <v>N/A</v>
      </c>
      <c r="J26" s="74"/>
      <c r="K26" s="75" t="str">
        <f t="shared" si="1"/>
        <v/>
      </c>
      <c r="L26" s="55"/>
      <c r="M26" s="170" t="str">
        <f t="shared" si="2"/>
        <v>_14</v>
      </c>
    </row>
    <row r="27" spans="1:13" s="25" customFormat="1" ht="27" customHeight="1" x14ac:dyDescent="0.25">
      <c r="A27" s="49" t="s">
        <v>345</v>
      </c>
      <c r="B27" s="49" t="s">
        <v>404</v>
      </c>
      <c r="C27" s="41"/>
      <c r="D27" s="28" t="str">
        <f>IFERROR(INDEX('Specified CCE Model Price List'!$A$3:$O$278,MATCH('Option B_CCE Model selection'!$C27,'Specified CCE Model Price List'!$E$3:$E$278,0),MATCH('Option B_CCE Model selection'!D$4,'Specified CCE Model Price List'!$A$3:$O$3,0)),"")</f>
        <v/>
      </c>
      <c r="E27" s="31" t="str">
        <f>IFERROR(INDEX('Specified CCE Model Price List'!$A$3:$O$278,MATCH('Option B_CCE Model selection'!$C27,'Specified CCE Model Price List'!$E$3:$E$278,0),MATCH('Option B_CCE Model selection'!E$4,'Specified CCE Model Price List'!$A$3:$O$3,0)),"")</f>
        <v/>
      </c>
      <c r="F27" s="31" t="str">
        <f>IFERROR(INDEX('Specified CCE Model Price List'!$A$3:$O$278,MATCH('Option B_CCE Model selection'!$C27,'Specified CCE Model Price List'!$E$3:$E$278,0),MATCH('Option B_CCE Model selection'!F$4,'Specified CCE Model Price List'!$A$3:$O$3,0)),"")</f>
        <v/>
      </c>
      <c r="G27" s="130" t="str">
        <f>IFERROR(INDEX('Specified CCE Model Price List'!$A$3:$O$278,MATCH('Option B_CCE Model selection'!$C27,'Specified CCE Model Price List'!$E$3:$E$278,0),MATCH('Option B_CCE Model selection'!G$4,'Specified CCE Model Price List'!$A$3:$O$3,0)),"")</f>
        <v/>
      </c>
      <c r="H27" s="202"/>
      <c r="I27" s="120" t="str">
        <f>IFERROR(IF(OR(EXACT(A27,'Specified CCE Model Price List'!$AB$14),EXACT(A27,'Specified CCE Model Price List'!$AB$16),EXACT(A27,'Specified CCE Model Price List'!$AB$17),EXACT(A27,'Specified CCE Model Price List'!$AB$18),EXACT(A27,'Specified CCE Model Price List'!$AB$19),EXACT(A27,'Specified CCE Model Price List'!$AB$20),EXACT(A27,'Specified CCE Model Price List'!$AB$21),EXACT(A27,'Specified CCE Model Price List'!$AB$22),EXACT(A27,'Specified CCE Model Price List'!$AB$23),EXACT(A27,'Specified CCE Model Price List'!$AB$24),EXACT(A27,'Specified CCE Model Price List'!$AB$25),EXACT(A27,'Specified CCE Model Price List'!$AB$26),EXACT(A27,'Specified CCE Model Price List'!$AB$27)),"N/A",H27+G27),"")</f>
        <v>N/A</v>
      </c>
      <c r="J27" s="74"/>
      <c r="K27" s="75" t="str">
        <f t="shared" si="1"/>
        <v/>
      </c>
      <c r="L27" s="55"/>
      <c r="M27" s="170" t="str">
        <f t="shared" si="2"/>
        <v>_15</v>
      </c>
    </row>
    <row r="28" spans="1:13" s="25" customFormat="1" ht="27" customHeight="1" x14ac:dyDescent="0.25">
      <c r="A28" s="49" t="s">
        <v>340</v>
      </c>
      <c r="B28" s="49" t="s">
        <v>405</v>
      </c>
      <c r="C28" s="41"/>
      <c r="D28" s="28" t="str">
        <f>IFERROR(INDEX('Specified CCE Model Price List'!$A$3:$O$278,MATCH('Option B_CCE Model selection'!$C28,'Specified CCE Model Price List'!$E$3:$E$278,0),MATCH('Option B_CCE Model selection'!D$4,'Specified CCE Model Price List'!$A$3:$O$3,0)),"")</f>
        <v/>
      </c>
      <c r="E28" s="31" t="str">
        <f>IFERROR(INDEX('Specified CCE Model Price List'!$A$3:$O$278,MATCH('Option B_CCE Model selection'!$C28,'Specified CCE Model Price List'!$E$3:$E$278,0),MATCH('Option B_CCE Model selection'!E$4,'Specified CCE Model Price List'!$A$3:$O$3,0)),"")</f>
        <v/>
      </c>
      <c r="F28" s="31" t="str">
        <f>IFERROR(INDEX('Specified CCE Model Price List'!$A$3:$O$278,MATCH('Option B_CCE Model selection'!$C28,'Specified CCE Model Price List'!$E$3:$E$278,0),MATCH('Option B_CCE Model selection'!F$4,'Specified CCE Model Price List'!$A$3:$O$3,0)),"")</f>
        <v/>
      </c>
      <c r="G28" s="130" t="str">
        <f>IFERROR(INDEX('Specified CCE Model Price List'!$A$3:$O$278,MATCH('Option B_CCE Model selection'!$C28,'Specified CCE Model Price List'!$E$3:$E$278,0),MATCH('Option B_CCE Model selection'!G$4,'Specified CCE Model Price List'!$A$3:$O$3,0)),"")</f>
        <v/>
      </c>
      <c r="H28" s="202"/>
      <c r="I28" s="120" t="str">
        <f>IFERROR(IF(OR(EXACT(A28,'Specified CCE Model Price List'!$AB$14),EXACT(A28,'Specified CCE Model Price List'!$AB$16),EXACT(A28,'Specified CCE Model Price List'!$AB$17),EXACT(A28,'Specified CCE Model Price List'!$AB$18),EXACT(A28,'Specified CCE Model Price List'!$AB$19),EXACT(A28,'Specified CCE Model Price List'!$AB$20),EXACT(A28,'Specified CCE Model Price List'!$AB$21),EXACT(A28,'Specified CCE Model Price List'!$AB$22),EXACT(A28,'Specified CCE Model Price List'!$AB$23),EXACT(A28,'Specified CCE Model Price List'!$AB$24),EXACT(A28,'Specified CCE Model Price List'!$AB$25),EXACT(A28,'Specified CCE Model Price List'!$AB$26),EXACT(A28,'Specified CCE Model Price List'!$AB$27)),"N/A",H28+G28),"")</f>
        <v>N/A</v>
      </c>
      <c r="J28" s="74"/>
      <c r="K28" s="75" t="str">
        <f t="shared" si="1"/>
        <v/>
      </c>
      <c r="L28" s="55"/>
      <c r="M28" s="170" t="str">
        <f t="shared" si="2"/>
        <v>_16</v>
      </c>
    </row>
    <row r="29" spans="1:13" s="25" customFormat="1" ht="27" customHeight="1" x14ac:dyDescent="0.25">
      <c r="A29" s="50" t="s">
        <v>342</v>
      </c>
      <c r="B29" s="50" t="s">
        <v>406</v>
      </c>
      <c r="C29" s="41"/>
      <c r="D29" s="28" t="str">
        <f>IFERROR(INDEX('Specified CCE Model Price List'!$A$3:$O$278,MATCH('Option B_CCE Model selection'!$C29,'Specified CCE Model Price List'!$E$3:$E$278,0),MATCH('Option B_CCE Model selection'!D$4,'Specified CCE Model Price List'!$A$3:$O$3,0)),"")</f>
        <v/>
      </c>
      <c r="E29" s="31" t="str">
        <f>IFERROR(INDEX('Specified CCE Model Price List'!$A$3:$O$278,MATCH('Option B_CCE Model selection'!$C29,'Specified CCE Model Price List'!$E$3:$E$278,0),MATCH('Option B_CCE Model selection'!E$4,'Specified CCE Model Price List'!$A$3:$O$3,0)),"")</f>
        <v/>
      </c>
      <c r="F29" s="31" t="str">
        <f>IFERROR(INDEX('Specified CCE Model Price List'!$A$3:$O$278,MATCH('Option B_CCE Model selection'!$C29,'Specified CCE Model Price List'!$E$3:$E$278,0),MATCH('Option B_CCE Model selection'!F$4,'Specified CCE Model Price List'!$A$3:$O$3,0)),"")</f>
        <v/>
      </c>
      <c r="G29" s="130" t="str">
        <f>IFERROR(INDEX('Specified CCE Model Price List'!$A$3:$O$278,MATCH('Option B_CCE Model selection'!$C29,'Specified CCE Model Price List'!$E$3:$E$278,0),MATCH('Option B_CCE Model selection'!G$4,'Specified CCE Model Price List'!$A$3:$O$3,0)),"")</f>
        <v/>
      </c>
      <c r="H29" s="202"/>
      <c r="I29" s="120" t="str">
        <f>IFERROR(IF(OR(EXACT(A29,'Specified CCE Model Price List'!$AB$14),EXACT(A29,'Specified CCE Model Price List'!$AB$16),EXACT(A29,'Specified CCE Model Price List'!$AB$17),EXACT(A29,'Specified CCE Model Price List'!$AB$18),EXACT(A29,'Specified CCE Model Price List'!$AB$19),EXACT(A29,'Specified CCE Model Price List'!$AB$20),EXACT(A29,'Specified CCE Model Price List'!$AB$21),EXACT(A29,'Specified CCE Model Price List'!$AB$22),EXACT(A29,'Specified CCE Model Price List'!$AB$23),EXACT(A29,'Specified CCE Model Price List'!$AB$24),EXACT(A29,'Specified CCE Model Price List'!$AB$25),EXACT(A29,'Specified CCE Model Price List'!$AB$26),EXACT(A29,'Specified CCE Model Price List'!$AB$27)),"N/A",H29+G29),"")</f>
        <v>N/A</v>
      </c>
      <c r="J29" s="74"/>
      <c r="K29" s="75" t="str">
        <f t="shared" si="1"/>
        <v/>
      </c>
      <c r="L29" s="55"/>
      <c r="M29" s="170" t="str">
        <f t="shared" si="2"/>
        <v>_17</v>
      </c>
    </row>
    <row r="30" spans="1:13" s="25" customFormat="1" ht="27" customHeight="1" x14ac:dyDescent="0.25">
      <c r="A30" s="51" t="s">
        <v>2144</v>
      </c>
      <c r="B30" s="51" t="s">
        <v>2169</v>
      </c>
      <c r="C30" s="41"/>
      <c r="D30" s="28" t="str">
        <f>IFERROR(INDEX('Specified CCE Model Price List'!$A$3:$O$278,MATCH('Option B_CCE Model selection'!$C30,'Specified CCE Model Price List'!$E$3:$E$278,0),MATCH('Option B_CCE Model selection'!D$4,'Specified CCE Model Price List'!$A$3:$O$3,0)),"")</f>
        <v/>
      </c>
      <c r="E30" s="31" t="str">
        <f>IFERROR(INDEX('Specified CCE Model Price List'!$A$3:$O$278,MATCH('Option B_CCE Model selection'!$C30,'Specified CCE Model Price List'!$E$3:$E$278,0),MATCH('Option B_CCE Model selection'!E$4,'Specified CCE Model Price List'!$A$3:$O$3,0)),"")</f>
        <v/>
      </c>
      <c r="F30" s="31" t="str">
        <f>IFERROR(INDEX('Specified CCE Model Price List'!$A$3:$O$278,MATCH('Option B_CCE Model selection'!$C30,'Specified CCE Model Price List'!$E$3:$E$278,0),MATCH('Option B_CCE Model selection'!F$4,'Specified CCE Model Price List'!$A$3:$O$3,0)),"")</f>
        <v/>
      </c>
      <c r="G30" s="204" t="str">
        <f>IFERROR(INDEX('Specified CCE Model Price List'!$A$3:$O$278,MATCH('Option B_CCE Model selection'!$C30,'Specified CCE Model Price List'!$E$3:$E$278,0),MATCH('Option B_CCE Model selection'!G$4,'Specified CCE Model Price List'!$A$3:$O$3,0)),"")</f>
        <v/>
      </c>
      <c r="H30" s="202"/>
      <c r="I30" s="120" t="str">
        <f>IFERROR(IF(OR(EXACT(A30,'Specified CCE Model Price List'!$AB$14),EXACT(A30,'Specified CCE Model Price List'!$AB$16),EXACT(A30,'Specified CCE Model Price List'!$AB$17),EXACT(A30,'Specified CCE Model Price List'!$AB$18),EXACT(A30,'Specified CCE Model Price List'!$AB$19),EXACT(A30,'Specified CCE Model Price List'!$AB$20),EXACT(A30,'Specified CCE Model Price List'!$AB$21),EXACT(A30,'Specified CCE Model Price List'!$AB$22),EXACT(A30,'Specified CCE Model Price List'!$AB$23),EXACT(A30,'Specified CCE Model Price List'!$AB$24),EXACT(A30,'Specified CCE Model Price List'!$AB$25),EXACT(A30,'Specified CCE Model Price List'!$AB$26),EXACT(A30,'Specified CCE Model Price List'!$AB$27)),"N/A",H30+G30),"")</f>
        <v>N/A</v>
      </c>
      <c r="J30" s="74"/>
      <c r="K30" s="75" t="str">
        <f t="shared" si="1"/>
        <v/>
      </c>
      <c r="L30" s="55"/>
      <c r="M30" s="170" t="str">
        <f t="shared" si="2"/>
        <v>_18</v>
      </c>
    </row>
    <row r="31" spans="1:13" s="25" customFormat="1" ht="27" customHeight="1" x14ac:dyDescent="0.25">
      <c r="A31" s="52" t="s">
        <v>2162</v>
      </c>
      <c r="B31" s="51" t="s">
        <v>2168</v>
      </c>
      <c r="C31" s="41"/>
      <c r="D31" s="28" t="str">
        <f>IFERROR(INDEX('Specified CCE Model Price List'!$A$3:$O$278,MATCH('Option B_CCE Model selection'!$C31,'Specified CCE Model Price List'!$E$3:$E$278,0),MATCH('Option B_CCE Model selection'!D$4,'Specified CCE Model Price List'!$A$3:$O$3,0)),"")</f>
        <v/>
      </c>
      <c r="E31" s="31" t="str">
        <f>IFERROR(INDEX('Specified CCE Model Price List'!$A$3:$O$278,MATCH('Option B_CCE Model selection'!$C31,'Specified CCE Model Price List'!$E$3:$E$278,0),MATCH('Option B_CCE Model selection'!E$4,'Specified CCE Model Price List'!$A$3:$O$3,0)),"")</f>
        <v/>
      </c>
      <c r="F31" s="31" t="str">
        <f>IFERROR(INDEX('Specified CCE Model Price List'!$A$3:$O$278,MATCH('Option B_CCE Model selection'!$C31,'Specified CCE Model Price List'!$E$3:$E$278,0),MATCH('Option B_CCE Model selection'!F$4,'Specified CCE Model Price List'!$A$3:$O$3,0)),"")</f>
        <v/>
      </c>
      <c r="G31" s="204" t="str">
        <f>IFERROR(INDEX('Specified CCE Model Price List'!$A$3:$O$278,MATCH('Option B_CCE Model selection'!$C31,'Specified CCE Model Price List'!$E$3:$E$278,0),MATCH('Option B_CCE Model selection'!G$4,'Specified CCE Model Price List'!$A$3:$O$3,0)),"")</f>
        <v/>
      </c>
      <c r="H31" s="202"/>
      <c r="I31" s="120" t="str">
        <f>IFERROR(IF(OR(EXACT(A31,'Specified CCE Model Price List'!$AB$14),EXACT(A31,'Specified CCE Model Price List'!$AB$16),EXACT(A31,'Specified CCE Model Price List'!$AB$17),EXACT(A31,'Specified CCE Model Price List'!$AB$18),EXACT(A31,'Specified CCE Model Price List'!$AB$19),EXACT(A31,'Specified CCE Model Price List'!$AB$20),EXACT(A31,'Specified CCE Model Price List'!$AB$21),EXACT(A31,'Specified CCE Model Price List'!$AB$22),EXACT(A31,'Specified CCE Model Price List'!$AB$23),EXACT(A31,'Specified CCE Model Price List'!$AB$24),EXACT(A31,'Specified CCE Model Price List'!$AB$25),EXACT(A31,'Specified CCE Model Price List'!$AB$26),EXACT(A31,'Specified CCE Model Price List'!$AB$27)),"N/A",H31+G31),"")</f>
        <v>N/A</v>
      </c>
      <c r="J31" s="74"/>
      <c r="K31" s="75" t="str">
        <f t="shared" si="1"/>
        <v/>
      </c>
      <c r="L31" s="55"/>
      <c r="M31" s="170" t="str">
        <f t="shared" si="2"/>
        <v>_19</v>
      </c>
    </row>
    <row r="32" spans="1:13" s="25" customFormat="1" ht="27" customHeight="1" x14ac:dyDescent="0.25">
      <c r="A32" s="52" t="s">
        <v>2163</v>
      </c>
      <c r="B32" s="52" t="s">
        <v>2170</v>
      </c>
      <c r="C32" s="41"/>
      <c r="D32" s="28" t="str">
        <f>IFERROR(INDEX('Specified CCE Model Price List'!$A$3:$O$278,MATCH('Option B_CCE Model selection'!$C32,'Specified CCE Model Price List'!$E$3:$E$278,0),MATCH('Option B_CCE Model selection'!D$4,'Specified CCE Model Price List'!$A$3:$O$3,0)),"")</f>
        <v/>
      </c>
      <c r="E32" s="31" t="str">
        <f>IFERROR(INDEX('Specified CCE Model Price List'!$A$3:$O$278,MATCH('Option B_CCE Model selection'!$C32,'Specified CCE Model Price List'!$E$3:$E$278,0),MATCH('Option B_CCE Model selection'!E$4,'Specified CCE Model Price List'!$A$3:$O$3,0)),"")</f>
        <v/>
      </c>
      <c r="F32" s="31" t="str">
        <f>IFERROR(INDEX('Specified CCE Model Price List'!$A$3:$O$278,MATCH('Option B_CCE Model selection'!$C32,'Specified CCE Model Price List'!$E$3:$E$278,0),MATCH('Option B_CCE Model selection'!F$4,'Specified CCE Model Price List'!$A$3:$O$3,0)),"")</f>
        <v/>
      </c>
      <c r="G32" s="204" t="str">
        <f>IFERROR(INDEX('Specified CCE Model Price List'!$A$3:$O$278,MATCH('Option B_CCE Model selection'!$C32,'Specified CCE Model Price List'!$E$3:$E$278,0),MATCH('Option B_CCE Model selection'!G$4,'Specified CCE Model Price List'!$A$3:$O$3,0)),"")</f>
        <v/>
      </c>
      <c r="H32" s="202"/>
      <c r="I32" s="120" t="str">
        <f>IFERROR(IF(OR(EXACT(A32,'Specified CCE Model Price List'!$AB$14),EXACT(A32,'Specified CCE Model Price List'!$AB$16),EXACT(A32,'Specified CCE Model Price List'!$AB$17),EXACT(A32,'Specified CCE Model Price List'!$AB$18),EXACT(A32,'Specified CCE Model Price List'!$AB$19),EXACT(A32,'Specified CCE Model Price List'!$AB$20),EXACT(A32,'Specified CCE Model Price List'!$AB$21),EXACT(A32,'Specified CCE Model Price List'!$AB$22),EXACT(A32,'Specified CCE Model Price List'!$AB$23),EXACT(A32,'Specified CCE Model Price List'!$AB$24),EXACT(A32,'Specified CCE Model Price List'!$AB$25),EXACT(A32,'Specified CCE Model Price List'!$AB$26),EXACT(A32,'Specified CCE Model Price List'!$AB$27)),"N/A",H32+G32),"")</f>
        <v>N/A</v>
      </c>
      <c r="J32" s="74"/>
      <c r="K32" s="75" t="str">
        <f t="shared" si="1"/>
        <v/>
      </c>
      <c r="L32" s="55"/>
      <c r="M32" s="170" t="str">
        <f t="shared" si="2"/>
        <v>_20</v>
      </c>
    </row>
    <row r="33" spans="1:13" s="25" customFormat="1" ht="27" customHeight="1" x14ac:dyDescent="0.25">
      <c r="A33" s="122" t="s">
        <v>2164</v>
      </c>
      <c r="B33" s="52" t="s">
        <v>2171</v>
      </c>
      <c r="C33" s="41"/>
      <c r="D33" s="28" t="str">
        <f>IFERROR(INDEX('Specified CCE Model Price List'!$A$3:$O$278,MATCH('Option B_CCE Model selection'!$C33,'Specified CCE Model Price List'!$E$3:$E$278,0),MATCH('Option B_CCE Model selection'!D$4,'Specified CCE Model Price List'!$A$3:$O$3,0)),"")</f>
        <v/>
      </c>
      <c r="E33" s="31" t="str">
        <f>IFERROR(INDEX('Specified CCE Model Price List'!$A$3:$O$278,MATCH('Option B_CCE Model selection'!$C33,'Specified CCE Model Price List'!$E$3:$E$278,0),MATCH('Option B_CCE Model selection'!E$4,'Specified CCE Model Price List'!$A$3:$O$3,0)),"")</f>
        <v/>
      </c>
      <c r="F33" s="31" t="str">
        <f>IFERROR(INDEX('Specified CCE Model Price List'!$A$3:$O$278,MATCH('Option B_CCE Model selection'!$C33,'Specified CCE Model Price List'!$E$3:$E$278,0),MATCH('Option B_CCE Model selection'!F$4,'Specified CCE Model Price List'!$A$3:$O$3,0)),"")</f>
        <v/>
      </c>
      <c r="G33" s="204" t="str">
        <f>IFERROR(INDEX('Specified CCE Model Price List'!$A$3:$O$278,MATCH('Option B_CCE Model selection'!$C33,'Specified CCE Model Price List'!$E$3:$E$278,0),MATCH('Option B_CCE Model selection'!G$4,'Specified CCE Model Price List'!$A$3:$O$3,0)),"")</f>
        <v/>
      </c>
      <c r="H33" s="202"/>
      <c r="I33" s="120" t="str">
        <f>IFERROR(IF(OR(EXACT(A33,'Specified CCE Model Price List'!$AB$14),EXACT(A33,'Specified CCE Model Price List'!$AB$16),EXACT(A33,'Specified CCE Model Price List'!$AB$17),EXACT(A33,'Specified CCE Model Price List'!$AB$18),EXACT(A33,'Specified CCE Model Price List'!$AB$19),EXACT(A33,'Specified CCE Model Price List'!$AB$20),EXACT(A33,'Specified CCE Model Price List'!$AB$21),EXACT(A33,'Specified CCE Model Price List'!$AB$22),EXACT(A33,'Specified CCE Model Price List'!$AB$23),EXACT(A33,'Specified CCE Model Price List'!$AB$24),EXACT(A33,'Specified CCE Model Price List'!$AB$25),EXACT(A33,'Specified CCE Model Price List'!$AB$26),EXACT(A33,'Specified CCE Model Price List'!$AB$27)),"N/A",H33+G33),"")</f>
        <v>N/A</v>
      </c>
      <c r="J33" s="74"/>
      <c r="K33" s="75" t="str">
        <f t="shared" si="1"/>
        <v/>
      </c>
      <c r="L33" s="55"/>
      <c r="M33" s="170" t="str">
        <f t="shared" si="2"/>
        <v>_21</v>
      </c>
    </row>
    <row r="34" spans="1:13" s="25" customFormat="1" ht="27" customHeight="1" x14ac:dyDescent="0.25">
      <c r="A34" s="122" t="s">
        <v>2165</v>
      </c>
      <c r="B34" s="122" t="s">
        <v>2172</v>
      </c>
      <c r="C34" s="41"/>
      <c r="D34" s="28" t="str">
        <f>IFERROR(INDEX('Specified CCE Model Price List'!$A$3:$O$278,MATCH('Option B_CCE Model selection'!$C34,'Specified CCE Model Price List'!$E$3:$E$278,0),MATCH('Option B_CCE Model selection'!D$4,'Specified CCE Model Price List'!$A$3:$O$3,0)),"")</f>
        <v/>
      </c>
      <c r="E34" s="31" t="str">
        <f>IFERROR(INDEX('Specified CCE Model Price List'!$A$3:$O$278,MATCH('Option B_CCE Model selection'!$C34,'Specified CCE Model Price List'!$E$3:$E$278,0),MATCH('Option B_CCE Model selection'!E$4,'Specified CCE Model Price List'!$A$3:$O$3,0)),"")</f>
        <v/>
      </c>
      <c r="F34" s="31" t="str">
        <f>IFERROR(INDEX('Specified CCE Model Price List'!$A$3:$O$278,MATCH('Option B_CCE Model selection'!$C34,'Specified CCE Model Price List'!$E$3:$E$278,0),MATCH('Option B_CCE Model selection'!F$4,'Specified CCE Model Price List'!$A$3:$O$3,0)),"")</f>
        <v/>
      </c>
      <c r="G34" s="204" t="str">
        <f>IFERROR(INDEX('Specified CCE Model Price List'!$A$3:$O$278,MATCH('Option B_CCE Model selection'!$C34,'Specified CCE Model Price List'!$E$3:$E$278,0),MATCH('Option B_CCE Model selection'!G$4,'Specified CCE Model Price List'!$A$3:$O$3,0)),"")</f>
        <v/>
      </c>
      <c r="H34" s="202"/>
      <c r="I34" s="120" t="str">
        <f>IFERROR(IF(OR(EXACT(A34,'Specified CCE Model Price List'!$AB$14),EXACT(A34,'Specified CCE Model Price List'!$AB$16),EXACT(A34,'Specified CCE Model Price List'!$AB$17),EXACT(A34,'Specified CCE Model Price List'!$AB$18),EXACT(A34,'Specified CCE Model Price List'!$AB$19),EXACT(A34,'Specified CCE Model Price List'!$AB$20),EXACT(A34,'Specified CCE Model Price List'!$AB$21),EXACT(A34,'Specified CCE Model Price List'!$AB$22),EXACT(A34,'Specified CCE Model Price List'!$AB$23),EXACT(A34,'Specified CCE Model Price List'!$AB$24),EXACT(A34,'Specified CCE Model Price List'!$AB$25),EXACT(A34,'Specified CCE Model Price List'!$AB$26),EXACT(A34,'Specified CCE Model Price List'!$AB$27)),"N/A",H34+G34),"")</f>
        <v>N/A</v>
      </c>
      <c r="J34" s="74"/>
      <c r="K34" s="75" t="str">
        <f t="shared" si="1"/>
        <v/>
      </c>
      <c r="L34" s="55"/>
      <c r="M34" s="170" t="str">
        <f t="shared" si="2"/>
        <v>_22</v>
      </c>
    </row>
    <row r="35" spans="1:13" s="25" customFormat="1" ht="27" customHeight="1" x14ac:dyDescent="0.25">
      <c r="A35" s="122" t="s">
        <v>2166</v>
      </c>
      <c r="B35" s="122" t="s">
        <v>2173</v>
      </c>
      <c r="C35" s="41"/>
      <c r="D35" s="28"/>
      <c r="E35" s="31"/>
      <c r="F35" s="31"/>
      <c r="G35" s="204"/>
      <c r="H35" s="202"/>
      <c r="I35" s="120" t="str">
        <f>IFERROR(IF(OR(EXACT(A35,'Specified CCE Model Price List'!$AB$14),EXACT(A35,'Specified CCE Model Price List'!$AB$16),EXACT(A35,'Specified CCE Model Price List'!$AB$17),EXACT(A35,'Specified CCE Model Price List'!$AB$18),EXACT(A35,'Specified CCE Model Price List'!$AB$19),EXACT(A35,'Specified CCE Model Price List'!$AB$20),EXACT(A35,'Specified CCE Model Price List'!$AB$21),EXACT(A35,'Specified CCE Model Price List'!$AB$22),EXACT(A35,'Specified CCE Model Price List'!$AB$23),EXACT(A35,'Specified CCE Model Price List'!$AB$24),EXACT(A35,'Specified CCE Model Price List'!$AB$25),EXACT(A35,'Specified CCE Model Price List'!$AB$26),EXACT(A35,'Specified CCE Model Price List'!$AB$27)),"N/A",H35+G35),"")</f>
        <v>N/A</v>
      </c>
      <c r="J35" s="74"/>
      <c r="K35" s="75"/>
      <c r="L35" s="55"/>
      <c r="M35" s="170" t="str">
        <f t="shared" si="2"/>
        <v>_23</v>
      </c>
    </row>
    <row r="36" spans="1:13" s="25" customFormat="1" ht="27" customHeight="1" x14ac:dyDescent="0.25">
      <c r="A36" s="122" t="s">
        <v>2167</v>
      </c>
      <c r="B36" s="122" t="s">
        <v>2174</v>
      </c>
      <c r="C36" s="41"/>
      <c r="D36" s="28" t="str">
        <f>IFERROR(INDEX('Specified CCE Model Price List'!$A$3:$O$278,MATCH('Option B_CCE Model selection'!$C36,'Specified CCE Model Price List'!$E$3:$E$278,0),MATCH('Option B_CCE Model selection'!D$4,'Specified CCE Model Price List'!$A$3:$O$3,0)),"")</f>
        <v/>
      </c>
      <c r="E36" s="31" t="str">
        <f>IFERROR(INDEX('Specified CCE Model Price List'!$A$3:$O$278,MATCH('Option B_CCE Model selection'!$C36,'Specified CCE Model Price List'!$E$3:$E$278,0),MATCH('Option B_CCE Model selection'!E$4,'Specified CCE Model Price List'!$A$3:$O$3,0)),"")</f>
        <v/>
      </c>
      <c r="F36" s="31" t="str">
        <f>IFERROR(INDEX('Specified CCE Model Price List'!$A$3:$O$278,MATCH('Option B_CCE Model selection'!$C36,'Specified CCE Model Price List'!$E$3:$E$278,0),MATCH('Option B_CCE Model selection'!F$4,'Specified CCE Model Price List'!$A$3:$O$3,0)),"")</f>
        <v/>
      </c>
      <c r="G36" s="204" t="str">
        <f>IFERROR(INDEX('Specified CCE Model Price List'!$A$3:$O$278,MATCH('Option B_CCE Model selection'!$C36,'Specified CCE Model Price List'!$E$3:$E$278,0),MATCH('Option B_CCE Model selection'!G$4,'Specified CCE Model Price List'!$A$3:$O$3,0)),"")</f>
        <v/>
      </c>
      <c r="H36" s="202"/>
      <c r="I36" s="120" t="str">
        <f>IFERROR(IF(OR(EXACT(A36,'Specified CCE Model Price List'!$AB$14),EXACT(A36,'Specified CCE Model Price List'!$AB$16),EXACT(A36,'Specified CCE Model Price List'!$AB$17),EXACT(A36,'Specified CCE Model Price List'!$AB$18),EXACT(A36,'Specified CCE Model Price List'!$AB$19),EXACT(A36,'Specified CCE Model Price List'!$AB$20),EXACT(A36,'Specified CCE Model Price List'!$AB$21),EXACT(A36,'Specified CCE Model Price List'!$AB$22),EXACT(A36,'Specified CCE Model Price List'!$AB$23),EXACT(A36,'Specified CCE Model Price List'!$AB$24),EXACT(A36,'Specified CCE Model Price List'!$AB$25),EXACT(A36,'Specified CCE Model Price List'!$AB$26),EXACT(A36,'Specified CCE Model Price List'!$AB$27)),"N/A",H36+G36),"")</f>
        <v>N/A</v>
      </c>
      <c r="J36" s="74"/>
      <c r="K36" s="75" t="str">
        <f t="shared" si="1"/>
        <v/>
      </c>
      <c r="L36" s="55"/>
      <c r="M36" s="170" t="str">
        <f t="shared" si="2"/>
        <v>_24</v>
      </c>
    </row>
    <row r="37" spans="1:13" s="25" customFormat="1" ht="15" x14ac:dyDescent="0.25">
      <c r="A37" s="282" t="s">
        <v>436</v>
      </c>
      <c r="B37" s="283"/>
      <c r="C37" s="283"/>
      <c r="D37" s="283"/>
      <c r="E37" s="283"/>
      <c r="F37" s="283"/>
      <c r="G37" s="283"/>
      <c r="H37" s="283"/>
      <c r="I37" s="283"/>
      <c r="J37" s="286">
        <f>SUM(K6:K36)-SUMIF(M6:M36,"_3.",K6:K36)-SUMIF(M6:M36,"_4.",K6:K36)</f>
        <v>0</v>
      </c>
      <c r="K37" s="287"/>
      <c r="L37" s="58"/>
      <c r="M37" s="55"/>
    </row>
    <row r="38" spans="1:13" ht="15" x14ac:dyDescent="0.25">
      <c r="E38"/>
      <c r="F38"/>
      <c r="G38"/>
      <c r="H38"/>
      <c r="I38"/>
      <c r="J38"/>
      <c r="K38"/>
      <c r="L38"/>
      <c r="M38"/>
    </row>
    <row r="39" spans="1:13" s="25" customFormat="1" ht="15" customHeight="1" x14ac:dyDescent="0.25">
      <c r="A39" s="275" t="s">
        <v>2177</v>
      </c>
      <c r="B39" s="276"/>
      <c r="C39" s="276"/>
      <c r="D39" s="276"/>
      <c r="E39" s="276"/>
      <c r="F39" s="276"/>
      <c r="G39" s="276"/>
      <c r="H39" s="276"/>
      <c r="I39" s="277"/>
      <c r="J39" s="278">
        <v>1000</v>
      </c>
      <c r="K39" s="279"/>
      <c r="L39" s="58"/>
      <c r="M39" s="55"/>
    </row>
    <row r="40" spans="1:13" s="25" customFormat="1" ht="15" customHeight="1" x14ac:dyDescent="0.25">
      <c r="A40" s="275" t="s">
        <v>2178</v>
      </c>
      <c r="B40" s="276"/>
      <c r="C40" s="276"/>
      <c r="D40" s="276"/>
      <c r="E40" s="276"/>
      <c r="F40" s="276"/>
      <c r="G40" s="276"/>
      <c r="H40" s="276"/>
      <c r="I40" s="277"/>
      <c r="J40" s="278">
        <v>150</v>
      </c>
      <c r="K40" s="279"/>
      <c r="L40" s="58"/>
      <c r="M40" s="55"/>
    </row>
    <row r="41" spans="1:13" s="25" customFormat="1" ht="15" customHeight="1" x14ac:dyDescent="0.25">
      <c r="A41" s="275" t="s">
        <v>2180</v>
      </c>
      <c r="B41" s="276"/>
      <c r="C41" s="276"/>
      <c r="D41" s="276"/>
      <c r="E41" s="276"/>
      <c r="F41" s="276"/>
      <c r="G41" s="276"/>
      <c r="H41" s="276"/>
      <c r="I41" s="277"/>
      <c r="J41" s="278">
        <v>150</v>
      </c>
      <c r="K41" s="279"/>
      <c r="L41" s="58"/>
      <c r="M41" s="55"/>
    </row>
    <row r="42" spans="1:13" s="25" customFormat="1" ht="15" customHeight="1" x14ac:dyDescent="0.25">
      <c r="A42" s="275" t="s">
        <v>2182</v>
      </c>
      <c r="B42" s="276"/>
      <c r="C42" s="276"/>
      <c r="D42" s="276"/>
      <c r="E42" s="276"/>
      <c r="F42" s="276"/>
      <c r="G42" s="276"/>
      <c r="H42" s="276"/>
      <c r="I42" s="277"/>
      <c r="J42" s="278">
        <v>150</v>
      </c>
      <c r="K42" s="279"/>
      <c r="L42" s="58"/>
      <c r="M42" s="55"/>
    </row>
    <row r="43" spans="1:13" s="25" customFormat="1" ht="15" customHeight="1" x14ac:dyDescent="0.25">
      <c r="A43" s="275" t="s">
        <v>2184</v>
      </c>
      <c r="B43" s="276"/>
      <c r="C43" s="276"/>
      <c r="D43" s="276"/>
      <c r="E43" s="276"/>
      <c r="F43" s="276"/>
      <c r="G43" s="276"/>
      <c r="H43" s="276"/>
      <c r="I43" s="277"/>
      <c r="J43" s="278">
        <v>2</v>
      </c>
      <c r="K43" s="279"/>
      <c r="L43" s="58"/>
      <c r="M43" s="55"/>
    </row>
    <row r="44" spans="1:13" s="25" customFormat="1" ht="15" customHeight="1" x14ac:dyDescent="0.25">
      <c r="A44" s="275" t="s">
        <v>2185</v>
      </c>
      <c r="B44" s="276"/>
      <c r="C44" s="276"/>
      <c r="D44" s="276"/>
      <c r="E44" s="276"/>
      <c r="F44" s="276"/>
      <c r="G44" s="276"/>
      <c r="H44" s="276"/>
      <c r="I44" s="277"/>
      <c r="J44" s="278">
        <v>10</v>
      </c>
      <c r="K44" s="279"/>
      <c r="L44" s="58"/>
      <c r="M44" s="55"/>
    </row>
    <row r="45" spans="1:13" s="25" customFormat="1" ht="15" customHeight="1" x14ac:dyDescent="0.25">
      <c r="A45" s="275" t="s">
        <v>2186</v>
      </c>
      <c r="B45" s="276"/>
      <c r="C45" s="276"/>
      <c r="D45" s="276"/>
      <c r="E45" s="276"/>
      <c r="F45" s="276"/>
      <c r="G45" s="276"/>
      <c r="H45" s="276"/>
      <c r="I45" s="277"/>
      <c r="J45" s="278">
        <v>60</v>
      </c>
      <c r="K45" s="279"/>
      <c r="L45" s="58"/>
      <c r="M45" s="55"/>
    </row>
    <row r="46" spans="1:13" s="25" customFormat="1" ht="15" customHeight="1" x14ac:dyDescent="0.25">
      <c r="A46" s="275" t="s">
        <v>2187</v>
      </c>
      <c r="B46" s="276"/>
      <c r="C46" s="276"/>
      <c r="D46" s="276"/>
      <c r="E46" s="276"/>
      <c r="F46" s="276"/>
      <c r="G46" s="276"/>
      <c r="H46" s="276"/>
      <c r="I46" s="277"/>
      <c r="J46" s="280">
        <v>0.1</v>
      </c>
      <c r="K46" s="281"/>
      <c r="L46" s="58"/>
      <c r="M46" s="55"/>
    </row>
    <row r="47" spans="1:13" ht="15" customHeight="1" x14ac:dyDescent="0.25">
      <c r="A47" s="297" t="s">
        <v>145</v>
      </c>
      <c r="B47" s="298"/>
      <c r="C47" s="298"/>
      <c r="D47" s="298"/>
      <c r="E47" s="298"/>
      <c r="F47" s="298"/>
      <c r="G47" s="298"/>
      <c r="H47" s="298"/>
      <c r="I47" s="299"/>
      <c r="J47" s="295">
        <f>(J39*SUM(J$6:J$8))+(J40*SUM($J$11:$J$21))+(J41*J22)+(J42*SUM($J$23:$J$24))+(J43*SUM($J$25:$J$26))+(J44*SUM($J$27:$J$28))+(J45*$J$29)+(J46*$J$30)</f>
        <v>0</v>
      </c>
      <c r="K47" s="296"/>
    </row>
    <row r="48" spans="1:13" s="58" customFormat="1" ht="15" x14ac:dyDescent="0.25">
      <c r="E48" s="56"/>
      <c r="F48" s="56"/>
      <c r="G48" s="56"/>
      <c r="H48" s="56"/>
      <c r="I48" s="56"/>
      <c r="J48" s="56"/>
      <c r="K48" s="56"/>
    </row>
    <row r="49" spans="1:13" s="25" customFormat="1" ht="15" customHeight="1" x14ac:dyDescent="0.25">
      <c r="A49" s="315" t="s">
        <v>437</v>
      </c>
      <c r="B49" s="316"/>
      <c r="C49" s="316"/>
      <c r="D49" s="316"/>
      <c r="E49" s="316"/>
      <c r="F49" s="316"/>
      <c r="G49" s="316"/>
      <c r="H49" s="316"/>
      <c r="I49" s="316"/>
      <c r="J49" s="286">
        <f>J37*1.06+J47</f>
        <v>0</v>
      </c>
      <c r="K49" s="287"/>
      <c r="L49" s="58"/>
      <c r="M49" s="55"/>
    </row>
    <row r="50" spans="1:13" ht="15" x14ac:dyDescent="0.25"/>
    <row r="51" spans="1:13" ht="15" customHeight="1" x14ac:dyDescent="0.25">
      <c r="A51" s="309" t="s">
        <v>438</v>
      </c>
      <c r="B51" s="310"/>
      <c r="C51" s="310"/>
      <c r="D51" s="310"/>
      <c r="E51" s="310"/>
      <c r="F51" s="310"/>
      <c r="G51" s="310"/>
      <c r="H51" s="310"/>
      <c r="I51" s="311"/>
      <c r="J51" s="293"/>
      <c r="K51" s="294"/>
    </row>
    <row r="52" spans="1:13" ht="15" customHeight="1" x14ac:dyDescent="0.25">
      <c r="A52" s="312" t="s">
        <v>439</v>
      </c>
      <c r="B52" s="313"/>
      <c r="C52" s="313"/>
      <c r="D52" s="313"/>
      <c r="E52" s="313"/>
      <c r="F52" s="313"/>
      <c r="G52" s="313"/>
      <c r="H52" s="313"/>
      <c r="I52" s="314"/>
      <c r="J52" s="295">
        <f>J37*J$51</f>
        <v>0</v>
      </c>
      <c r="K52" s="296"/>
    </row>
    <row r="53" spans="1:13" ht="15" x14ac:dyDescent="0.25">
      <c r="E53"/>
      <c r="F53"/>
      <c r="G53"/>
      <c r="H53"/>
      <c r="I53"/>
      <c r="J53"/>
      <c r="K53"/>
      <c r="L53"/>
      <c r="M53"/>
    </row>
    <row r="54" spans="1:13" ht="15.75" customHeight="1" x14ac:dyDescent="0.25">
      <c r="A54" s="288" t="s">
        <v>440</v>
      </c>
      <c r="B54" s="289"/>
      <c r="C54" s="289"/>
      <c r="D54" s="289"/>
      <c r="E54" s="289"/>
      <c r="F54" s="289"/>
      <c r="G54" s="289"/>
      <c r="H54" s="289"/>
      <c r="I54" s="289"/>
      <c r="J54" s="320">
        <f>SUMIF(M6:M36,"_3.",K6:K36)+SUMIF(M6:M36,"_4.",K6:K36)</f>
        <v>0</v>
      </c>
      <c r="K54" s="321"/>
    </row>
    <row r="55" spans="1:13" ht="15" x14ac:dyDescent="0.25">
      <c r="A55" s="290" t="s">
        <v>2091</v>
      </c>
      <c r="B55" s="290"/>
      <c r="C55" s="290"/>
      <c r="D55" s="290"/>
      <c r="E55" s="290"/>
      <c r="F55" s="290"/>
      <c r="G55" s="290"/>
      <c r="H55" s="290"/>
      <c r="I55" s="290"/>
      <c r="J55" s="293"/>
      <c r="K55" s="294"/>
    </row>
    <row r="56" spans="1:13" ht="15" x14ac:dyDescent="0.25">
      <c r="A56" s="317" t="s">
        <v>441</v>
      </c>
      <c r="B56" s="318"/>
      <c r="C56" s="318"/>
      <c r="D56" s="318"/>
      <c r="E56" s="318"/>
      <c r="F56" s="318"/>
      <c r="G56" s="318"/>
      <c r="H56" s="318"/>
      <c r="I56" s="319"/>
      <c r="J56" s="295">
        <f>J54*J55</f>
        <v>0</v>
      </c>
      <c r="K56" s="296"/>
    </row>
    <row r="57" spans="1:13" ht="27" customHeight="1" thickBot="1" x14ac:dyDescent="0.3">
      <c r="E57"/>
      <c r="F57"/>
      <c r="G57"/>
      <c r="H57"/>
      <c r="I57"/>
      <c r="J57"/>
      <c r="K57"/>
    </row>
    <row r="58" spans="1:13" ht="27" customHeight="1" thickBot="1" x14ac:dyDescent="0.3">
      <c r="A58" s="304" t="s">
        <v>442</v>
      </c>
      <c r="B58" s="305"/>
      <c r="C58" s="305"/>
      <c r="D58" s="305"/>
      <c r="E58" s="305"/>
      <c r="F58" s="305"/>
      <c r="G58" s="305"/>
      <c r="H58" s="305"/>
      <c r="I58" s="306"/>
      <c r="J58" s="307">
        <f>J49+J52++J54+J56</f>
        <v>0</v>
      </c>
      <c r="K58" s="308"/>
    </row>
  </sheetData>
  <sheetProtection algorithmName="SHA-512" hashValue="St/RHgJ/bvOHFKBkYPyRgCxwiZz49SSaUZJ9bQ/Jxq0wwyjlZdeIaiKddr0mtGpjTX3LhanrK72nrEV/bLOwrw==" saltValue="qA6sXTvptikuke1oYCg6MQ==" spinCount="100000" sheet="1" sort="0" autoFilter="0" pivotTables="0"/>
  <dataConsolidate link="1"/>
  <mergeCells count="37">
    <mergeCell ref="A47:I47"/>
    <mergeCell ref="J47:K47"/>
    <mergeCell ref="J1:K1"/>
    <mergeCell ref="A37:I37"/>
    <mergeCell ref="J37:K37"/>
    <mergeCell ref="A39:I39"/>
    <mergeCell ref="J39:K39"/>
    <mergeCell ref="A4:A5"/>
    <mergeCell ref="B4:B5"/>
    <mergeCell ref="A40:I40"/>
    <mergeCell ref="J40:K40"/>
    <mergeCell ref="A41:I41"/>
    <mergeCell ref="J41:K41"/>
    <mergeCell ref="A42:I42"/>
    <mergeCell ref="J42:K42"/>
    <mergeCell ref="A43:I43"/>
    <mergeCell ref="A54:I54"/>
    <mergeCell ref="J54:K54"/>
    <mergeCell ref="A49:I49"/>
    <mergeCell ref="J49:K49"/>
    <mergeCell ref="A51:I51"/>
    <mergeCell ref="J51:K51"/>
    <mergeCell ref="A52:I52"/>
    <mergeCell ref="J52:K52"/>
    <mergeCell ref="A55:I55"/>
    <mergeCell ref="J55:K55"/>
    <mergeCell ref="J56:K56"/>
    <mergeCell ref="A58:I58"/>
    <mergeCell ref="J58:K58"/>
    <mergeCell ref="A56:I56"/>
    <mergeCell ref="A46:I46"/>
    <mergeCell ref="J46:K46"/>
    <mergeCell ref="J43:K43"/>
    <mergeCell ref="A44:I44"/>
    <mergeCell ref="J44:K44"/>
    <mergeCell ref="A45:I45"/>
    <mergeCell ref="J45:K45"/>
  </mergeCells>
  <conditionalFormatting sqref="D6:G36 I6:I36">
    <cfRule type="cellIs" dxfId="130" priority="30" operator="equal">
      <formula>"N/A"</formula>
    </cfRule>
  </conditionalFormatting>
  <dataValidations count="3">
    <dataValidation type="list" allowBlank="1" showInputMessage="1" showErrorMessage="1" sqref="C6:C36" xr:uid="{DD860F83-72F0-419C-9764-337E683612A6}">
      <formula1>INDIRECT(SUBSTITUTE(A6," ",""))</formula1>
    </dataValidation>
    <dataValidation type="list" allowBlank="1" showInputMessage="1" showErrorMessage="1" sqref="A6:A36" xr:uid="{72E18864-957A-4FD9-A22B-3A2ABB0DD8B6}">
      <formula1>typeofequipment</formula1>
    </dataValidation>
    <dataValidation type="whole" allowBlank="1" showInputMessage="1" showErrorMessage="1" error="Amount to be inserted for service bundle should be between:_x000a_$11,000-$38,000 for WICR/WIFR_x000a_$650-$2150 for Off-Grid CCE with ground mounted panels_x000a_$1300- $4000 for Off-Grid CCE with pole mounted panels_x000a_$200-$400 for RTMDs" prompt="Amount to be inserted for service bundle should be between:_x000a_$11,000-$38,000 for WICR/WIFR_x000a_$650-$2150 (ground mount) and $1300- $4000 (pole mount) for Off-Grid CCE _x000a_$200-$400 for RTMDs_x000a_$400-$1,350 for on-grid devices" sqref="H6:H36" xr:uid="{AC41C56E-7952-4B3C-A436-13E49A566D09}">
      <formula1>200</formula1>
      <formula2>38000</formula2>
    </dataValidation>
  </dataValidations>
  <pageMargins left="0.7" right="0.7" top="0.75" bottom="0.75" header="0.3" footer="0.3"/>
  <pageSetup scale="36" fitToHeight="0" orientation="landscape" r:id="rId1"/>
  <ignoredErrors>
    <ignoredError sqref="M5 M7:M34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70" id="{FA6D11E4-B847-4489-B950-DB941CCC2729}">
            <xm:f>OR(A1='Specified CCE Model Price List'!$AB$14,A1='Specified CCE Model Price List'!$AB$17,A1='Specified CCE Model Price List'!$AB$19,A1='Specified CCE Model Price List'!#REF!,A1='Specified CCE Model Price List'!$AB$22)</xm:f>
            <x14:dxf>
              <font>
                <color theme="1"/>
              </font>
              <fill>
                <patternFill>
                  <bgColor theme="1" tint="0.499984740745262"/>
                </patternFill>
              </fill>
            </x14:dxf>
          </x14:cfRule>
          <xm:sqref>H1:H3</xm:sqref>
        </x14:conditionalFormatting>
        <x14:conditionalFormatting xmlns:xm="http://schemas.microsoft.com/office/excel/2006/main">
          <x14:cfRule type="cellIs" priority="5271" operator="equal" id="{6E22A14A-367C-4D9B-92BA-1A0FA5F350E4}">
            <xm:f>'Specified CCE Model Price List'!$AB$22</xm:f>
            <x14:dxf>
              <fill>
                <patternFill>
                  <bgColor rgb="FFFFFF00"/>
                </patternFill>
              </fill>
            </x14:dxf>
          </x14:cfRule>
          <x14:cfRule type="cellIs" priority="5272" operator="equal" id="{5684F7B7-36A1-48FB-8C62-A0EB34B9C116}">
            <xm:f>'Specified CCE Model Price List'!$AB$27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cellIs" priority="5273" operator="equal" id="{572D1C65-53C7-4704-9762-9421A61B4193}">
            <xm:f>'Specified CCE Model Price List'!$AB$26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ellIs" priority="5274" operator="equal" id="{F70C5108-E1D6-427D-AE91-5F57ADB2472E}">
            <xm:f>'Specified CCE Model Price List'!$AB$25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5275" operator="equal" id="{96AEE87A-8989-4A2A-B36C-63C4278936F3}">
            <xm:f>'Specified CCE Model Price List'!$AB$24</xm:f>
            <x14:dxf>
              <fill>
                <patternFill>
                  <bgColor rgb="FFFF99FF"/>
                </patternFill>
              </fill>
            </x14:dxf>
          </x14:cfRule>
          <x14:cfRule type="cellIs" priority="5276" operator="equal" id="{5A3A7EF2-A497-4E46-8E3F-1202B293F6EF}">
            <xm:f>'Specified CCE Model Price List'!$AB$23</xm:f>
            <x14:dxf>
              <font>
                <color theme="0"/>
              </font>
              <fill>
                <patternFill>
                  <bgColor rgb="FF9900CC"/>
                </patternFill>
              </fill>
            </x14:dxf>
          </x14:cfRule>
          <x14:cfRule type="cellIs" priority="5277" operator="equal" id="{FFFDDF1F-97F8-433E-B6B6-E82944B81296}">
            <xm:f>'Specified CCE Model Price List'!$AB$22</xm:f>
            <x14:dxf>
              <fill>
                <patternFill>
                  <bgColor rgb="FFFFC000"/>
                </patternFill>
              </fill>
            </x14:dxf>
          </x14:cfRule>
          <x14:cfRule type="cellIs" priority="5278" operator="equal" id="{F8D5B7F4-AD25-45F3-9D98-9E439EC98E46}">
            <xm:f>'Specified CCE Model Price List'!$AB$22</xm:f>
            <x14:dxf>
              <font>
                <color theme="1"/>
              </font>
              <fill>
                <patternFill>
                  <bgColor rgb="FFCCCCFF"/>
                </patternFill>
              </fill>
            </x14:dxf>
          </x14:cfRule>
          <x14:cfRule type="cellIs" priority="5279" operator="equal" id="{12AC7C8D-7727-4265-AE96-3A0A1123F37B}">
            <xm:f>'Specified CCE Model Price List'!#REF!</xm:f>
            <x14:dxf>
              <font>
                <color theme="1"/>
              </font>
              <fill>
                <patternFill>
                  <bgColor rgb="FFCCCCFF"/>
                </patternFill>
              </fill>
            </x14:dxf>
          </x14:cfRule>
          <x14:cfRule type="cellIs" priority="5280" operator="equal" id="{B578BF7F-B7CF-4120-83E4-FCF2E46882F7}">
            <xm:f>'Specified CCE Model Price List'!$AB$19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ellIs" priority="5281" operator="equal" id="{26E013DB-B670-4EED-A55A-0E82B179D98B}">
            <xm:f>'Specified CCE Model Price List'!$AB$17</xm:f>
            <x14:dxf>
              <font>
                <color theme="1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5282" operator="equal" id="{91D76269-430D-43D8-84C8-12B9A87F003F}">
            <xm:f>'Specified CCE Model Price List'!$AB$15</xm:f>
            <x14:dxf>
              <font>
                <color theme="1"/>
              </font>
              <fill>
                <patternFill>
                  <bgColor theme="9" tint="0.59996337778862885"/>
                </patternFill>
              </fill>
            </x14:dxf>
          </x14:cfRule>
          <x14:cfRule type="cellIs" priority="5283" operator="equal" id="{C8F82125-3164-443F-90CF-7EA754C01AB2}">
            <xm:f>'Specified CCE Model Price List'!$AB$14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14:cfRule type="cellIs" priority="5284" operator="equal" id="{57EEC484-E9B9-4FEB-8120-1C75DC4AFCB7}">
            <xm:f>'Specified CCE Model Price List'!$AB$13</xm:f>
            <x14:dxf>
              <font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cellIs" priority="5285" operator="equal" id="{C2EDA7F8-5539-42DD-8C18-2DDF0AC80F3E}">
            <xm:f>'Specified CCE Model Price List'!$AB$12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cellIs" priority="5286" operator="equal" id="{FBF2D7F8-D613-4CF0-9AF6-DA8C02224C93}">
            <xm:f>'Specified CCE Model Price List'!$AB$11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5287" operator="equal" id="{0D0E0FE9-B4D0-4075-9F89-C2E1A22D9240}">
            <xm:f>'Specified CCE Model Price List'!#REF!</xm:f>
            <x14:dxf>
              <font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5288" operator="equal" id="{98A79FEB-FB31-4055-9D56-D15383EF0728}">
            <xm:f>'Specified CCE Model Price List'!$AB$10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5289" operator="equal" id="{7CB003B6-ABE2-4E39-B38C-57DF4238E5F9}">
            <xm:f>'Specified CCE Model Price List'!$AB$9</xm:f>
            <x14:dxf>
              <font>
                <color theme="1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5290" operator="equal" id="{28927EF7-2B55-4DBF-B738-A6A8B92751BE}">
            <xm:f>'Specified CCE Model Price List'!$AB$8</xm:f>
            <x14:dxf>
              <font>
                <color theme="1"/>
              </font>
              <fill>
                <patternFill>
                  <bgColor theme="4" tint="0.79998168889431442"/>
                </patternFill>
              </fill>
            </x14:dxf>
          </x14:cfRule>
          <xm:sqref>A1:B4</xm:sqref>
        </x14:conditionalFormatting>
        <x14:conditionalFormatting xmlns:xm="http://schemas.microsoft.com/office/excel/2006/main">
          <x14:cfRule type="expression" priority="5332" id="{42E1B2CE-DFC8-4990-A446-D17C4978936F}">
            <xm:f>OR(A4='Specified CCE Model Price List'!$AB$14,A4='Specified CCE Model Price List'!$AB$17,A4='Specified CCE Model Price List'!$AB$19,A4='Specified CCE Model Price List'!#REF!,A4='Specified CCE Model Price List'!$AB$22)</xm:f>
            <x14:dxf>
              <font>
                <color theme="1"/>
              </font>
              <fill>
                <patternFill>
                  <bgColor theme="1" tint="0.499984740745262"/>
                </patternFill>
              </fill>
            </x14:dxf>
          </x14:cfRule>
          <xm:sqref>H4:H5</xm:sqref>
        </x14:conditionalFormatting>
        <x14:conditionalFormatting xmlns:xm="http://schemas.microsoft.com/office/excel/2006/main">
          <x14:cfRule type="cellIs" priority="1" operator="equal" id="{AC8E92FD-9139-4236-8F4D-3DBD78BF0834}">
            <xm:f>'Specified CCE Model Price List'!$AB$4</xm:f>
            <x14:dxf>
              <fill>
                <patternFill>
                  <bgColor theme="5" tint="0.79998168889431442"/>
                </patternFill>
              </fill>
            </x14:dxf>
          </x14:cfRule>
          <x14:cfRule type="cellIs" priority="2" operator="equal" id="{C146E49C-A67F-46F6-8BBC-A7B49D3FF6A1}">
            <xm:f>'Specified CCE Model Price List'!$AB$5</xm:f>
            <x14:dxf>
              <fill>
                <patternFill>
                  <bgColor theme="4" tint="0.79998168889431442"/>
                </patternFill>
              </fill>
            </x14:dxf>
          </x14:cfRule>
          <x14:cfRule type="cellIs" priority="3" operator="equal" id="{0161482B-DD83-4653-BD6C-B3DD455DAD0A}">
            <xm:f>'Specified CCE Model Price List'!$AB$6</xm:f>
            <x14:dxf>
              <fill>
                <patternFill>
                  <bgColor theme="3" tint="0.59996337778862885"/>
                </patternFill>
              </fill>
            </x14:dxf>
          </x14:cfRule>
          <x14:cfRule type="cellIs" priority="4" operator="equal" id="{F7D18E4B-94F5-496C-8E43-F8B0760BD350}">
            <xm:f>'Specified CCE Model Price List'!$AB$7</xm:f>
            <x14:dxf>
              <font>
                <color theme="0"/>
              </font>
              <fill>
                <patternFill>
                  <bgColor theme="5" tint="-0.24994659260841701"/>
                </patternFill>
              </fill>
            </x14:dxf>
          </x14:cfRule>
          <xm:sqref>A6:B36</xm:sqref>
        </x14:conditionalFormatting>
        <x14:conditionalFormatting xmlns:xm="http://schemas.microsoft.com/office/excel/2006/main">
          <x14:cfRule type="cellIs" priority="5" operator="equal" id="{28D1DBF2-FAB7-49EE-BFFC-DAB312C17DFF}">
            <xm:f>'Specified CCE Model Price List'!$AB$16</xm:f>
            <x14:dxf>
              <font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6" operator="equal" id="{0C7B900F-AACF-431F-A50F-49DFE8804E10}">
            <xm:f>'Specified CCE Model Price List'!$AB$18</xm:f>
            <x14:dxf>
              <font>
                <color theme="1"/>
              </font>
              <fill>
                <patternFill>
                  <bgColor rgb="FFCCCCFF"/>
                </patternFill>
              </fill>
            </x14:dxf>
          </x14:cfRule>
          <x14:cfRule type="cellIs" priority="7" operator="equal" id="{8BE99AAF-0E9E-46C4-A1D1-F4AFA8824073}">
            <xm:f>'Specified CCE Model Price List'!$AB$20</xm:f>
            <x14:dxf>
              <fill>
                <patternFill>
                  <bgColor rgb="FFFFC000"/>
                </patternFill>
              </fill>
            </x14:dxf>
          </x14:cfRule>
          <x14:cfRule type="cellIs" priority="8" operator="equal" id="{61969BEE-4947-4339-B8E2-6CC2CD0E2CB0}">
            <xm:f>'Specified CCE Model Price List'!$AB$22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7BFD5F6-ECDB-4E6E-9D6D-D806C5D58E63}">
            <xm:f>'Specified CCE Model Price List'!$AB$23</xm:f>
            <x14:dxf>
              <font>
                <color theme="0"/>
              </font>
              <fill>
                <patternFill>
                  <bgColor rgb="FF9900CC"/>
                </patternFill>
              </fill>
            </x14:dxf>
          </x14:cfRule>
          <x14:cfRule type="cellIs" priority="10" operator="equal" id="{C0E985EF-F612-4D80-94FF-00D5D2B83C0E}">
            <xm:f>'Specified CCE Model Price List'!$AB$24</xm:f>
            <x14:dxf>
              <fill>
                <patternFill>
                  <bgColor rgb="FFFF99FF"/>
                </patternFill>
              </fill>
            </x14:dxf>
          </x14:cfRule>
          <x14:cfRule type="cellIs" priority="11" operator="equal" id="{36F6AAD4-9D14-4C79-AE59-AF8197A68073}">
            <xm:f>'Specified CCE Model Price List'!$AB$25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12" operator="equal" id="{CF544A9C-9BDB-4E01-B571-B563210C033F}">
            <xm:f>'Specified CCE Model Price List'!$AB$26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CD2938F8-E8C0-4D41-AA7E-CF40CAC57A34}">
            <xm:f>'Specified CCE Model Price List'!$AB$27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cellIs" priority="14" operator="equal" id="{D4BBF35D-B244-49B6-8F34-881CEBB27A6E}">
            <xm:f>'Specified CCE Model Price List'!$AB$8</xm:f>
            <x14:dxf>
              <font>
                <color theme="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15" operator="equal" id="{808D6BCA-AC9D-4BC1-9524-D08158B7D89C}">
            <xm:f>'Specified CCE Model Price List'!$AB$9</xm:f>
            <x14:dxf>
              <font>
                <color theme="1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6" operator="equal" id="{E823C35C-DD61-46CA-8B53-9CDF19D02594}">
            <xm:f>'Specified CCE Model Price List'!$AB$10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17" operator="equal" id="{742225E2-4A24-4BD0-AA4D-C9B4066A3B46}">
            <xm:f>'Specified CCE Model Price List'!$AB$11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18" operator="equal" id="{CBA4D536-4C25-4BFB-959D-63092184B74E}">
            <xm:f>'Specified CCE Model Price List'!$AB$12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cellIs" priority="19" operator="equal" id="{B2A8F6FE-0BCD-41AC-B71F-EC05AB7C24DE}">
            <xm:f>'Specified CCE Model Price List'!$AB$13</xm:f>
            <x14:dxf>
              <font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cellIs" priority="20" operator="equal" id="{B5A2F1C2-3364-4C01-8463-E7A4CB12CB3C}">
            <xm:f>'Specified CCE Model Price List'!$AB$14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14:cfRule type="cellIs" priority="21" operator="equal" id="{30D3E6FE-3F0F-4E63-8468-7470D7F9298F}">
            <xm:f>'Specified CCE Model Price List'!$AB$15</xm:f>
            <x14:dxf>
              <font>
                <color theme="1"/>
              </font>
              <fill>
                <patternFill>
                  <bgColor theme="9" tint="0.59996337778862885"/>
                </patternFill>
              </fill>
            </x14:dxf>
          </x14:cfRule>
          <x14:cfRule type="cellIs" priority="22" operator="equal" id="{D5C313B6-60B2-47B5-A01E-ECA2AB803FFE}">
            <xm:f>'Specified CCE Model Price List'!$AB$17</xm:f>
            <x14:dxf>
              <font>
                <color theme="1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23" operator="equal" id="{5495ADF3-F878-4CC5-AD2E-17F193199938}">
            <xm:f>'Specified CCE Model Price List'!$AB$19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ellIs" priority="24" operator="equal" id="{B7B2FBEE-CDBE-467B-9B14-5ABE810CBB3A}">
            <xm:f>'Specified CCE Model Price List'!$AB$22</xm:f>
            <x14:dxf>
              <font>
                <color theme="1"/>
              </font>
              <fill>
                <patternFill>
                  <bgColor rgb="FF9999FF"/>
                </patternFill>
              </fill>
            </x14:dxf>
          </x14:cfRule>
          <xm:sqref>A6:B36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3CFF-941E-450A-B826-FE707DAEE48C}">
  <sheetPr>
    <tabColor theme="4" tint="-0.249977111117893"/>
    <pageSetUpPr fitToPage="1"/>
  </sheetPr>
  <dimension ref="A1:BW58"/>
  <sheetViews>
    <sheetView showGridLines="0" topLeftCell="A44" zoomScaleNormal="100" zoomScaleSheetLayoutView="100" workbookViewId="0">
      <selection activeCell="A39" sqref="A39:K47"/>
    </sheetView>
  </sheetViews>
  <sheetFormatPr defaultColWidth="0" defaultRowHeight="27" customHeight="1" x14ac:dyDescent="0.25"/>
  <cols>
    <col min="1" max="2" width="30.42578125" customWidth="1"/>
    <col min="3" max="4" width="15.42578125" customWidth="1"/>
    <col min="5" max="5" width="15.42578125" style="32" customWidth="1"/>
    <col min="6" max="6" width="11.42578125" style="32" bestFit="1" customWidth="1"/>
    <col min="7" max="7" width="13.42578125" style="32" bestFit="1" customWidth="1"/>
    <col min="8" max="8" width="21.42578125" style="32" bestFit="1" customWidth="1"/>
    <col min="9" max="9" width="14.42578125" style="32" bestFit="1" customWidth="1"/>
    <col min="10" max="11" width="12.42578125" style="32" customWidth="1"/>
    <col min="12" max="13" width="9.140625" style="58" customWidth="1"/>
    <col min="14" max="75" width="0" hidden="1" customWidth="1"/>
    <col min="76" max="16384" width="9.140625" hidden="1"/>
  </cols>
  <sheetData>
    <row r="1" spans="1:13" s="69" customFormat="1" ht="16.5" customHeight="1" thickTop="1" thickBot="1" x14ac:dyDescent="0.3">
      <c r="A1" s="66"/>
      <c r="B1" s="67"/>
      <c r="C1" s="67"/>
      <c r="D1" s="67"/>
      <c r="E1" s="67"/>
      <c r="F1" s="70"/>
      <c r="G1" s="70"/>
      <c r="H1" s="70"/>
      <c r="I1" s="70"/>
      <c r="J1" s="284" t="s">
        <v>443</v>
      </c>
      <c r="K1" s="285"/>
      <c r="L1" s="68"/>
      <c r="M1" s="68"/>
    </row>
    <row r="2" spans="1:13" s="6" customFormat="1" ht="60.75" customHeight="1" thickTop="1" x14ac:dyDescent="0.25">
      <c r="A2" s="7" t="s">
        <v>444</v>
      </c>
      <c r="B2" s="7"/>
      <c r="C2" s="7" t="s">
        <v>445</v>
      </c>
      <c r="D2" s="7" t="s">
        <v>446</v>
      </c>
      <c r="E2" s="29" t="s">
        <v>447</v>
      </c>
      <c r="F2" s="76" t="s">
        <v>448</v>
      </c>
      <c r="G2" s="76" t="s">
        <v>449</v>
      </c>
      <c r="H2" s="76" t="s">
        <v>450</v>
      </c>
      <c r="I2" s="77" t="s">
        <v>451</v>
      </c>
      <c r="J2" s="78" t="s">
        <v>452</v>
      </c>
      <c r="K2" s="79" t="s">
        <v>453</v>
      </c>
      <c r="L2" s="53"/>
      <c r="M2" s="53"/>
    </row>
    <row r="3" spans="1:13" s="11" customFormat="1" ht="45" customHeight="1" thickBot="1" x14ac:dyDescent="0.3">
      <c r="A3" s="9"/>
      <c r="B3" s="194" t="s">
        <v>454</v>
      </c>
      <c r="C3" s="10" t="s">
        <v>455</v>
      </c>
      <c r="D3" s="9"/>
      <c r="E3" s="30"/>
      <c r="F3" s="30"/>
      <c r="G3" s="30"/>
      <c r="H3" s="80" t="s">
        <v>456</v>
      </c>
      <c r="I3" s="81"/>
      <c r="J3" s="82" t="s">
        <v>457</v>
      </c>
      <c r="K3" s="83"/>
      <c r="L3" s="54"/>
      <c r="M3" s="54"/>
    </row>
    <row r="4" spans="1:13" s="11" customFormat="1" ht="45" customHeight="1" thickTop="1" x14ac:dyDescent="0.25">
      <c r="A4" s="302" t="s">
        <v>458</v>
      </c>
      <c r="B4" s="300" t="s">
        <v>459</v>
      </c>
      <c r="C4" s="7" t="s">
        <v>460</v>
      </c>
      <c r="D4" s="7" t="s">
        <v>461</v>
      </c>
      <c r="E4" s="29" t="s">
        <v>462</v>
      </c>
      <c r="F4" s="76" t="s">
        <v>463</v>
      </c>
      <c r="G4" s="76" t="s">
        <v>464</v>
      </c>
      <c r="H4" s="76" t="s">
        <v>465</v>
      </c>
      <c r="I4" s="77" t="s">
        <v>466</v>
      </c>
      <c r="J4" s="78" t="s">
        <v>467</v>
      </c>
      <c r="K4" s="79" t="s">
        <v>468</v>
      </c>
      <c r="L4" s="54"/>
      <c r="M4" s="54"/>
    </row>
    <row r="5" spans="1:13" s="25" customFormat="1" ht="27" customHeight="1" x14ac:dyDescent="0.25">
      <c r="A5" s="303"/>
      <c r="B5" s="301"/>
      <c r="C5" s="10" t="s">
        <v>469</v>
      </c>
      <c r="D5" s="9"/>
      <c r="E5" s="30"/>
      <c r="F5" s="30"/>
      <c r="G5" s="30"/>
      <c r="H5" s="80" t="s">
        <v>470</v>
      </c>
      <c r="I5" s="81"/>
      <c r="J5" s="82" t="s">
        <v>471</v>
      </c>
      <c r="K5" s="83"/>
      <c r="L5" s="55"/>
      <c r="M5" s="170" t="str">
        <f>LEFT(A5,3)</f>
        <v/>
      </c>
    </row>
    <row r="6" spans="1:13" s="25" customFormat="1" ht="27" customHeight="1" x14ac:dyDescent="0.25">
      <c r="A6" s="40" t="s">
        <v>257</v>
      </c>
      <c r="B6" s="40" t="s">
        <v>373</v>
      </c>
      <c r="C6" s="41"/>
      <c r="D6" s="28" t="str">
        <f>IFERROR(INDEX('Specified CCE Model Price List'!$A$3:$O$278,MATCH('Option C_CCE Model selection'!$C6,'Specified CCE Model Price List'!$E$3:$E$278,0),MATCH('Option C_CCE Model selection'!D$4,'Specified CCE Model Price List'!$A$3:$O$3,0)),"")</f>
        <v/>
      </c>
      <c r="E6" s="31" t="str">
        <f>IFERROR(INDEX('Specified CCE Model Price List'!$A$3:$O$278,MATCH('Option C_CCE Model selection'!$C6,'Specified CCE Model Price List'!$E$3:$E$278,0),MATCH('Option C_CCE Model selection'!E$4,'Specified CCE Model Price List'!$A$3:$O$3,0)),"")</f>
        <v/>
      </c>
      <c r="F6" s="31" t="str">
        <f>IFERROR(INDEX('Specified CCE Model Price List'!$A$3:$O$278,MATCH('Option C_CCE Model selection'!$C6,'Specified CCE Model Price List'!$E$3:$E$278,0),MATCH('Option C_CCE Model selection'!F$4,'Specified CCE Model Price List'!$A$3:$O$3,0)),"")</f>
        <v/>
      </c>
      <c r="G6" s="130" t="str">
        <f>IFERROR(INDEX('Specified CCE Model Price List'!$A$3:$O$278,MATCH('Option C_CCE Model selection'!$C6,'Specified CCE Model Price List'!$E$3:$E$278,0),MATCH('Option C_CCE Model selection'!G$4,'Specified CCE Model Price List'!$A$3:$O$3,0)),"")</f>
        <v/>
      </c>
      <c r="H6" s="201"/>
      <c r="I6" s="120" t="str">
        <f>IFERROR(IF(OR(EXACT(A6,'Specified CCE Model Price List'!$AB$14),EXACT(A6,'Specified CCE Model Price List'!$AB$16),EXACT(A6,'Specified CCE Model Price List'!$AB$17),EXACT(A6,'Specified CCE Model Price List'!$AB$18),EXACT(A6,'Specified CCE Model Price List'!$AB$19),EXACT(A6,'Specified CCE Model Price List'!$AB$20),EXACT(A6,'Specified CCE Model Price List'!$AB$21),EXACT(A6,'Specified CCE Model Price List'!$AB$22),EXACT(A6,'Specified CCE Model Price List'!$AB$23),EXACT(A6,'Specified CCE Model Price List'!$AB$24),EXACT(A6,'Specified CCE Model Price List'!$AB$25),EXACT(A6,'Specified CCE Model Price List'!$AB$26),EXACT(A6,'Specified CCE Model Price List'!$AB$27)),"N/A",H6+G6),"")</f>
        <v/>
      </c>
      <c r="J6" s="74"/>
      <c r="K6" s="75" t="str">
        <f t="shared" ref="K6" si="0">IFERROR(IF(I6="N/A",G6*J6,I6*J6),"")</f>
        <v/>
      </c>
      <c r="L6" s="55"/>
      <c r="M6" s="170"/>
    </row>
    <row r="7" spans="1:13" s="25" customFormat="1" ht="27" customHeight="1" x14ac:dyDescent="0.25">
      <c r="A7" s="40" t="s">
        <v>257</v>
      </c>
      <c r="B7" s="40" t="s">
        <v>373</v>
      </c>
      <c r="C7" s="41"/>
      <c r="D7" s="28" t="str">
        <f>IFERROR(INDEX('Specified CCE Model Price List'!$A$3:$O$278,MATCH('Option C_CCE Model selection'!$C7,'Specified CCE Model Price List'!$E$3:$E$278,0),MATCH('Option C_CCE Model selection'!D$4,'Specified CCE Model Price List'!$A$3:$O$3,0)),"")</f>
        <v/>
      </c>
      <c r="E7" s="31" t="str">
        <f>IFERROR(INDEX('Specified CCE Model Price List'!$A$3:$O$278,MATCH('Option C_CCE Model selection'!$C7,'Specified CCE Model Price List'!$E$3:$E$278,0),MATCH('Option C_CCE Model selection'!E$4,'Specified CCE Model Price List'!$A$3:$O$3,0)),"")</f>
        <v/>
      </c>
      <c r="F7" s="31" t="str">
        <f>IFERROR(INDEX('Specified CCE Model Price List'!$A$3:$O$278,MATCH('Option C_CCE Model selection'!$C7,'Specified CCE Model Price List'!$E$3:$E$278,0),MATCH('Option C_CCE Model selection'!F$4,'Specified CCE Model Price List'!$A$3:$O$3,0)),"")</f>
        <v/>
      </c>
      <c r="G7" s="130" t="str">
        <f>IFERROR(INDEX('Specified CCE Model Price List'!$A$3:$O$278,MATCH('Option C_CCE Model selection'!$C7,'Specified CCE Model Price List'!$E$3:$E$278,0),MATCH('Option C_CCE Model selection'!G$4,'Specified CCE Model Price List'!$A$3:$O$3,0)),"")</f>
        <v/>
      </c>
      <c r="H7" s="201"/>
      <c r="I7" s="120" t="str">
        <f>IFERROR(IF(OR(EXACT(A7,'Specified CCE Model Price List'!$AB$14),EXACT(A7,'Specified CCE Model Price List'!$AB$16),EXACT(A7,'Specified CCE Model Price List'!$AB$17),EXACT(A7,'Specified CCE Model Price List'!$AB$18),EXACT(A7,'Specified CCE Model Price List'!$AB$19),EXACT(A7,'Specified CCE Model Price List'!$AB$20),EXACT(A7,'Specified CCE Model Price List'!$AB$21),EXACT(A7,'Specified CCE Model Price List'!$AB$22),EXACT(A7,'Specified CCE Model Price List'!$AB$23),EXACT(A7,'Specified CCE Model Price List'!$AB$24),EXACT(A7,'Specified CCE Model Price List'!$AB$25),EXACT(A7,'Specified CCE Model Price List'!$AB$26),EXACT(A7,'Specified CCE Model Price List'!$AB$27)),"N/A",H7+G7),"")</f>
        <v/>
      </c>
      <c r="J7" s="74"/>
      <c r="K7" s="75" t="str">
        <f t="shared" ref="K7:K36" si="1">IFERROR(IF(I7="N/A",G7*J7,I7*J7),"")</f>
        <v/>
      </c>
      <c r="L7" s="55"/>
      <c r="M7" s="170" t="str">
        <f t="shared" ref="M7:M36" si="2">LEFT(A7,3)</f>
        <v>_1.</v>
      </c>
    </row>
    <row r="8" spans="1:13" s="25" customFormat="1" ht="27" customHeight="1" x14ac:dyDescent="0.25">
      <c r="A8" s="40" t="s">
        <v>343</v>
      </c>
      <c r="B8" s="40" t="s">
        <v>379</v>
      </c>
      <c r="C8" s="41"/>
      <c r="D8" s="28" t="str">
        <f>IFERROR(INDEX('Specified CCE Model Price List'!$A$3:$O$278,MATCH('Option C_CCE Model selection'!$C8,'Specified CCE Model Price List'!$E$3:$E$278,0),MATCH('Option C_CCE Model selection'!D$4,'Specified CCE Model Price List'!$A$3:$O$3,0)),"")</f>
        <v/>
      </c>
      <c r="E8" s="31" t="str">
        <f>IFERROR(INDEX('Specified CCE Model Price List'!$A$3:$O$278,MATCH('Option C_CCE Model selection'!$C8,'Specified CCE Model Price List'!$E$3:$E$278,0),MATCH('Option C_CCE Model selection'!E$4,'Specified CCE Model Price List'!$A$3:$O$3,0)),"")</f>
        <v/>
      </c>
      <c r="F8" s="31" t="str">
        <f>IFERROR(INDEX('Specified CCE Model Price List'!$A$3:$O$278,MATCH('Option C_CCE Model selection'!$C8,'Specified CCE Model Price List'!$E$3:$E$278,0),MATCH('Option C_CCE Model selection'!F$4,'Specified CCE Model Price List'!$A$3:$O$3,0)),"")</f>
        <v/>
      </c>
      <c r="G8" s="130" t="str">
        <f>IFERROR(INDEX('Specified CCE Model Price List'!$A$3:$O$278,MATCH('Option C_CCE Model selection'!$C8,'Specified CCE Model Price List'!$E$3:$E$278,0),MATCH('Option C_CCE Model selection'!G$4,'Specified CCE Model Price List'!$A$3:$O$3,0)),"")</f>
        <v/>
      </c>
      <c r="H8" s="201"/>
      <c r="I8" s="120" t="str">
        <f>IFERROR(IF(OR(EXACT(A8,'Specified CCE Model Price List'!$AB$14),EXACT(A8,'Specified CCE Model Price List'!$AB$16),EXACT(A8,'Specified CCE Model Price List'!$AB$17),EXACT(A8,'Specified CCE Model Price List'!$AB$18),EXACT(A8,'Specified CCE Model Price List'!$AB$19),EXACT(A8,'Specified CCE Model Price List'!$AB$20),EXACT(A8,'Specified CCE Model Price List'!$AB$21),EXACT(A8,'Specified CCE Model Price List'!$AB$22),EXACT(A8,'Specified CCE Model Price List'!$AB$23),EXACT(A8,'Specified CCE Model Price List'!$AB$24),EXACT(A8,'Specified CCE Model Price List'!$AB$25),EXACT(A8,'Specified CCE Model Price List'!$AB$26),EXACT(A8,'Specified CCE Model Price List'!$AB$27)),"N/A",H8+G8),"")</f>
        <v/>
      </c>
      <c r="J8" s="74"/>
      <c r="K8" s="75" t="str">
        <f t="shared" si="1"/>
        <v/>
      </c>
      <c r="L8" s="55"/>
      <c r="M8" s="170" t="str">
        <f t="shared" si="2"/>
        <v>_2.</v>
      </c>
    </row>
    <row r="9" spans="1:13" s="25" customFormat="1" ht="27" customHeight="1" x14ac:dyDescent="0.25">
      <c r="A9" s="40" t="s">
        <v>344</v>
      </c>
      <c r="B9" s="40" t="s">
        <v>380</v>
      </c>
      <c r="C9" s="41"/>
      <c r="D9" s="28" t="str">
        <f>IFERROR(INDEX('Specified CCE Model Price List'!$A$3:$O$278,MATCH('Option C_CCE Model selection'!$C9,'Specified CCE Model Price List'!$E$3:$E$278,0),MATCH('Option C_CCE Model selection'!D$4,'Specified CCE Model Price List'!$A$3:$O$3,0)),"")</f>
        <v/>
      </c>
      <c r="E9" s="31" t="str">
        <f>IFERROR(INDEX('Specified CCE Model Price List'!$A$3:$O$278,MATCH('Option C_CCE Model selection'!$C9,'Specified CCE Model Price List'!$E$3:$E$278,0),MATCH('Option C_CCE Model selection'!E$4,'Specified CCE Model Price List'!$A$3:$O$3,0)),"")</f>
        <v/>
      </c>
      <c r="F9" s="31" t="str">
        <f>IFERROR(INDEX('Specified CCE Model Price List'!$A$3:$O$278,MATCH('Option C_CCE Model selection'!$C9,'Specified CCE Model Price List'!$E$3:$E$278,0),MATCH('Option C_CCE Model selection'!F$4,'Specified CCE Model Price List'!$A$3:$O$3,0)),"")</f>
        <v/>
      </c>
      <c r="G9" s="130" t="str">
        <f>IFERROR(INDEX('Specified CCE Model Price List'!$A$3:$O$278,MATCH('Option C_CCE Model selection'!$C9,'Specified CCE Model Price List'!$E$3:$E$278,0),MATCH('Option C_CCE Model selection'!G$4,'Specified CCE Model Price List'!$A$3:$O$3,0)),"")</f>
        <v/>
      </c>
      <c r="H9" s="201"/>
      <c r="I9" s="120" t="str">
        <f>IFERROR(IF(OR(EXACT(A9,'Specified CCE Model Price List'!$AB$14),EXACT(A9,'Specified CCE Model Price List'!$AB$16),EXACT(A9,'Specified CCE Model Price List'!$AB$17),EXACT(A9,'Specified CCE Model Price List'!$AB$18),EXACT(A9,'Specified CCE Model Price List'!$AB$19),EXACT(A9,'Specified CCE Model Price List'!$AB$20),EXACT(A9,'Specified CCE Model Price List'!$AB$21),EXACT(A9,'Specified CCE Model Price List'!$AB$22),EXACT(A9,'Specified CCE Model Price List'!$AB$23),EXACT(A9,'Specified CCE Model Price List'!$AB$24),EXACT(A9,'Specified CCE Model Price List'!$AB$25),EXACT(A9,'Specified CCE Model Price List'!$AB$26),EXACT(A9,'Specified CCE Model Price List'!$AB$27)),"N/A",H9+G9),"")</f>
        <v/>
      </c>
      <c r="J9" s="74"/>
      <c r="K9" s="75" t="str">
        <f t="shared" si="1"/>
        <v/>
      </c>
      <c r="L9" s="55"/>
      <c r="M9" s="170" t="str">
        <f t="shared" si="2"/>
        <v>_3.</v>
      </c>
    </row>
    <row r="10" spans="1:13" s="25" customFormat="1" ht="27" customHeight="1" x14ac:dyDescent="0.25">
      <c r="A10" s="40" t="s">
        <v>320</v>
      </c>
      <c r="B10" s="40" t="s">
        <v>381</v>
      </c>
      <c r="C10" s="41"/>
      <c r="D10" s="28" t="str">
        <f>IFERROR(INDEX('Specified CCE Model Price List'!$A$3:$O$278,MATCH('Option C_CCE Model selection'!$C10,'Specified CCE Model Price List'!$E$3:$E$278,0),MATCH('Option C_CCE Model selection'!D$4,'Specified CCE Model Price List'!$A$3:$O$3,0)),"")</f>
        <v/>
      </c>
      <c r="E10" s="31" t="str">
        <f>IFERROR(INDEX('Specified CCE Model Price List'!$A$3:$O$278,MATCH('Option C_CCE Model selection'!$C10,'Specified CCE Model Price List'!$E$3:$E$278,0),MATCH('Option C_CCE Model selection'!E$4,'Specified CCE Model Price List'!$A$3:$O$3,0)),"")</f>
        <v/>
      </c>
      <c r="F10" s="31" t="str">
        <f>IFERROR(INDEX('Specified CCE Model Price List'!$A$3:$O$278,MATCH('Option C_CCE Model selection'!$C10,'Specified CCE Model Price List'!$E$3:$E$278,0),MATCH('Option C_CCE Model selection'!F$4,'Specified CCE Model Price List'!$A$3:$O$3,0)),"")</f>
        <v/>
      </c>
      <c r="G10" s="130" t="str">
        <f>IFERROR(INDEX('Specified CCE Model Price List'!$A$3:$O$278,MATCH('Option C_CCE Model selection'!$C10,'Specified CCE Model Price List'!$E$3:$E$278,0),MATCH('Option C_CCE Model selection'!G$4,'Specified CCE Model Price List'!$A$3:$O$3,0)),"")</f>
        <v/>
      </c>
      <c r="H10" s="201"/>
      <c r="I10" s="120" t="str">
        <f>IFERROR(IF(OR(EXACT(A10,'Specified CCE Model Price List'!$AB$14),EXACT(A10,'Specified CCE Model Price List'!$AB$16),EXACT(A10,'Specified CCE Model Price List'!$AB$17),EXACT(A10,'Specified CCE Model Price List'!$AB$18),EXACT(A10,'Specified CCE Model Price List'!$AB$19),EXACT(A10,'Specified CCE Model Price List'!$AB$20),EXACT(A10,'Specified CCE Model Price List'!$AB$21),EXACT(A10,'Specified CCE Model Price List'!$AB$22),EXACT(A10,'Specified CCE Model Price List'!$AB$23),EXACT(A10,'Specified CCE Model Price List'!$AB$24),EXACT(A10,'Specified CCE Model Price List'!$AB$25),EXACT(A10,'Specified CCE Model Price List'!$AB$26),EXACT(A10,'Specified CCE Model Price List'!$AB$27)),"N/A",H10+G10),"")</f>
        <v/>
      </c>
      <c r="J10" s="74"/>
      <c r="K10" s="75" t="str">
        <f t="shared" si="1"/>
        <v/>
      </c>
      <c r="L10" s="55"/>
      <c r="M10" s="170" t="str">
        <f t="shared" si="2"/>
        <v>_4.</v>
      </c>
    </row>
    <row r="11" spans="1:13" s="25" customFormat="1" ht="27" customHeight="1" x14ac:dyDescent="0.25">
      <c r="A11" s="42" t="s">
        <v>311</v>
      </c>
      <c r="B11" s="42" t="s">
        <v>382</v>
      </c>
      <c r="C11" s="41"/>
      <c r="D11" s="28" t="str">
        <f>IFERROR(INDEX('Specified CCE Model Price List'!$A$3:$O$278,MATCH('Option C_CCE Model selection'!$C11,'Specified CCE Model Price List'!$E$3:$E$278,0),MATCH('Option C_CCE Model selection'!D$4,'Specified CCE Model Price List'!$A$3:$O$3,0)),"")</f>
        <v/>
      </c>
      <c r="E11" s="31" t="str">
        <f>IFERROR(INDEX('Specified CCE Model Price List'!$A$3:$O$278,MATCH('Option C_CCE Model selection'!$C11,'Specified CCE Model Price List'!$E$3:$E$278,0),MATCH('Option C_CCE Model selection'!E$4,'Specified CCE Model Price List'!$A$3:$O$3,0)),"")</f>
        <v/>
      </c>
      <c r="F11" s="31" t="str">
        <f>IFERROR(INDEX('Specified CCE Model Price List'!$A$3:$O$278,MATCH('Option C_CCE Model selection'!$C11,'Specified CCE Model Price List'!$E$3:$E$278,0),MATCH('Option C_CCE Model selection'!F$4,'Specified CCE Model Price List'!$A$3:$O$3,0)),"")</f>
        <v/>
      </c>
      <c r="G11" s="130" t="str">
        <f>IFERROR(INDEX('Specified CCE Model Price List'!$A$3:$O$278,MATCH('Option C_CCE Model selection'!$C11,'Specified CCE Model Price List'!$E$3:$E$278,0),MATCH('Option C_CCE Model selection'!G$4,'Specified CCE Model Price List'!$A$3:$O$3,0)),"")</f>
        <v/>
      </c>
      <c r="H11" s="201"/>
      <c r="I11" s="120" t="str">
        <f>IFERROR(IF(OR(EXACT(A11,'Specified CCE Model Price List'!$AB$14),EXACT(A11,'Specified CCE Model Price List'!$AB$16),EXACT(A11,'Specified CCE Model Price List'!$AB$17),EXACT(A11,'Specified CCE Model Price List'!$AB$18),EXACT(A11,'Specified CCE Model Price List'!$AB$19),EXACT(A11,'Specified CCE Model Price List'!$AB$20),EXACT(A11,'Specified CCE Model Price List'!$AB$21),EXACT(A11,'Specified CCE Model Price List'!$AB$22),EXACT(A11,'Specified CCE Model Price List'!$AB$23),EXACT(A11,'Specified CCE Model Price List'!$AB$24),EXACT(A11,'Specified CCE Model Price List'!$AB$25),EXACT(A11,'Specified CCE Model Price List'!$AB$26),EXACT(A11,'Specified CCE Model Price List'!$AB$27)),"N/A",H11+G11),"")</f>
        <v/>
      </c>
      <c r="J11" s="74"/>
      <c r="K11" s="75" t="str">
        <f t="shared" si="1"/>
        <v/>
      </c>
      <c r="L11" s="55"/>
      <c r="M11" s="170" t="str">
        <f t="shared" si="2"/>
        <v>_5.</v>
      </c>
    </row>
    <row r="12" spans="1:13" s="25" customFormat="1" ht="27" customHeight="1" x14ac:dyDescent="0.25">
      <c r="A12" s="43" t="s">
        <v>312</v>
      </c>
      <c r="B12" s="43" t="s">
        <v>383</v>
      </c>
      <c r="C12" s="41"/>
      <c r="D12" s="28" t="str">
        <f>IFERROR(INDEX('Specified CCE Model Price List'!$A$3:$O$278,MATCH('Option C_CCE Model selection'!$C12,'Specified CCE Model Price List'!$E$3:$E$278,0),MATCH('Option C_CCE Model selection'!D$4,'Specified CCE Model Price List'!$A$3:$O$3,0)),"")</f>
        <v/>
      </c>
      <c r="E12" s="31" t="str">
        <f>IFERROR(INDEX('Specified CCE Model Price List'!$A$3:$O$278,MATCH('Option C_CCE Model selection'!$C12,'Specified CCE Model Price List'!$E$3:$E$278,0),MATCH('Option C_CCE Model selection'!E$4,'Specified CCE Model Price List'!$A$3:$O$3,0)),"")</f>
        <v/>
      </c>
      <c r="F12" s="31" t="str">
        <f>IFERROR(INDEX('Specified CCE Model Price List'!$A$3:$O$278,MATCH('Option C_CCE Model selection'!$C12,'Specified CCE Model Price List'!$E$3:$E$278,0),MATCH('Option C_CCE Model selection'!F$4,'Specified CCE Model Price List'!$A$3:$O$3,0)),"")</f>
        <v/>
      </c>
      <c r="G12" s="130" t="str">
        <f>IFERROR(INDEX('Specified CCE Model Price List'!$A$3:$O$278,MATCH('Option C_CCE Model selection'!$C12,'Specified CCE Model Price List'!$E$3:$E$278,0),MATCH('Option C_CCE Model selection'!G$4,'Specified CCE Model Price List'!$A$3:$O$3,0)),"")</f>
        <v/>
      </c>
      <c r="H12" s="201"/>
      <c r="I12" s="120" t="str">
        <f>IFERROR(IF(OR(EXACT(A12,'Specified CCE Model Price List'!$AB$14),EXACT(A12,'Specified CCE Model Price List'!$AB$16),EXACT(A12,'Specified CCE Model Price List'!$AB$17),EXACT(A12,'Specified CCE Model Price List'!$AB$18),EXACT(A12,'Specified CCE Model Price List'!$AB$19),EXACT(A12,'Specified CCE Model Price List'!$AB$20),EXACT(A12,'Specified CCE Model Price List'!$AB$21),EXACT(A12,'Specified CCE Model Price List'!$AB$22),EXACT(A12,'Specified CCE Model Price List'!$AB$23),EXACT(A12,'Specified CCE Model Price List'!$AB$24),EXACT(A12,'Specified CCE Model Price List'!$AB$25),EXACT(A12,'Specified CCE Model Price List'!$AB$26),EXACT(A12,'Specified CCE Model Price List'!$AB$27)),"N/A",H12+G12),"")</f>
        <v/>
      </c>
      <c r="J12" s="74"/>
      <c r="K12" s="75" t="str">
        <f t="shared" si="1"/>
        <v/>
      </c>
      <c r="L12" s="55"/>
      <c r="M12" s="170" t="str">
        <f t="shared" si="2"/>
        <v>_6.</v>
      </c>
    </row>
    <row r="13" spans="1:13" s="25" customFormat="1" ht="27" customHeight="1" x14ac:dyDescent="0.25">
      <c r="A13" s="43" t="s">
        <v>312</v>
      </c>
      <c r="B13" s="43" t="s">
        <v>383</v>
      </c>
      <c r="C13" s="41"/>
      <c r="D13" s="28" t="str">
        <f>IFERROR(INDEX('Specified CCE Model Price List'!$A$3:$O$278,MATCH('Option C_CCE Model selection'!$C13,'Specified CCE Model Price List'!$E$3:$E$278,0),MATCH('Option C_CCE Model selection'!D$4,'Specified CCE Model Price List'!$A$3:$O$3,0)),"")</f>
        <v/>
      </c>
      <c r="E13" s="31" t="str">
        <f>IFERROR(INDEX('Specified CCE Model Price List'!$A$3:$O$278,MATCH('Option C_CCE Model selection'!$C13,'Specified CCE Model Price List'!$E$3:$E$278,0),MATCH('Option C_CCE Model selection'!E$4,'Specified CCE Model Price List'!$A$3:$O$3,0)),"")</f>
        <v/>
      </c>
      <c r="F13" s="31" t="str">
        <f>IFERROR(INDEX('Specified CCE Model Price List'!$A$3:$O$278,MATCH('Option C_CCE Model selection'!$C13,'Specified CCE Model Price List'!$E$3:$E$278,0),MATCH('Option C_CCE Model selection'!F$4,'Specified CCE Model Price List'!$A$3:$O$3,0)),"")</f>
        <v/>
      </c>
      <c r="G13" s="130" t="str">
        <f>IFERROR(INDEX('Specified CCE Model Price List'!$A$3:$O$278,MATCH('Option C_CCE Model selection'!$C13,'Specified CCE Model Price List'!$E$3:$E$278,0),MATCH('Option C_CCE Model selection'!G$4,'Specified CCE Model Price List'!$A$3:$O$3,0)),"")</f>
        <v/>
      </c>
      <c r="H13" s="201"/>
      <c r="I13" s="120" t="str">
        <f>IFERROR(IF(OR(EXACT(A13,'Specified CCE Model Price List'!$AB$14),EXACT(A13,'Specified CCE Model Price List'!$AB$16),EXACT(A13,'Specified CCE Model Price List'!$AB$17),EXACT(A13,'Specified CCE Model Price List'!$AB$18),EXACT(A13,'Specified CCE Model Price List'!$AB$19),EXACT(A13,'Specified CCE Model Price List'!$AB$20),EXACT(A13,'Specified CCE Model Price List'!$AB$21),EXACT(A13,'Specified CCE Model Price List'!$AB$22),EXACT(A13,'Specified CCE Model Price List'!$AB$23),EXACT(A13,'Specified CCE Model Price List'!$AB$24),EXACT(A13,'Specified CCE Model Price List'!$AB$25),EXACT(A13,'Specified CCE Model Price List'!$AB$26),EXACT(A13,'Specified CCE Model Price List'!$AB$27)),"N/A",H13+G13),"")</f>
        <v/>
      </c>
      <c r="J13" s="74"/>
      <c r="K13" s="75" t="str">
        <f t="shared" si="1"/>
        <v/>
      </c>
      <c r="L13" s="55"/>
      <c r="M13" s="170" t="str">
        <f t="shared" si="2"/>
        <v>_6.</v>
      </c>
    </row>
    <row r="14" spans="1:13" s="25" customFormat="1" ht="27" customHeight="1" x14ac:dyDescent="0.25">
      <c r="A14" s="43" t="s">
        <v>313</v>
      </c>
      <c r="B14" s="43" t="s">
        <v>386</v>
      </c>
      <c r="C14" s="41"/>
      <c r="D14" s="28" t="str">
        <f>IFERROR(INDEX('Specified CCE Model Price List'!$A$3:$O$278,MATCH('Option C_CCE Model selection'!$C14,'Specified CCE Model Price List'!$E$3:$E$278,0),MATCH('Option C_CCE Model selection'!D$4,'Specified CCE Model Price List'!$A$3:$O$3,0)),"")</f>
        <v/>
      </c>
      <c r="E14" s="31" t="str">
        <f>IFERROR(INDEX('Specified CCE Model Price List'!$A$3:$O$278,MATCH('Option C_CCE Model selection'!$C14,'Specified CCE Model Price List'!$E$3:$E$278,0),MATCH('Option C_CCE Model selection'!E$4,'Specified CCE Model Price List'!$A$3:$O$3,0)),"")</f>
        <v/>
      </c>
      <c r="F14" s="31" t="str">
        <f>IFERROR(INDEX('Specified CCE Model Price List'!$A$3:$O$278,MATCH('Option C_CCE Model selection'!$C14,'Specified CCE Model Price List'!$E$3:$E$278,0),MATCH('Option C_CCE Model selection'!F$4,'Specified CCE Model Price List'!$A$3:$O$3,0)),"")</f>
        <v/>
      </c>
      <c r="G14" s="130" t="str">
        <f>IFERROR(INDEX('Specified CCE Model Price List'!$A$3:$O$278,MATCH('Option C_CCE Model selection'!$C14,'Specified CCE Model Price List'!$E$3:$E$278,0),MATCH('Option C_CCE Model selection'!G$4,'Specified CCE Model Price List'!$A$3:$O$3,0)),"")</f>
        <v/>
      </c>
      <c r="H14" s="201"/>
      <c r="I14" s="120" t="str">
        <f>IFERROR(IF(OR(EXACT(A14,'Specified CCE Model Price List'!$AB$14),EXACT(A14,'Specified CCE Model Price List'!$AB$16),EXACT(A14,'Specified CCE Model Price List'!$AB$17),EXACT(A14,'Specified CCE Model Price List'!$AB$18),EXACT(A14,'Specified CCE Model Price List'!$AB$19),EXACT(A14,'Specified CCE Model Price List'!$AB$20),EXACT(A14,'Specified CCE Model Price List'!$AB$21),EXACT(A14,'Specified CCE Model Price List'!$AB$22),EXACT(A14,'Specified CCE Model Price List'!$AB$23),EXACT(A14,'Specified CCE Model Price List'!$AB$24),EXACT(A14,'Specified CCE Model Price List'!$AB$25),EXACT(A14,'Specified CCE Model Price List'!$AB$26),EXACT(A14,'Specified CCE Model Price List'!$AB$27)),"N/A",H14+G14),"")</f>
        <v/>
      </c>
      <c r="J14" s="74"/>
      <c r="K14" s="75" t="str">
        <f t="shared" si="1"/>
        <v/>
      </c>
      <c r="L14" s="55"/>
      <c r="M14" s="170" t="str">
        <f t="shared" si="2"/>
        <v>_7.</v>
      </c>
    </row>
    <row r="15" spans="1:13" s="25" customFormat="1" ht="27" customHeight="1" x14ac:dyDescent="0.25">
      <c r="A15" s="44" t="s">
        <v>314</v>
      </c>
      <c r="B15" s="44" t="s">
        <v>387</v>
      </c>
      <c r="C15" s="41"/>
      <c r="D15" s="28" t="str">
        <f>IFERROR(INDEX('Specified CCE Model Price List'!$A$3:$O$278,MATCH('Option C_CCE Model selection'!$C15,'Specified CCE Model Price List'!$E$3:$E$278,0),MATCH('Option C_CCE Model selection'!D$4,'Specified CCE Model Price List'!$A$3:$O$3,0)),"")</f>
        <v/>
      </c>
      <c r="E15" s="31" t="str">
        <f>IFERROR(INDEX('Specified CCE Model Price List'!$A$3:$O$278,MATCH('Option C_CCE Model selection'!$C15,'Specified CCE Model Price List'!$E$3:$E$278,0),MATCH('Option C_CCE Model selection'!E$4,'Specified CCE Model Price List'!$A$3:$O$3,0)),"")</f>
        <v/>
      </c>
      <c r="F15" s="31" t="str">
        <f>IFERROR(INDEX('Specified CCE Model Price List'!$A$3:$O$278,MATCH('Option C_CCE Model selection'!$C15,'Specified CCE Model Price List'!$E$3:$E$278,0),MATCH('Option C_CCE Model selection'!F$4,'Specified CCE Model Price List'!$A$3:$O$3,0)),"")</f>
        <v/>
      </c>
      <c r="G15" s="130" t="str">
        <f>IFERROR(INDEX('Specified CCE Model Price List'!$A$3:$O$278,MATCH('Option C_CCE Model selection'!$C15,'Specified CCE Model Price List'!$E$3:$E$278,0),MATCH('Option C_CCE Model selection'!G$4,'Specified CCE Model Price List'!$A$3:$O$3,0)),"")</f>
        <v/>
      </c>
      <c r="H15" s="201"/>
      <c r="I15" s="120" t="str">
        <f>IFERROR(IF(OR(EXACT(A15,'Specified CCE Model Price List'!$AB$14),EXACT(A15,'Specified CCE Model Price List'!$AB$16),EXACT(A15,'Specified CCE Model Price List'!$AB$17),EXACT(A15,'Specified CCE Model Price List'!$AB$18),EXACT(A15,'Specified CCE Model Price List'!$AB$19),EXACT(A15,'Specified CCE Model Price List'!$AB$20),EXACT(A15,'Specified CCE Model Price List'!$AB$21),EXACT(A15,'Specified CCE Model Price List'!$AB$22),EXACT(A15,'Specified CCE Model Price List'!$AB$23),EXACT(A15,'Specified CCE Model Price List'!$AB$24),EXACT(A15,'Specified CCE Model Price List'!$AB$25),EXACT(A15,'Specified CCE Model Price List'!$AB$26),EXACT(A15,'Specified CCE Model Price List'!$AB$27)),"N/A",H15+G15),"")</f>
        <v/>
      </c>
      <c r="J15" s="74"/>
      <c r="K15" s="75" t="str">
        <f t="shared" si="1"/>
        <v/>
      </c>
      <c r="L15" s="55"/>
      <c r="M15" s="170" t="str">
        <f t="shared" si="2"/>
        <v>_8.</v>
      </c>
    </row>
    <row r="16" spans="1:13" s="25" customFormat="1" ht="27" customHeight="1" x14ac:dyDescent="0.25">
      <c r="A16" s="45" t="s">
        <v>314</v>
      </c>
      <c r="B16" s="45" t="s">
        <v>387</v>
      </c>
      <c r="C16" s="41"/>
      <c r="D16" s="28" t="str">
        <f>IFERROR(INDEX('Specified CCE Model Price List'!$A$3:$O$278,MATCH('Option C_CCE Model selection'!$C16,'Specified CCE Model Price List'!$E$3:$E$278,0),MATCH('Option C_CCE Model selection'!D$4,'Specified CCE Model Price List'!$A$3:$O$3,0)),"")</f>
        <v/>
      </c>
      <c r="E16" s="31" t="str">
        <f>IFERROR(INDEX('Specified CCE Model Price List'!$A$3:$O$278,MATCH('Option C_CCE Model selection'!$C16,'Specified CCE Model Price List'!$E$3:$E$278,0),MATCH('Option C_CCE Model selection'!E$4,'Specified CCE Model Price List'!$A$3:$O$3,0)),"")</f>
        <v/>
      </c>
      <c r="F16" s="31" t="str">
        <f>IFERROR(INDEX('Specified CCE Model Price List'!$A$3:$O$278,MATCH('Option C_CCE Model selection'!$C16,'Specified CCE Model Price List'!$E$3:$E$278,0),MATCH('Option C_CCE Model selection'!F$4,'Specified CCE Model Price List'!$A$3:$O$3,0)),"")</f>
        <v/>
      </c>
      <c r="G16" s="130" t="str">
        <f>IFERROR(INDEX('Specified CCE Model Price List'!$A$3:$O$278,MATCH('Option C_CCE Model selection'!$C16,'Specified CCE Model Price List'!$E$3:$E$278,0),MATCH('Option C_CCE Model selection'!G$4,'Specified CCE Model Price List'!$A$3:$O$3,0)),"")</f>
        <v/>
      </c>
      <c r="H16" s="201"/>
      <c r="I16" s="120" t="str">
        <f>IFERROR(IF(OR(EXACT(A16,'Specified CCE Model Price List'!$AB$14),EXACT(A16,'Specified CCE Model Price List'!$AB$16),EXACT(A16,'Specified CCE Model Price List'!$AB$17),EXACT(A16,'Specified CCE Model Price List'!$AB$18),EXACT(A16,'Specified CCE Model Price List'!$AB$19),EXACT(A16,'Specified CCE Model Price List'!$AB$20),EXACT(A16,'Specified CCE Model Price List'!$AB$21),EXACT(A16,'Specified CCE Model Price List'!$AB$22),EXACT(A16,'Specified CCE Model Price List'!$AB$23),EXACT(A16,'Specified CCE Model Price List'!$AB$24),EXACT(A16,'Specified CCE Model Price List'!$AB$25),EXACT(A16,'Specified CCE Model Price List'!$AB$26),EXACT(A16,'Specified CCE Model Price List'!$AB$27)),"N/A",H16+G16),"")</f>
        <v/>
      </c>
      <c r="J16" s="74"/>
      <c r="K16" s="75" t="str">
        <f t="shared" si="1"/>
        <v/>
      </c>
      <c r="L16" s="55"/>
      <c r="M16" s="170" t="str">
        <f t="shared" si="2"/>
        <v>_8.</v>
      </c>
    </row>
    <row r="17" spans="1:13" s="25" customFormat="1" ht="27" customHeight="1" x14ac:dyDescent="0.25">
      <c r="A17" s="45" t="s">
        <v>315</v>
      </c>
      <c r="B17" s="45" t="s">
        <v>390</v>
      </c>
      <c r="C17" s="41"/>
      <c r="D17" s="28" t="str">
        <f>IFERROR(INDEX('Specified CCE Model Price List'!$A$3:$O$278,MATCH('Option C_CCE Model selection'!$C17,'Specified CCE Model Price List'!$E$3:$E$278,0),MATCH('Option C_CCE Model selection'!D$4,'Specified CCE Model Price List'!$A$3:$O$3,0)),"")</f>
        <v/>
      </c>
      <c r="E17" s="31" t="str">
        <f>IFERROR(INDEX('Specified CCE Model Price List'!$A$3:$O$278,MATCH('Option C_CCE Model selection'!$C17,'Specified CCE Model Price List'!$E$3:$E$278,0),MATCH('Option C_CCE Model selection'!E$4,'Specified CCE Model Price List'!$A$3:$O$3,0)),"")</f>
        <v/>
      </c>
      <c r="F17" s="31" t="str">
        <f>IFERROR(INDEX('Specified CCE Model Price List'!$A$3:$O$278,MATCH('Option C_CCE Model selection'!$C17,'Specified CCE Model Price List'!$E$3:$E$278,0),MATCH('Option C_CCE Model selection'!F$4,'Specified CCE Model Price List'!$A$3:$O$3,0)),"")</f>
        <v/>
      </c>
      <c r="G17" s="130" t="str">
        <f>IFERROR(INDEX('Specified CCE Model Price List'!$A$3:$O$278,MATCH('Option C_CCE Model selection'!$C17,'Specified CCE Model Price List'!$E$3:$E$278,0),MATCH('Option C_CCE Model selection'!G$4,'Specified CCE Model Price List'!$A$3:$O$3,0)),"")</f>
        <v/>
      </c>
      <c r="H17" s="201"/>
      <c r="I17" s="120" t="str">
        <f>IFERROR(IF(OR(EXACT(A17,'Specified CCE Model Price List'!$AB$14),EXACT(A17,'Specified CCE Model Price List'!$AB$16),EXACT(A17,'Specified CCE Model Price List'!$AB$17),EXACT(A17,'Specified CCE Model Price List'!$AB$18),EXACT(A17,'Specified CCE Model Price List'!$AB$19),EXACT(A17,'Specified CCE Model Price List'!$AB$20),EXACT(A17,'Specified CCE Model Price List'!$AB$21),EXACT(A17,'Specified CCE Model Price List'!$AB$22),EXACT(A17,'Specified CCE Model Price List'!$AB$23),EXACT(A17,'Specified CCE Model Price List'!$AB$24),EXACT(A17,'Specified CCE Model Price List'!$AB$25),EXACT(A17,'Specified CCE Model Price List'!$AB$26),EXACT(A17,'Specified CCE Model Price List'!$AB$27)),"N/A",H17+G17),"")</f>
        <v/>
      </c>
      <c r="J17" s="74"/>
      <c r="K17" s="75" t="str">
        <f t="shared" si="1"/>
        <v/>
      </c>
      <c r="L17" s="55"/>
      <c r="M17" s="170" t="str">
        <f t="shared" si="2"/>
        <v>_9.</v>
      </c>
    </row>
    <row r="18" spans="1:13" s="25" customFormat="1" ht="27" customHeight="1" x14ac:dyDescent="0.25">
      <c r="A18" s="45" t="s">
        <v>315</v>
      </c>
      <c r="B18" s="45" t="s">
        <v>390</v>
      </c>
      <c r="C18" s="41"/>
      <c r="D18" s="28" t="str">
        <f>IFERROR(INDEX('Specified CCE Model Price List'!$A$3:$O$278,MATCH('Option C_CCE Model selection'!$C18,'Specified CCE Model Price List'!$E$3:$E$278,0),MATCH('Option C_CCE Model selection'!D$4,'Specified CCE Model Price List'!$A$3:$O$3,0)),"")</f>
        <v/>
      </c>
      <c r="E18" s="31" t="str">
        <f>IFERROR(INDEX('Specified CCE Model Price List'!$A$3:$O$278,MATCH('Option C_CCE Model selection'!$C18,'Specified CCE Model Price List'!$E$3:$E$278,0),MATCH('Option C_CCE Model selection'!E$4,'Specified CCE Model Price List'!$A$3:$O$3,0)),"")</f>
        <v/>
      </c>
      <c r="F18" s="31" t="str">
        <f>IFERROR(INDEX('Specified CCE Model Price List'!$A$3:$O$278,MATCH('Option C_CCE Model selection'!$C18,'Specified CCE Model Price List'!$E$3:$E$278,0),MATCH('Option C_CCE Model selection'!F$4,'Specified CCE Model Price List'!$A$3:$O$3,0)),"")</f>
        <v/>
      </c>
      <c r="G18" s="130" t="str">
        <f>IFERROR(INDEX('Specified CCE Model Price List'!$A$3:$O$278,MATCH('Option C_CCE Model selection'!$C18,'Specified CCE Model Price List'!$E$3:$E$278,0),MATCH('Option C_CCE Model selection'!G$4,'Specified CCE Model Price List'!$A$3:$O$3,0)),"")</f>
        <v/>
      </c>
      <c r="H18" s="201"/>
      <c r="I18" s="120" t="str">
        <f>IFERROR(IF(OR(EXACT(A18,'Specified CCE Model Price List'!$AB$14),EXACT(A18,'Specified CCE Model Price List'!$AB$16),EXACT(A18,'Specified CCE Model Price List'!$AB$17),EXACT(A18,'Specified CCE Model Price List'!$AB$18),EXACT(A18,'Specified CCE Model Price List'!$AB$19),EXACT(A18,'Specified CCE Model Price List'!$AB$20),EXACT(A18,'Specified CCE Model Price List'!$AB$21),EXACT(A18,'Specified CCE Model Price List'!$AB$22),EXACT(A18,'Specified CCE Model Price List'!$AB$23),EXACT(A18,'Specified CCE Model Price List'!$AB$24),EXACT(A18,'Specified CCE Model Price List'!$AB$25),EXACT(A18,'Specified CCE Model Price List'!$AB$26),EXACT(A18,'Specified CCE Model Price List'!$AB$27)),"N/A",H18+G18),"")</f>
        <v/>
      </c>
      <c r="J18" s="74"/>
      <c r="K18" s="75" t="str">
        <f t="shared" si="1"/>
        <v/>
      </c>
      <c r="L18" s="55"/>
      <c r="M18" s="170" t="str">
        <f t="shared" si="2"/>
        <v>_9.</v>
      </c>
    </row>
    <row r="19" spans="1:13" s="25" customFormat="1" ht="27" customHeight="1" x14ac:dyDescent="0.25">
      <c r="A19" s="45" t="s">
        <v>315</v>
      </c>
      <c r="B19" s="45" t="s">
        <v>390</v>
      </c>
      <c r="C19" s="41"/>
      <c r="D19" s="28" t="str">
        <f>IFERROR(INDEX('Specified CCE Model Price List'!$A$3:$O$278,MATCH('Option C_CCE Model selection'!$C19,'Specified CCE Model Price List'!$E$3:$E$278,0),MATCH('Option C_CCE Model selection'!D$4,'Specified CCE Model Price List'!$A$3:$O$3,0)),"")</f>
        <v/>
      </c>
      <c r="E19" s="31" t="str">
        <f>IFERROR(INDEX('Specified CCE Model Price List'!$A$3:$O$278,MATCH('Option C_CCE Model selection'!$C19,'Specified CCE Model Price List'!$E$3:$E$278,0),MATCH('Option C_CCE Model selection'!E$4,'Specified CCE Model Price List'!$A$3:$O$3,0)),"")</f>
        <v/>
      </c>
      <c r="F19" s="31" t="str">
        <f>IFERROR(INDEX('Specified CCE Model Price List'!$A$3:$O$278,MATCH('Option C_CCE Model selection'!$C19,'Specified CCE Model Price List'!$E$3:$E$278,0),MATCH('Option C_CCE Model selection'!F$4,'Specified CCE Model Price List'!$A$3:$O$3,0)),"")</f>
        <v/>
      </c>
      <c r="G19" s="130" t="str">
        <f>IFERROR(INDEX('Specified CCE Model Price List'!$A$3:$O$278,MATCH('Option C_CCE Model selection'!$C19,'Specified CCE Model Price List'!$E$3:$E$278,0),MATCH('Option C_CCE Model selection'!G$4,'Specified CCE Model Price List'!$A$3:$O$3,0)),"")</f>
        <v/>
      </c>
      <c r="H19" s="201"/>
      <c r="I19" s="120" t="str">
        <f>IFERROR(IF(OR(EXACT(A19,'Specified CCE Model Price List'!$AB$14),EXACT(A19,'Specified CCE Model Price List'!$AB$16),EXACT(A19,'Specified CCE Model Price List'!$AB$17),EXACT(A19,'Specified CCE Model Price List'!$AB$18),EXACT(A19,'Specified CCE Model Price List'!$AB$19),EXACT(A19,'Specified CCE Model Price List'!$AB$20),EXACT(A19,'Specified CCE Model Price List'!$AB$21),EXACT(A19,'Specified CCE Model Price List'!$AB$22),EXACT(A19,'Specified CCE Model Price List'!$AB$23),EXACT(A19,'Specified CCE Model Price List'!$AB$24),EXACT(A19,'Specified CCE Model Price List'!$AB$25),EXACT(A19,'Specified CCE Model Price List'!$AB$26),EXACT(A19,'Specified CCE Model Price List'!$AB$27)),"N/A",H19+G19),"")</f>
        <v/>
      </c>
      <c r="J19" s="74"/>
      <c r="K19" s="75" t="str">
        <f t="shared" si="1"/>
        <v/>
      </c>
      <c r="L19" s="55"/>
      <c r="M19" s="170" t="str">
        <f t="shared" si="2"/>
        <v>_9.</v>
      </c>
    </row>
    <row r="20" spans="1:13" s="25" customFormat="1" ht="27" customHeight="1" x14ac:dyDescent="0.25">
      <c r="A20" s="46" t="s">
        <v>316</v>
      </c>
      <c r="B20" s="46" t="s">
        <v>395</v>
      </c>
      <c r="C20" s="41"/>
      <c r="D20" s="28" t="str">
        <f>IFERROR(INDEX('Specified CCE Model Price List'!$A$3:$O$278,MATCH('Option C_CCE Model selection'!$C20,'Specified CCE Model Price List'!$E$3:$E$278,0),MATCH('Option C_CCE Model selection'!D$4,'Specified CCE Model Price List'!$A$3:$O$3,0)),"")</f>
        <v/>
      </c>
      <c r="E20" s="31" t="str">
        <f>IFERROR(INDEX('Specified CCE Model Price List'!$A$3:$O$278,MATCH('Option C_CCE Model selection'!$C20,'Specified CCE Model Price List'!$E$3:$E$278,0),MATCH('Option C_CCE Model selection'!E$4,'Specified CCE Model Price List'!$A$3:$O$3,0)),"")</f>
        <v/>
      </c>
      <c r="F20" s="31" t="str">
        <f>IFERROR(INDEX('Specified CCE Model Price List'!$A$3:$O$278,MATCH('Option C_CCE Model selection'!$C20,'Specified CCE Model Price List'!$E$3:$E$278,0),MATCH('Option C_CCE Model selection'!F$4,'Specified CCE Model Price List'!$A$3:$O$3,0)),"")</f>
        <v/>
      </c>
      <c r="G20" s="130" t="str">
        <f>IFERROR(INDEX('Specified CCE Model Price List'!$A$3:$O$278,MATCH('Option C_CCE Model selection'!$C20,'Specified CCE Model Price List'!$E$3:$E$278,0),MATCH('Option C_CCE Model selection'!G$4,'Specified CCE Model Price List'!$A$3:$O$3,0)),"")</f>
        <v/>
      </c>
      <c r="H20" s="201"/>
      <c r="I20" s="120" t="str">
        <f>IFERROR(IF(OR(EXACT(A20,'Specified CCE Model Price List'!$AB$14),EXACT(A20,'Specified CCE Model Price List'!$AB$16),EXACT(A20,'Specified CCE Model Price List'!$AB$17),EXACT(A20,'Specified CCE Model Price List'!$AB$18),EXACT(A20,'Specified CCE Model Price List'!$AB$19),EXACT(A20,'Specified CCE Model Price List'!$AB$20),EXACT(A20,'Specified CCE Model Price List'!$AB$21),EXACT(A20,'Specified CCE Model Price List'!$AB$22),EXACT(A20,'Specified CCE Model Price List'!$AB$23),EXACT(A20,'Specified CCE Model Price List'!$AB$24),EXACT(A20,'Specified CCE Model Price List'!$AB$25),EXACT(A20,'Specified CCE Model Price List'!$AB$26),EXACT(A20,'Specified CCE Model Price List'!$AB$27)),"N/A",H20+G20),"")</f>
        <v/>
      </c>
      <c r="J20" s="74"/>
      <c r="K20" s="75" t="str">
        <f t="shared" si="1"/>
        <v/>
      </c>
      <c r="L20" s="55"/>
      <c r="M20" s="170" t="str">
        <f t="shared" si="2"/>
        <v>_10</v>
      </c>
    </row>
    <row r="21" spans="1:13" s="25" customFormat="1" ht="27" customHeight="1" x14ac:dyDescent="0.25">
      <c r="A21" s="46" t="s">
        <v>316</v>
      </c>
      <c r="B21" s="46" t="s">
        <v>395</v>
      </c>
      <c r="C21" s="41"/>
      <c r="D21" s="28" t="str">
        <f>IFERROR(INDEX('Specified CCE Model Price List'!$A$3:$O$278,MATCH('Option C_CCE Model selection'!$C21,'Specified CCE Model Price List'!$E$3:$E$278,0),MATCH('Option C_CCE Model selection'!D$4,'Specified CCE Model Price List'!$A$3:$O$3,0)),"")</f>
        <v/>
      </c>
      <c r="E21" s="31" t="str">
        <f>IFERROR(INDEX('Specified CCE Model Price List'!$A$3:$O$278,MATCH('Option C_CCE Model selection'!$C21,'Specified CCE Model Price List'!$E$3:$E$278,0),MATCH('Option C_CCE Model selection'!E$4,'Specified CCE Model Price List'!$A$3:$O$3,0)),"")</f>
        <v/>
      </c>
      <c r="F21" s="31" t="str">
        <f>IFERROR(INDEX('Specified CCE Model Price List'!$A$3:$O$278,MATCH('Option C_CCE Model selection'!$C21,'Specified CCE Model Price List'!$E$3:$E$278,0),MATCH('Option C_CCE Model selection'!F$4,'Specified CCE Model Price List'!$A$3:$O$3,0)),"")</f>
        <v/>
      </c>
      <c r="G21" s="130" t="str">
        <f>IFERROR(INDEX('Specified CCE Model Price List'!$A$3:$O$278,MATCH('Option C_CCE Model selection'!$C21,'Specified CCE Model Price List'!$E$3:$E$278,0),MATCH('Option C_CCE Model selection'!G$4,'Specified CCE Model Price List'!$A$3:$O$3,0)),"")</f>
        <v/>
      </c>
      <c r="H21" s="201"/>
      <c r="I21" s="120" t="str">
        <f>IFERROR(IF(OR(EXACT(A21,'Specified CCE Model Price List'!$AB$14),EXACT(A21,'Specified CCE Model Price List'!$AB$16),EXACT(A21,'Specified CCE Model Price List'!$AB$17),EXACT(A21,'Specified CCE Model Price List'!$AB$18),EXACT(A21,'Specified CCE Model Price List'!$AB$19),EXACT(A21,'Specified CCE Model Price List'!$AB$20),EXACT(A21,'Specified CCE Model Price List'!$AB$21),EXACT(A21,'Specified CCE Model Price List'!$AB$22),EXACT(A21,'Specified CCE Model Price List'!$AB$23),EXACT(A21,'Specified CCE Model Price List'!$AB$24),EXACT(A21,'Specified CCE Model Price List'!$AB$25),EXACT(A21,'Specified CCE Model Price List'!$AB$26),EXACT(A21,'Specified CCE Model Price List'!$AB$27)),"N/A",H21+G21),"")</f>
        <v/>
      </c>
      <c r="J21" s="74"/>
      <c r="K21" s="75" t="str">
        <f t="shared" si="1"/>
        <v/>
      </c>
      <c r="L21" s="55"/>
      <c r="M21" s="170" t="str">
        <f t="shared" si="2"/>
        <v>_10</v>
      </c>
    </row>
    <row r="22" spans="1:13" s="25" customFormat="1" ht="27" customHeight="1" x14ac:dyDescent="0.25">
      <c r="A22" s="47" t="s">
        <v>317</v>
      </c>
      <c r="B22" s="47" t="s">
        <v>398</v>
      </c>
      <c r="C22" s="41"/>
      <c r="D22" s="28" t="str">
        <f>IFERROR(INDEX('Specified CCE Model Price List'!$A$3:$O$278,MATCH('Option C_CCE Model selection'!$C22,'Specified CCE Model Price List'!$E$3:$E$278,0),MATCH('Option C_CCE Model selection'!D$4,'Specified CCE Model Price List'!$A$3:$O$3,0)),"")</f>
        <v/>
      </c>
      <c r="E22" s="31" t="str">
        <f>IFERROR(INDEX('Specified CCE Model Price List'!$A$3:$O$278,MATCH('Option C_CCE Model selection'!$C22,'Specified CCE Model Price List'!$E$3:$E$278,0),MATCH('Option C_CCE Model selection'!E$4,'Specified CCE Model Price List'!$A$3:$O$3,0)),"")</f>
        <v/>
      </c>
      <c r="F22" s="31" t="str">
        <f>IFERROR(INDEX('Specified CCE Model Price List'!$A$3:$O$278,MATCH('Option C_CCE Model selection'!$C22,'Specified CCE Model Price List'!$E$3:$E$278,0),MATCH('Option C_CCE Model selection'!F$4,'Specified CCE Model Price List'!$A$3:$O$3,0)),"")</f>
        <v/>
      </c>
      <c r="G22" s="130" t="str">
        <f>IFERROR(INDEX('Specified CCE Model Price List'!$A$3:$O$278,MATCH('Option C_CCE Model selection'!$C22,'Specified CCE Model Price List'!$E$3:$E$278,0),MATCH('Option C_CCE Model selection'!G$4,'Specified CCE Model Price List'!$A$3:$O$3,0)),"")</f>
        <v/>
      </c>
      <c r="H22" s="202"/>
      <c r="I22" s="120" t="str">
        <f>IFERROR(IF(OR(EXACT(A22,'Specified CCE Model Price List'!$AB$14),EXACT(A22,'Specified CCE Model Price List'!$AB$16),EXACT(A22,'Specified CCE Model Price List'!$AB$17),EXACT(A22,'Specified CCE Model Price List'!$AB$18),EXACT(A22,'Specified CCE Model Price List'!$AB$19),EXACT(A22,'Specified CCE Model Price List'!$AB$20),EXACT(A22,'Specified CCE Model Price List'!$AB$21),EXACT(A22,'Specified CCE Model Price List'!$AB$22),EXACT(A22,'Specified CCE Model Price List'!$AB$23),EXACT(A22,'Specified CCE Model Price List'!$AB$24),EXACT(A22,'Specified CCE Model Price List'!$AB$25),EXACT(A22,'Specified CCE Model Price List'!$AB$26),EXACT(A22,'Specified CCE Model Price List'!$AB$27)),"N/A",H22+G22),"")</f>
        <v>N/A</v>
      </c>
      <c r="J22" s="74"/>
      <c r="K22" s="75" t="str">
        <f t="shared" si="1"/>
        <v/>
      </c>
      <c r="L22" s="55"/>
      <c r="M22" s="170" t="str">
        <f t="shared" si="2"/>
        <v>_11</v>
      </c>
    </row>
    <row r="23" spans="1:13" s="25" customFormat="1" ht="27" customHeight="1" x14ac:dyDescent="0.25">
      <c r="A23" s="48" t="s">
        <v>318</v>
      </c>
      <c r="B23" s="48" t="s">
        <v>399</v>
      </c>
      <c r="C23" s="41"/>
      <c r="D23" s="28" t="str">
        <f>IFERROR(INDEX('Specified CCE Model Price List'!$A$3:$O$278,MATCH('Option C_CCE Model selection'!$C23,'Specified CCE Model Price List'!$E$3:$E$278,0),MATCH('Option C_CCE Model selection'!D$4,'Specified CCE Model Price List'!$A$3:$O$3,0)),"")</f>
        <v/>
      </c>
      <c r="E23" s="31" t="str">
        <f>IFERROR(INDEX('Specified CCE Model Price List'!$A$3:$O$278,MATCH('Option C_CCE Model selection'!$C23,'Specified CCE Model Price List'!$E$3:$E$278,0),MATCH('Option C_CCE Model selection'!E$4,'Specified CCE Model Price List'!$A$3:$O$3,0)),"")</f>
        <v/>
      </c>
      <c r="F23" s="31" t="str">
        <f>IFERROR(INDEX('Specified CCE Model Price List'!$A$3:$O$278,MATCH('Option C_CCE Model selection'!$C23,'Specified CCE Model Price List'!$E$3:$E$278,0),MATCH('Option C_CCE Model selection'!F$4,'Specified CCE Model Price List'!$A$3:$O$3,0)),"")</f>
        <v/>
      </c>
      <c r="G23" s="130" t="str">
        <f>IFERROR(INDEX('Specified CCE Model Price List'!$A$3:$O$278,MATCH('Option C_CCE Model selection'!$C23,'Specified CCE Model Price List'!$E$3:$E$278,0),MATCH('Option C_CCE Model selection'!G$4,'Specified CCE Model Price List'!$A$3:$O$3,0)),"")</f>
        <v/>
      </c>
      <c r="H23" s="203"/>
      <c r="I23" s="120" t="str">
        <f>IFERROR(IF(OR(EXACT(A23,'Specified CCE Model Price List'!$AB$14),EXACT(A23,'Specified CCE Model Price List'!$AB$16),EXACT(A23,'Specified CCE Model Price List'!$AB$17),EXACT(A23,'Specified CCE Model Price List'!$AB$18),EXACT(A23,'Specified CCE Model Price List'!$AB$19),EXACT(A23,'Specified CCE Model Price List'!$AB$20),EXACT(A23,'Specified CCE Model Price List'!$AB$21),EXACT(A23,'Specified CCE Model Price List'!$AB$22),EXACT(A23,'Specified CCE Model Price List'!$AB$23),EXACT(A23,'Specified CCE Model Price List'!$AB$24),EXACT(A23,'Specified CCE Model Price List'!$AB$25),EXACT(A23,'Specified CCE Model Price List'!$AB$26),EXACT(A23,'Specified CCE Model Price List'!$AB$27)),"N/A",H23+G23),"")</f>
        <v/>
      </c>
      <c r="J23" s="74"/>
      <c r="K23" s="75" t="str">
        <f t="shared" si="1"/>
        <v/>
      </c>
      <c r="L23" s="55"/>
      <c r="M23" s="170" t="str">
        <f t="shared" si="2"/>
        <v>_12</v>
      </c>
    </row>
    <row r="24" spans="1:13" s="25" customFormat="1" ht="27" customHeight="1" x14ac:dyDescent="0.25">
      <c r="A24" s="48" t="s">
        <v>318</v>
      </c>
      <c r="B24" s="48" t="s">
        <v>399</v>
      </c>
      <c r="C24" s="41"/>
      <c r="D24" s="28" t="str">
        <f>IFERROR(INDEX('Specified CCE Model Price List'!$A$3:$O$278,MATCH('Option C_CCE Model selection'!$C24,'Specified CCE Model Price List'!$E$3:$E$278,0),MATCH('Option C_CCE Model selection'!D$4,'Specified CCE Model Price List'!$A$3:$O$3,0)),"")</f>
        <v/>
      </c>
      <c r="E24" s="31" t="str">
        <f>IFERROR(INDEX('Specified CCE Model Price List'!$A$3:$O$278,MATCH('Option C_CCE Model selection'!$C24,'Specified CCE Model Price List'!$E$3:$E$278,0),MATCH('Option C_CCE Model selection'!E$4,'Specified CCE Model Price List'!$A$3:$O$3,0)),"")</f>
        <v/>
      </c>
      <c r="F24" s="31" t="str">
        <f>IFERROR(INDEX('Specified CCE Model Price List'!$A$3:$O$278,MATCH('Option C_CCE Model selection'!$C24,'Specified CCE Model Price List'!$E$3:$E$278,0),MATCH('Option C_CCE Model selection'!F$4,'Specified CCE Model Price List'!$A$3:$O$3,0)),"")</f>
        <v/>
      </c>
      <c r="G24" s="130" t="str">
        <f>IFERROR(INDEX('Specified CCE Model Price List'!$A$3:$O$278,MATCH('Option C_CCE Model selection'!$C24,'Specified CCE Model Price List'!$E$3:$E$278,0),MATCH('Option C_CCE Model selection'!G$4,'Specified CCE Model Price List'!$A$3:$O$3,0)),"")</f>
        <v/>
      </c>
      <c r="H24" s="203"/>
      <c r="I24" s="120" t="str">
        <f>IFERROR(IF(OR(EXACT(A24,'Specified CCE Model Price List'!$AB$14),EXACT(A24,'Specified CCE Model Price List'!$AB$16),EXACT(A24,'Specified CCE Model Price List'!$AB$17),EXACT(A24,'Specified CCE Model Price List'!$AB$18),EXACT(A24,'Specified CCE Model Price List'!$AB$19),EXACT(A24,'Specified CCE Model Price List'!$AB$20),EXACT(A24,'Specified CCE Model Price List'!$AB$21),EXACT(A24,'Specified CCE Model Price List'!$AB$22),EXACT(A24,'Specified CCE Model Price List'!$AB$23),EXACT(A24,'Specified CCE Model Price List'!$AB$24),EXACT(A24,'Specified CCE Model Price List'!$AB$25),EXACT(A24,'Specified CCE Model Price List'!$AB$26),EXACT(A24,'Specified CCE Model Price List'!$AB$27)),"N/A",H24+G24),"")</f>
        <v/>
      </c>
      <c r="J24" s="74"/>
      <c r="K24" s="75" t="str">
        <f t="shared" si="1"/>
        <v/>
      </c>
      <c r="L24" s="55"/>
      <c r="M24" s="170" t="str">
        <f t="shared" si="2"/>
        <v>_12</v>
      </c>
    </row>
    <row r="25" spans="1:13" s="25" customFormat="1" ht="27" customHeight="1" x14ac:dyDescent="0.25">
      <c r="A25" s="48" t="s">
        <v>338</v>
      </c>
      <c r="B25" s="48" t="s">
        <v>402</v>
      </c>
      <c r="C25" s="41"/>
      <c r="D25" s="28" t="str">
        <f>IFERROR(INDEX('Specified CCE Model Price List'!$A$3:$O$278,MATCH('Option C_CCE Model selection'!$C25,'Specified CCE Model Price List'!$E$3:$E$278,0),MATCH('Option C_CCE Model selection'!D$4,'Specified CCE Model Price List'!$A$3:$O$3,0)),"")</f>
        <v/>
      </c>
      <c r="E25" s="31" t="str">
        <f>IFERROR(INDEX('Specified CCE Model Price List'!$A$3:$O$278,MATCH('Option C_CCE Model selection'!$C25,'Specified CCE Model Price List'!$E$3:$E$278,0),MATCH('Option C_CCE Model selection'!E$4,'Specified CCE Model Price List'!$A$3:$O$3,0)),"")</f>
        <v/>
      </c>
      <c r="F25" s="31" t="str">
        <f>IFERROR(INDEX('Specified CCE Model Price List'!$A$3:$O$278,MATCH('Option C_CCE Model selection'!$C25,'Specified CCE Model Price List'!$E$3:$E$278,0),MATCH('Option C_CCE Model selection'!F$4,'Specified CCE Model Price List'!$A$3:$O$3,0)),"")</f>
        <v/>
      </c>
      <c r="G25" s="130" t="str">
        <f>IFERROR(INDEX('Specified CCE Model Price List'!$A$3:$O$278,MATCH('Option C_CCE Model selection'!$C25,'Specified CCE Model Price List'!$E$3:$E$278,0),MATCH('Option C_CCE Model selection'!G$4,'Specified CCE Model Price List'!$A$3:$O$3,0)),"")</f>
        <v/>
      </c>
      <c r="H25" s="202"/>
      <c r="I25" s="120" t="str">
        <f>IFERROR(IF(OR(EXACT(A25,'Specified CCE Model Price List'!$AB$14),EXACT(A25,'Specified CCE Model Price List'!$AB$16),EXACT(A25,'Specified CCE Model Price List'!$AB$17),EXACT(A25,'Specified CCE Model Price List'!$AB$18),EXACT(A25,'Specified CCE Model Price List'!$AB$19),EXACT(A25,'Specified CCE Model Price List'!$AB$20),EXACT(A25,'Specified CCE Model Price List'!$AB$21),EXACT(A25,'Specified CCE Model Price List'!$AB$22),EXACT(A25,'Specified CCE Model Price List'!$AB$23),EXACT(A25,'Specified CCE Model Price List'!$AB$24),EXACT(A25,'Specified CCE Model Price List'!$AB$25),EXACT(A25,'Specified CCE Model Price List'!$AB$26),EXACT(A25,'Specified CCE Model Price List'!$AB$27)),"N/A",H25+G25),"")</f>
        <v>N/A</v>
      </c>
      <c r="J25" s="74"/>
      <c r="K25" s="75" t="str">
        <f t="shared" si="1"/>
        <v/>
      </c>
      <c r="L25" s="55"/>
      <c r="M25" s="170" t="str">
        <f t="shared" si="2"/>
        <v>_13</v>
      </c>
    </row>
    <row r="26" spans="1:13" s="25" customFormat="1" ht="27" customHeight="1" x14ac:dyDescent="0.25">
      <c r="A26" s="48" t="s">
        <v>339</v>
      </c>
      <c r="B26" s="48" t="s">
        <v>403</v>
      </c>
      <c r="C26" s="41"/>
      <c r="D26" s="28" t="str">
        <f>IFERROR(INDEX('Specified CCE Model Price List'!$A$3:$O$278,MATCH('Option C_CCE Model selection'!$C26,'Specified CCE Model Price List'!$E$3:$E$278,0),MATCH('Option C_CCE Model selection'!D$4,'Specified CCE Model Price List'!$A$3:$O$3,0)),"")</f>
        <v/>
      </c>
      <c r="E26" s="31" t="str">
        <f>IFERROR(INDEX('Specified CCE Model Price List'!$A$3:$O$278,MATCH('Option C_CCE Model selection'!$C26,'Specified CCE Model Price List'!$E$3:$E$278,0),MATCH('Option C_CCE Model selection'!E$4,'Specified CCE Model Price List'!$A$3:$O$3,0)),"")</f>
        <v/>
      </c>
      <c r="F26" s="31" t="str">
        <f>IFERROR(INDEX('Specified CCE Model Price List'!$A$3:$O$278,MATCH('Option C_CCE Model selection'!$C26,'Specified CCE Model Price List'!$E$3:$E$278,0),MATCH('Option C_CCE Model selection'!F$4,'Specified CCE Model Price List'!$A$3:$O$3,0)),"")</f>
        <v/>
      </c>
      <c r="G26" s="130" t="str">
        <f>IFERROR(INDEX('Specified CCE Model Price List'!$A$3:$O$278,MATCH('Option C_CCE Model selection'!$C26,'Specified CCE Model Price List'!$E$3:$E$278,0),MATCH('Option C_CCE Model selection'!G$4,'Specified CCE Model Price List'!$A$3:$O$3,0)),"")</f>
        <v/>
      </c>
      <c r="H26" s="202"/>
      <c r="I26" s="120" t="str">
        <f>IFERROR(IF(OR(EXACT(A26,'Specified CCE Model Price List'!$AB$14),EXACT(A26,'Specified CCE Model Price List'!$AB$16),EXACT(A26,'Specified CCE Model Price List'!$AB$17),EXACT(A26,'Specified CCE Model Price List'!$AB$18),EXACT(A26,'Specified CCE Model Price List'!$AB$19),EXACT(A26,'Specified CCE Model Price List'!$AB$20),EXACT(A26,'Specified CCE Model Price List'!$AB$21),EXACT(A26,'Specified CCE Model Price List'!$AB$22),EXACT(A26,'Specified CCE Model Price List'!$AB$23),EXACT(A26,'Specified CCE Model Price List'!$AB$24),EXACT(A26,'Specified CCE Model Price List'!$AB$25),EXACT(A26,'Specified CCE Model Price List'!$AB$26),EXACT(A26,'Specified CCE Model Price List'!$AB$27)),"N/A",H26+G26),"")</f>
        <v>N/A</v>
      </c>
      <c r="J26" s="74"/>
      <c r="K26" s="75" t="str">
        <f t="shared" si="1"/>
        <v/>
      </c>
      <c r="L26" s="55"/>
      <c r="M26" s="170" t="str">
        <f t="shared" si="2"/>
        <v>_14</v>
      </c>
    </row>
    <row r="27" spans="1:13" s="25" customFormat="1" ht="27" customHeight="1" x14ac:dyDescent="0.25">
      <c r="A27" s="49" t="s">
        <v>345</v>
      </c>
      <c r="B27" s="49" t="s">
        <v>404</v>
      </c>
      <c r="C27" s="41"/>
      <c r="D27" s="28" t="str">
        <f>IFERROR(INDEX('Specified CCE Model Price List'!$A$3:$O$278,MATCH('Option C_CCE Model selection'!$C27,'Specified CCE Model Price List'!$E$3:$E$278,0),MATCH('Option C_CCE Model selection'!D$4,'Specified CCE Model Price List'!$A$3:$O$3,0)),"")</f>
        <v/>
      </c>
      <c r="E27" s="31" t="str">
        <f>IFERROR(INDEX('Specified CCE Model Price List'!$A$3:$O$278,MATCH('Option C_CCE Model selection'!$C27,'Specified CCE Model Price List'!$E$3:$E$278,0),MATCH('Option C_CCE Model selection'!E$4,'Specified CCE Model Price List'!$A$3:$O$3,0)),"")</f>
        <v/>
      </c>
      <c r="F27" s="31" t="str">
        <f>IFERROR(INDEX('Specified CCE Model Price List'!$A$3:$O$278,MATCH('Option C_CCE Model selection'!$C27,'Specified CCE Model Price List'!$E$3:$E$278,0),MATCH('Option C_CCE Model selection'!F$4,'Specified CCE Model Price List'!$A$3:$O$3,0)),"")</f>
        <v/>
      </c>
      <c r="G27" s="130" t="str">
        <f>IFERROR(INDEX('Specified CCE Model Price List'!$A$3:$O$278,MATCH('Option C_CCE Model selection'!$C27,'Specified CCE Model Price List'!$E$3:$E$278,0),MATCH('Option C_CCE Model selection'!G$4,'Specified CCE Model Price List'!$A$3:$O$3,0)),"")</f>
        <v/>
      </c>
      <c r="H27" s="202"/>
      <c r="I27" s="120" t="str">
        <f>IFERROR(IF(OR(EXACT(A27,'Specified CCE Model Price List'!$AB$14),EXACT(A27,'Specified CCE Model Price List'!$AB$16),EXACT(A27,'Specified CCE Model Price List'!$AB$17),EXACT(A27,'Specified CCE Model Price List'!$AB$18),EXACT(A27,'Specified CCE Model Price List'!$AB$19),EXACT(A27,'Specified CCE Model Price List'!$AB$20),EXACT(A27,'Specified CCE Model Price List'!$AB$21),EXACT(A27,'Specified CCE Model Price List'!$AB$22),EXACT(A27,'Specified CCE Model Price List'!$AB$23),EXACT(A27,'Specified CCE Model Price List'!$AB$24),EXACT(A27,'Specified CCE Model Price List'!$AB$25),EXACT(A27,'Specified CCE Model Price List'!$AB$26),EXACT(A27,'Specified CCE Model Price List'!$AB$27)),"N/A",H27+G27),"")</f>
        <v>N/A</v>
      </c>
      <c r="J27" s="74"/>
      <c r="K27" s="75" t="str">
        <f t="shared" si="1"/>
        <v/>
      </c>
      <c r="L27" s="55"/>
      <c r="M27" s="170" t="str">
        <f t="shared" si="2"/>
        <v>_15</v>
      </c>
    </row>
    <row r="28" spans="1:13" s="25" customFormat="1" ht="27" customHeight="1" x14ac:dyDescent="0.25">
      <c r="A28" s="49" t="s">
        <v>340</v>
      </c>
      <c r="B28" s="49" t="s">
        <v>405</v>
      </c>
      <c r="C28" s="41"/>
      <c r="D28" s="28" t="str">
        <f>IFERROR(INDEX('Specified CCE Model Price List'!$A$3:$O$278,MATCH('Option C_CCE Model selection'!$C28,'Specified CCE Model Price List'!$E$3:$E$278,0),MATCH('Option C_CCE Model selection'!D$4,'Specified CCE Model Price List'!$A$3:$O$3,0)),"")</f>
        <v/>
      </c>
      <c r="E28" s="31" t="str">
        <f>IFERROR(INDEX('Specified CCE Model Price List'!$A$3:$O$278,MATCH('Option C_CCE Model selection'!$C28,'Specified CCE Model Price List'!$E$3:$E$278,0),MATCH('Option C_CCE Model selection'!E$4,'Specified CCE Model Price List'!$A$3:$O$3,0)),"")</f>
        <v/>
      </c>
      <c r="F28" s="31" t="str">
        <f>IFERROR(INDEX('Specified CCE Model Price List'!$A$3:$O$278,MATCH('Option C_CCE Model selection'!$C28,'Specified CCE Model Price List'!$E$3:$E$278,0),MATCH('Option C_CCE Model selection'!F$4,'Specified CCE Model Price List'!$A$3:$O$3,0)),"")</f>
        <v/>
      </c>
      <c r="G28" s="130" t="str">
        <f>IFERROR(INDEX('Specified CCE Model Price List'!$A$3:$O$278,MATCH('Option C_CCE Model selection'!$C28,'Specified CCE Model Price List'!$E$3:$E$278,0),MATCH('Option C_CCE Model selection'!G$4,'Specified CCE Model Price List'!$A$3:$O$3,0)),"")</f>
        <v/>
      </c>
      <c r="H28" s="202"/>
      <c r="I28" s="120" t="str">
        <f>IFERROR(IF(OR(EXACT(A28,'Specified CCE Model Price List'!$AB$14),EXACT(A28,'Specified CCE Model Price List'!$AB$16),EXACT(A28,'Specified CCE Model Price List'!$AB$17),EXACT(A28,'Specified CCE Model Price List'!$AB$18),EXACT(A28,'Specified CCE Model Price List'!$AB$19),EXACT(A28,'Specified CCE Model Price List'!$AB$20),EXACT(A28,'Specified CCE Model Price List'!$AB$21),EXACT(A28,'Specified CCE Model Price List'!$AB$22),EXACT(A28,'Specified CCE Model Price List'!$AB$23),EXACT(A28,'Specified CCE Model Price List'!$AB$24),EXACT(A28,'Specified CCE Model Price List'!$AB$25),EXACT(A28,'Specified CCE Model Price List'!$AB$26),EXACT(A28,'Specified CCE Model Price List'!$AB$27)),"N/A",H28+G28),"")</f>
        <v>N/A</v>
      </c>
      <c r="J28" s="74"/>
      <c r="K28" s="75" t="str">
        <f t="shared" si="1"/>
        <v/>
      </c>
      <c r="L28" s="55"/>
      <c r="M28" s="170" t="str">
        <f t="shared" si="2"/>
        <v>_16</v>
      </c>
    </row>
    <row r="29" spans="1:13" s="25" customFormat="1" ht="27" customHeight="1" x14ac:dyDescent="0.25">
      <c r="A29" s="50" t="s">
        <v>342</v>
      </c>
      <c r="B29" s="50" t="s">
        <v>406</v>
      </c>
      <c r="C29" s="41"/>
      <c r="D29" s="28" t="str">
        <f>IFERROR(INDEX('Specified CCE Model Price List'!$A$3:$O$278,MATCH('Option C_CCE Model selection'!$C29,'Specified CCE Model Price List'!$E$3:$E$278,0),MATCH('Option C_CCE Model selection'!D$4,'Specified CCE Model Price List'!$A$3:$O$3,0)),"")</f>
        <v/>
      </c>
      <c r="E29" s="31" t="str">
        <f>IFERROR(INDEX('Specified CCE Model Price List'!$A$3:$O$278,MATCH('Option C_CCE Model selection'!$C29,'Specified CCE Model Price List'!$E$3:$E$278,0),MATCH('Option C_CCE Model selection'!E$4,'Specified CCE Model Price List'!$A$3:$O$3,0)),"")</f>
        <v/>
      </c>
      <c r="F29" s="31" t="str">
        <f>IFERROR(INDEX('Specified CCE Model Price List'!$A$3:$O$278,MATCH('Option C_CCE Model selection'!$C29,'Specified CCE Model Price List'!$E$3:$E$278,0),MATCH('Option C_CCE Model selection'!F$4,'Specified CCE Model Price List'!$A$3:$O$3,0)),"")</f>
        <v/>
      </c>
      <c r="G29" s="130" t="str">
        <f>IFERROR(INDEX('Specified CCE Model Price List'!$A$3:$O$278,MATCH('Option C_CCE Model selection'!$C29,'Specified CCE Model Price List'!$E$3:$E$278,0),MATCH('Option C_CCE Model selection'!G$4,'Specified CCE Model Price List'!$A$3:$O$3,0)),"")</f>
        <v/>
      </c>
      <c r="H29" s="202"/>
      <c r="I29" s="120" t="str">
        <f>IFERROR(IF(OR(EXACT(A29,'Specified CCE Model Price List'!$AB$14),EXACT(A29,'Specified CCE Model Price List'!$AB$16),EXACT(A29,'Specified CCE Model Price List'!$AB$17),EXACT(A29,'Specified CCE Model Price List'!$AB$18),EXACT(A29,'Specified CCE Model Price List'!$AB$19),EXACT(A29,'Specified CCE Model Price List'!$AB$20),EXACT(A29,'Specified CCE Model Price List'!$AB$21),EXACT(A29,'Specified CCE Model Price List'!$AB$22),EXACT(A29,'Specified CCE Model Price List'!$AB$23),EXACT(A29,'Specified CCE Model Price List'!$AB$24),EXACT(A29,'Specified CCE Model Price List'!$AB$25),EXACT(A29,'Specified CCE Model Price List'!$AB$26),EXACT(A29,'Specified CCE Model Price List'!$AB$27)),"N/A",H29+G29),"")</f>
        <v>N/A</v>
      </c>
      <c r="J29" s="74"/>
      <c r="K29" s="75" t="str">
        <f t="shared" si="1"/>
        <v/>
      </c>
      <c r="L29" s="55"/>
      <c r="M29" s="170" t="str">
        <f t="shared" si="2"/>
        <v>_17</v>
      </c>
    </row>
    <row r="30" spans="1:13" s="25" customFormat="1" ht="27" customHeight="1" x14ac:dyDescent="0.25">
      <c r="A30" s="51" t="s">
        <v>2144</v>
      </c>
      <c r="B30" s="51" t="s">
        <v>2169</v>
      </c>
      <c r="C30" s="41"/>
      <c r="D30" s="28" t="str">
        <f>IFERROR(INDEX('Specified CCE Model Price List'!$A$3:$O$278,MATCH('Option C_CCE Model selection'!$C30,'Specified CCE Model Price List'!$E$3:$E$278,0),MATCH('Option C_CCE Model selection'!D$4,'Specified CCE Model Price List'!$A$3:$O$3,0)),"")</f>
        <v/>
      </c>
      <c r="E30" s="31" t="str">
        <f>IFERROR(INDEX('Specified CCE Model Price List'!$A$3:$O$278,MATCH('Option C_CCE Model selection'!$C30,'Specified CCE Model Price List'!$E$3:$E$278,0),MATCH('Option C_CCE Model selection'!E$4,'Specified CCE Model Price List'!$A$3:$O$3,0)),"")</f>
        <v/>
      </c>
      <c r="F30" s="31" t="str">
        <f>IFERROR(INDEX('Specified CCE Model Price List'!$A$3:$O$278,MATCH('Option C_CCE Model selection'!$C30,'Specified CCE Model Price List'!$E$3:$E$278,0),MATCH('Option C_CCE Model selection'!F$4,'Specified CCE Model Price List'!$A$3:$O$3,0)),"")</f>
        <v/>
      </c>
      <c r="G30" s="204" t="str">
        <f>IFERROR(INDEX('Specified CCE Model Price List'!$A$3:$O$278,MATCH('Option C_CCE Model selection'!$C30,'Specified CCE Model Price List'!$E$3:$E$278,0),MATCH('Option C_CCE Model selection'!G$4,'Specified CCE Model Price List'!$A$3:$O$3,0)),"")</f>
        <v/>
      </c>
      <c r="H30" s="202"/>
      <c r="I30" s="120" t="str">
        <f>IFERROR(IF(OR(EXACT(A30,'Specified CCE Model Price List'!$AB$14),EXACT(A30,'Specified CCE Model Price List'!$AB$16),EXACT(A30,'Specified CCE Model Price List'!$AB$17),EXACT(A30,'Specified CCE Model Price List'!$AB$18),EXACT(A30,'Specified CCE Model Price List'!$AB$19),EXACT(A30,'Specified CCE Model Price List'!$AB$20),EXACT(A30,'Specified CCE Model Price List'!$AB$21),EXACT(A30,'Specified CCE Model Price List'!$AB$22),EXACT(A30,'Specified CCE Model Price List'!$AB$23),EXACT(A30,'Specified CCE Model Price List'!$AB$24),EXACT(A30,'Specified CCE Model Price List'!$AB$25),EXACT(A30,'Specified CCE Model Price List'!$AB$26),EXACT(A30,'Specified CCE Model Price List'!$AB$27)),"N/A",H30+G30),"")</f>
        <v>N/A</v>
      </c>
      <c r="J30" s="74"/>
      <c r="K30" s="75" t="str">
        <f t="shared" si="1"/>
        <v/>
      </c>
      <c r="L30" s="55"/>
      <c r="M30" s="170" t="str">
        <f t="shared" si="2"/>
        <v>_18</v>
      </c>
    </row>
    <row r="31" spans="1:13" s="25" customFormat="1" ht="27" customHeight="1" x14ac:dyDescent="0.25">
      <c r="A31" s="52" t="s">
        <v>2162</v>
      </c>
      <c r="B31" s="51" t="s">
        <v>2168</v>
      </c>
      <c r="C31" s="41"/>
      <c r="D31" s="28" t="str">
        <f>IFERROR(INDEX('Specified CCE Model Price List'!$A$3:$O$278,MATCH('Option C_CCE Model selection'!$C31,'Specified CCE Model Price List'!$E$3:$E$278,0),MATCH('Option C_CCE Model selection'!D$4,'Specified CCE Model Price List'!$A$3:$O$3,0)),"")</f>
        <v/>
      </c>
      <c r="E31" s="31" t="str">
        <f>IFERROR(INDEX('Specified CCE Model Price List'!$A$3:$O$278,MATCH('Option C_CCE Model selection'!$C31,'Specified CCE Model Price List'!$E$3:$E$278,0),MATCH('Option C_CCE Model selection'!E$4,'Specified CCE Model Price List'!$A$3:$O$3,0)),"")</f>
        <v/>
      </c>
      <c r="F31" s="31" t="str">
        <f>IFERROR(INDEX('Specified CCE Model Price List'!$A$3:$O$278,MATCH('Option C_CCE Model selection'!$C31,'Specified CCE Model Price List'!$E$3:$E$278,0),MATCH('Option C_CCE Model selection'!F$4,'Specified CCE Model Price List'!$A$3:$O$3,0)),"")</f>
        <v/>
      </c>
      <c r="G31" s="204" t="str">
        <f>IFERROR(INDEX('Specified CCE Model Price List'!$A$3:$O$278,MATCH('Option C_CCE Model selection'!$C31,'Specified CCE Model Price List'!$E$3:$E$278,0),MATCH('Option C_CCE Model selection'!G$4,'Specified CCE Model Price List'!$A$3:$O$3,0)),"")</f>
        <v/>
      </c>
      <c r="H31" s="202"/>
      <c r="I31" s="120" t="str">
        <f>IFERROR(IF(OR(EXACT(A31,'Specified CCE Model Price List'!$AB$14),EXACT(A31,'Specified CCE Model Price List'!$AB$16),EXACT(A31,'Specified CCE Model Price List'!$AB$17),EXACT(A31,'Specified CCE Model Price List'!$AB$18),EXACT(A31,'Specified CCE Model Price List'!$AB$19),EXACT(A31,'Specified CCE Model Price List'!$AB$20),EXACT(A31,'Specified CCE Model Price List'!$AB$21),EXACT(A31,'Specified CCE Model Price List'!$AB$22),EXACT(A31,'Specified CCE Model Price List'!$AB$23),EXACT(A31,'Specified CCE Model Price List'!$AB$24),EXACT(A31,'Specified CCE Model Price List'!$AB$25),EXACT(A31,'Specified CCE Model Price List'!$AB$26),EXACT(A31,'Specified CCE Model Price List'!$AB$27)),"N/A",H31+G31),"")</f>
        <v>N/A</v>
      </c>
      <c r="J31" s="74"/>
      <c r="K31" s="75" t="str">
        <f t="shared" si="1"/>
        <v/>
      </c>
      <c r="L31" s="55"/>
      <c r="M31" s="170" t="str">
        <f t="shared" si="2"/>
        <v>_19</v>
      </c>
    </row>
    <row r="32" spans="1:13" s="25" customFormat="1" ht="27" customHeight="1" x14ac:dyDescent="0.25">
      <c r="A32" s="52" t="s">
        <v>2163</v>
      </c>
      <c r="B32" s="52" t="s">
        <v>2170</v>
      </c>
      <c r="C32" s="41"/>
      <c r="D32" s="28" t="str">
        <f>IFERROR(INDEX('Specified CCE Model Price List'!$A$3:$O$278,MATCH('Option C_CCE Model selection'!$C32,'Specified CCE Model Price List'!$E$3:$E$278,0),MATCH('Option C_CCE Model selection'!D$4,'Specified CCE Model Price List'!$A$3:$O$3,0)),"")</f>
        <v/>
      </c>
      <c r="E32" s="31" t="str">
        <f>IFERROR(INDEX('Specified CCE Model Price List'!$A$3:$O$278,MATCH('Option C_CCE Model selection'!$C32,'Specified CCE Model Price List'!$E$3:$E$278,0),MATCH('Option C_CCE Model selection'!E$4,'Specified CCE Model Price List'!$A$3:$O$3,0)),"")</f>
        <v/>
      </c>
      <c r="F32" s="31" t="str">
        <f>IFERROR(INDEX('Specified CCE Model Price List'!$A$3:$O$278,MATCH('Option C_CCE Model selection'!$C32,'Specified CCE Model Price List'!$E$3:$E$278,0),MATCH('Option C_CCE Model selection'!F$4,'Specified CCE Model Price List'!$A$3:$O$3,0)),"")</f>
        <v/>
      </c>
      <c r="G32" s="204" t="str">
        <f>IFERROR(INDEX('Specified CCE Model Price List'!$A$3:$O$278,MATCH('Option C_CCE Model selection'!$C32,'Specified CCE Model Price List'!$E$3:$E$278,0),MATCH('Option C_CCE Model selection'!G$4,'Specified CCE Model Price List'!$A$3:$O$3,0)),"")</f>
        <v/>
      </c>
      <c r="H32" s="202"/>
      <c r="I32" s="120" t="str">
        <f>IFERROR(IF(OR(EXACT(A32,'Specified CCE Model Price List'!$AB$14),EXACT(A32,'Specified CCE Model Price List'!$AB$16),EXACT(A32,'Specified CCE Model Price List'!$AB$17),EXACT(A32,'Specified CCE Model Price List'!$AB$18),EXACT(A32,'Specified CCE Model Price List'!$AB$19),EXACT(A32,'Specified CCE Model Price List'!$AB$20),EXACT(A32,'Specified CCE Model Price List'!$AB$21),EXACT(A32,'Specified CCE Model Price List'!$AB$22),EXACT(A32,'Specified CCE Model Price List'!$AB$23),EXACT(A32,'Specified CCE Model Price List'!$AB$24),EXACT(A32,'Specified CCE Model Price List'!$AB$25),EXACT(A32,'Specified CCE Model Price List'!$AB$26),EXACT(A32,'Specified CCE Model Price List'!$AB$27)),"N/A",H32+G32),"")</f>
        <v>N/A</v>
      </c>
      <c r="J32" s="74"/>
      <c r="K32" s="75" t="str">
        <f t="shared" si="1"/>
        <v/>
      </c>
      <c r="L32" s="55"/>
      <c r="M32" s="170" t="str">
        <f t="shared" si="2"/>
        <v>_20</v>
      </c>
    </row>
    <row r="33" spans="1:13" s="25" customFormat="1" ht="27" customHeight="1" x14ac:dyDescent="0.25">
      <c r="A33" s="122" t="s">
        <v>2164</v>
      </c>
      <c r="B33" s="52" t="s">
        <v>2171</v>
      </c>
      <c r="C33" s="41"/>
      <c r="D33" s="28" t="str">
        <f>IFERROR(INDEX('Specified CCE Model Price List'!$A$3:$O$278,MATCH('Option C_CCE Model selection'!$C33,'Specified CCE Model Price List'!$E$3:$E$278,0),MATCH('Option C_CCE Model selection'!D$4,'Specified CCE Model Price List'!$A$3:$O$3,0)),"")</f>
        <v/>
      </c>
      <c r="E33" s="31" t="str">
        <f>IFERROR(INDEX('Specified CCE Model Price List'!$A$3:$O$278,MATCH('Option C_CCE Model selection'!$C33,'Specified CCE Model Price List'!$E$3:$E$278,0),MATCH('Option C_CCE Model selection'!E$4,'Specified CCE Model Price List'!$A$3:$O$3,0)),"")</f>
        <v/>
      </c>
      <c r="F33" s="31" t="str">
        <f>IFERROR(INDEX('Specified CCE Model Price List'!$A$3:$O$278,MATCH('Option C_CCE Model selection'!$C33,'Specified CCE Model Price List'!$E$3:$E$278,0),MATCH('Option C_CCE Model selection'!F$4,'Specified CCE Model Price List'!$A$3:$O$3,0)),"")</f>
        <v/>
      </c>
      <c r="G33" s="204" t="str">
        <f>IFERROR(INDEX('Specified CCE Model Price List'!$A$3:$O$278,MATCH('Option C_CCE Model selection'!$C33,'Specified CCE Model Price List'!$E$3:$E$278,0),MATCH('Option C_CCE Model selection'!G$4,'Specified CCE Model Price List'!$A$3:$O$3,0)),"")</f>
        <v/>
      </c>
      <c r="H33" s="202"/>
      <c r="I33" s="120" t="str">
        <f>IFERROR(IF(OR(EXACT(A33,'Specified CCE Model Price List'!$AB$14),EXACT(A33,'Specified CCE Model Price List'!$AB$16),EXACT(A33,'Specified CCE Model Price List'!$AB$17),EXACT(A33,'Specified CCE Model Price List'!$AB$18),EXACT(A33,'Specified CCE Model Price List'!$AB$19),EXACT(A33,'Specified CCE Model Price List'!$AB$20),EXACT(A33,'Specified CCE Model Price List'!$AB$21),EXACT(A33,'Specified CCE Model Price List'!$AB$22),EXACT(A33,'Specified CCE Model Price List'!$AB$23),EXACT(A33,'Specified CCE Model Price List'!$AB$24),EXACT(A33,'Specified CCE Model Price List'!$AB$25),EXACT(A33,'Specified CCE Model Price List'!$AB$26),EXACT(A33,'Specified CCE Model Price List'!$AB$27)),"N/A",H33+G33),"")</f>
        <v>N/A</v>
      </c>
      <c r="J33" s="74"/>
      <c r="K33" s="75" t="str">
        <f t="shared" si="1"/>
        <v/>
      </c>
      <c r="L33" s="55"/>
      <c r="M33" s="170" t="str">
        <f t="shared" si="2"/>
        <v>_21</v>
      </c>
    </row>
    <row r="34" spans="1:13" s="25" customFormat="1" ht="27" customHeight="1" x14ac:dyDescent="0.25">
      <c r="A34" s="122" t="s">
        <v>2165</v>
      </c>
      <c r="B34" s="122" t="s">
        <v>2172</v>
      </c>
      <c r="C34" s="41"/>
      <c r="D34" s="28" t="str">
        <f>IFERROR(INDEX('Specified CCE Model Price List'!$A$3:$O$278,MATCH('Option C_CCE Model selection'!$C34,'Specified CCE Model Price List'!$E$3:$E$278,0),MATCH('Option C_CCE Model selection'!D$4,'Specified CCE Model Price List'!$A$3:$O$3,0)),"")</f>
        <v/>
      </c>
      <c r="E34" s="31" t="str">
        <f>IFERROR(INDEX('Specified CCE Model Price List'!$A$3:$O$278,MATCH('Option C_CCE Model selection'!$C34,'Specified CCE Model Price List'!$E$3:$E$278,0),MATCH('Option C_CCE Model selection'!E$4,'Specified CCE Model Price List'!$A$3:$O$3,0)),"")</f>
        <v/>
      </c>
      <c r="F34" s="31" t="str">
        <f>IFERROR(INDEX('Specified CCE Model Price List'!$A$3:$O$278,MATCH('Option C_CCE Model selection'!$C34,'Specified CCE Model Price List'!$E$3:$E$278,0),MATCH('Option C_CCE Model selection'!F$4,'Specified CCE Model Price List'!$A$3:$O$3,0)),"")</f>
        <v/>
      </c>
      <c r="G34" s="204" t="str">
        <f>IFERROR(INDEX('Specified CCE Model Price List'!$A$3:$O$278,MATCH('Option C_CCE Model selection'!$C34,'Specified CCE Model Price List'!$E$3:$E$278,0),MATCH('Option C_CCE Model selection'!G$4,'Specified CCE Model Price List'!$A$3:$O$3,0)),"")</f>
        <v/>
      </c>
      <c r="H34" s="202"/>
      <c r="I34" s="120" t="str">
        <f>IFERROR(IF(OR(EXACT(A34,'Specified CCE Model Price List'!$AB$14),EXACT(A34,'Specified CCE Model Price List'!$AB$16),EXACT(A34,'Specified CCE Model Price List'!$AB$17),EXACT(A34,'Specified CCE Model Price List'!$AB$18),EXACT(A34,'Specified CCE Model Price List'!$AB$19),EXACT(A34,'Specified CCE Model Price List'!$AB$20),EXACT(A34,'Specified CCE Model Price List'!$AB$21),EXACT(A34,'Specified CCE Model Price List'!$AB$22),EXACT(A34,'Specified CCE Model Price List'!$AB$23),EXACT(A34,'Specified CCE Model Price List'!$AB$24),EXACT(A34,'Specified CCE Model Price List'!$AB$25),EXACT(A34,'Specified CCE Model Price List'!$AB$26),EXACT(A34,'Specified CCE Model Price List'!$AB$27)),"N/A",H34+G34),"")</f>
        <v>N/A</v>
      </c>
      <c r="J34" s="74"/>
      <c r="K34" s="75" t="str">
        <f t="shared" si="1"/>
        <v/>
      </c>
      <c r="L34" s="55"/>
      <c r="M34" s="170" t="str">
        <f t="shared" si="2"/>
        <v>_22</v>
      </c>
    </row>
    <row r="35" spans="1:13" s="25" customFormat="1" ht="27" customHeight="1" x14ac:dyDescent="0.25">
      <c r="A35" s="122" t="s">
        <v>2166</v>
      </c>
      <c r="B35" s="122" t="s">
        <v>2173</v>
      </c>
      <c r="C35" s="41"/>
      <c r="D35" s="28" t="str">
        <f>IFERROR(INDEX('Specified CCE Model Price List'!$A$3:$O$278,MATCH('Option C_CCE Model selection'!$C35,'Specified CCE Model Price List'!$E$3:$E$278,0),MATCH('Option C_CCE Model selection'!D$4,'Specified CCE Model Price List'!$A$3:$O$3,0)),"")</f>
        <v/>
      </c>
      <c r="E35" s="31" t="str">
        <f>IFERROR(INDEX('Specified CCE Model Price List'!$A$3:$O$278,MATCH('Option C_CCE Model selection'!$C35,'Specified CCE Model Price List'!$E$3:$E$278,0),MATCH('Option C_CCE Model selection'!E$4,'Specified CCE Model Price List'!$A$3:$O$3,0)),"")</f>
        <v/>
      </c>
      <c r="F35" s="31" t="str">
        <f>IFERROR(INDEX('Specified CCE Model Price List'!$A$3:$O$278,MATCH('Option C_CCE Model selection'!$C35,'Specified CCE Model Price List'!$E$3:$E$278,0),MATCH('Option C_CCE Model selection'!F$4,'Specified CCE Model Price List'!$A$3:$O$3,0)),"")</f>
        <v/>
      </c>
      <c r="G35" s="204" t="str">
        <f>IFERROR(INDEX('Specified CCE Model Price List'!$A$3:$O$278,MATCH('Option C_CCE Model selection'!$C35,'Specified CCE Model Price List'!$E$3:$E$278,0),MATCH('Option C_CCE Model selection'!G$4,'Specified CCE Model Price List'!$A$3:$O$3,0)),"")</f>
        <v/>
      </c>
      <c r="H35" s="202"/>
      <c r="I35" s="120" t="str">
        <f>IFERROR(IF(OR(EXACT(A35,'Specified CCE Model Price List'!$AB$14),EXACT(A35,'Specified CCE Model Price List'!$AB$16),EXACT(A35,'Specified CCE Model Price List'!$AB$17),EXACT(A35,'Specified CCE Model Price List'!$AB$18),EXACT(A35,'Specified CCE Model Price List'!$AB$19),EXACT(A35,'Specified CCE Model Price List'!$AB$20),EXACT(A35,'Specified CCE Model Price List'!$AB$21),EXACT(A35,'Specified CCE Model Price List'!$AB$22),EXACT(A35,'Specified CCE Model Price List'!$AB$23),EXACT(A35,'Specified CCE Model Price List'!$AB$24),EXACT(A35,'Specified CCE Model Price List'!$AB$25),EXACT(A35,'Specified CCE Model Price List'!$AB$26),EXACT(A35,'Specified CCE Model Price List'!$AB$27)),"N/A",H35+G35),"")</f>
        <v>N/A</v>
      </c>
      <c r="J35" s="74"/>
      <c r="K35" s="75"/>
      <c r="L35" s="55"/>
      <c r="M35" s="170" t="str">
        <f t="shared" si="2"/>
        <v>_23</v>
      </c>
    </row>
    <row r="36" spans="1:13" s="25" customFormat="1" ht="27" customHeight="1" x14ac:dyDescent="0.25">
      <c r="A36" s="122" t="s">
        <v>2167</v>
      </c>
      <c r="B36" s="122" t="s">
        <v>2174</v>
      </c>
      <c r="C36" s="41"/>
      <c r="D36" s="28" t="str">
        <f>IFERROR(INDEX('Specified CCE Model Price List'!$A$3:$O$278,MATCH('Option C_CCE Model selection'!$C36,'Specified CCE Model Price List'!$E$3:$E$278,0),MATCH('Option C_CCE Model selection'!D$4,'Specified CCE Model Price List'!$A$3:$O$3,0)),"")</f>
        <v/>
      </c>
      <c r="E36" s="31" t="str">
        <f>IFERROR(INDEX('Specified CCE Model Price List'!$A$3:$O$278,MATCH('Option C_CCE Model selection'!$C36,'Specified CCE Model Price List'!$E$3:$E$278,0),MATCH('Option C_CCE Model selection'!E$4,'Specified CCE Model Price List'!$A$3:$O$3,0)),"")</f>
        <v/>
      </c>
      <c r="F36" s="31" t="str">
        <f>IFERROR(INDEX('Specified CCE Model Price List'!$A$3:$O$278,MATCH('Option C_CCE Model selection'!$C36,'Specified CCE Model Price List'!$E$3:$E$278,0),MATCH('Option C_CCE Model selection'!F$4,'Specified CCE Model Price List'!$A$3:$O$3,0)),"")</f>
        <v/>
      </c>
      <c r="G36" s="204" t="str">
        <f>IFERROR(INDEX('Specified CCE Model Price List'!$A$3:$O$278,MATCH('Option C_CCE Model selection'!$C36,'Specified CCE Model Price List'!$E$3:$E$278,0),MATCH('Option C_CCE Model selection'!G$4,'Specified CCE Model Price List'!$A$3:$O$3,0)),"")</f>
        <v/>
      </c>
      <c r="H36" s="202"/>
      <c r="I36" s="120" t="str">
        <f>IFERROR(IF(OR(EXACT(A36,'Specified CCE Model Price List'!$AB$14),EXACT(A36,'Specified CCE Model Price List'!$AB$16),EXACT(A36,'Specified CCE Model Price List'!$AB$17),EXACT(A36,'Specified CCE Model Price List'!$AB$18),EXACT(A36,'Specified CCE Model Price List'!$AB$19),EXACT(A36,'Specified CCE Model Price List'!$AB$20),EXACT(A36,'Specified CCE Model Price List'!$AB$21),EXACT(A36,'Specified CCE Model Price List'!$AB$22),EXACT(A36,'Specified CCE Model Price List'!$AB$23),EXACT(A36,'Specified CCE Model Price List'!$AB$24),EXACT(A36,'Specified CCE Model Price List'!$AB$25),EXACT(A36,'Specified CCE Model Price List'!$AB$26),EXACT(A36,'Specified CCE Model Price List'!$AB$27)),"N/A",H36+G36),"")</f>
        <v>N/A</v>
      </c>
      <c r="J36" s="74"/>
      <c r="K36" s="75" t="str">
        <f t="shared" si="1"/>
        <v/>
      </c>
      <c r="L36" s="55"/>
      <c r="M36" s="170" t="str">
        <f t="shared" si="2"/>
        <v>_24</v>
      </c>
    </row>
    <row r="37" spans="1:13" s="25" customFormat="1" ht="15" x14ac:dyDescent="0.25">
      <c r="A37" s="282" t="s">
        <v>472</v>
      </c>
      <c r="B37" s="283"/>
      <c r="C37" s="283"/>
      <c r="D37" s="283"/>
      <c r="E37" s="283"/>
      <c r="F37" s="283"/>
      <c r="G37" s="283"/>
      <c r="H37" s="283"/>
      <c r="I37" s="283"/>
      <c r="J37" s="286">
        <f>SUM(K6:K36)-SUMIF(M6:M36,"_3.",K6:K36)-SUMIF(M6:M36,"_4.",K6:K36)</f>
        <v>0</v>
      </c>
      <c r="K37" s="287"/>
      <c r="L37" s="58"/>
      <c r="M37" s="55"/>
    </row>
    <row r="38" spans="1:13" ht="15" x14ac:dyDescent="0.25">
      <c r="E38"/>
      <c r="F38"/>
      <c r="G38"/>
      <c r="H38"/>
      <c r="I38"/>
      <c r="J38"/>
      <c r="K38"/>
      <c r="L38"/>
      <c r="M38"/>
    </row>
    <row r="39" spans="1:13" s="25" customFormat="1" ht="15" customHeight="1" x14ac:dyDescent="0.25">
      <c r="A39" s="275" t="s">
        <v>2177</v>
      </c>
      <c r="B39" s="276"/>
      <c r="C39" s="276"/>
      <c r="D39" s="276"/>
      <c r="E39" s="276"/>
      <c r="F39" s="276"/>
      <c r="G39" s="276"/>
      <c r="H39" s="276"/>
      <c r="I39" s="277"/>
      <c r="J39" s="278">
        <v>1000</v>
      </c>
      <c r="K39" s="279"/>
      <c r="L39" s="58"/>
      <c r="M39" s="55"/>
    </row>
    <row r="40" spans="1:13" s="25" customFormat="1" ht="15" customHeight="1" x14ac:dyDescent="0.25">
      <c r="A40" s="275" t="s">
        <v>2178</v>
      </c>
      <c r="B40" s="276"/>
      <c r="C40" s="276"/>
      <c r="D40" s="276"/>
      <c r="E40" s="276"/>
      <c r="F40" s="276"/>
      <c r="G40" s="276"/>
      <c r="H40" s="276"/>
      <c r="I40" s="277"/>
      <c r="J40" s="278">
        <v>150</v>
      </c>
      <c r="K40" s="279"/>
      <c r="L40" s="58"/>
      <c r="M40" s="55"/>
    </row>
    <row r="41" spans="1:13" s="25" customFormat="1" ht="15" customHeight="1" x14ac:dyDescent="0.25">
      <c r="A41" s="275" t="s">
        <v>2180</v>
      </c>
      <c r="B41" s="276"/>
      <c r="C41" s="276"/>
      <c r="D41" s="276"/>
      <c r="E41" s="276"/>
      <c r="F41" s="276"/>
      <c r="G41" s="276"/>
      <c r="H41" s="276"/>
      <c r="I41" s="277"/>
      <c r="J41" s="278">
        <v>150</v>
      </c>
      <c r="K41" s="279"/>
      <c r="L41" s="58"/>
      <c r="M41" s="55"/>
    </row>
    <row r="42" spans="1:13" s="25" customFormat="1" ht="15" customHeight="1" x14ac:dyDescent="0.25">
      <c r="A42" s="275" t="s">
        <v>2182</v>
      </c>
      <c r="B42" s="276"/>
      <c r="C42" s="276"/>
      <c r="D42" s="276"/>
      <c r="E42" s="276"/>
      <c r="F42" s="276"/>
      <c r="G42" s="276"/>
      <c r="H42" s="276"/>
      <c r="I42" s="277"/>
      <c r="J42" s="278">
        <v>150</v>
      </c>
      <c r="K42" s="279"/>
      <c r="L42" s="58"/>
      <c r="M42" s="55"/>
    </row>
    <row r="43" spans="1:13" s="25" customFormat="1" ht="15" customHeight="1" x14ac:dyDescent="0.25">
      <c r="A43" s="275" t="s">
        <v>2184</v>
      </c>
      <c r="B43" s="276"/>
      <c r="C43" s="276"/>
      <c r="D43" s="276"/>
      <c r="E43" s="276"/>
      <c r="F43" s="276"/>
      <c r="G43" s="276"/>
      <c r="H43" s="276"/>
      <c r="I43" s="277"/>
      <c r="J43" s="278">
        <v>2</v>
      </c>
      <c r="K43" s="279"/>
      <c r="L43" s="58"/>
      <c r="M43" s="55"/>
    </row>
    <row r="44" spans="1:13" s="25" customFormat="1" ht="15" customHeight="1" x14ac:dyDescent="0.25">
      <c r="A44" s="275" t="s">
        <v>2185</v>
      </c>
      <c r="B44" s="276"/>
      <c r="C44" s="276"/>
      <c r="D44" s="276"/>
      <c r="E44" s="276"/>
      <c r="F44" s="276"/>
      <c r="G44" s="276"/>
      <c r="H44" s="276"/>
      <c r="I44" s="277"/>
      <c r="J44" s="278">
        <v>10</v>
      </c>
      <c r="K44" s="279"/>
      <c r="L44" s="58"/>
      <c r="M44" s="55"/>
    </row>
    <row r="45" spans="1:13" s="25" customFormat="1" ht="15" customHeight="1" x14ac:dyDescent="0.25">
      <c r="A45" s="275" t="s">
        <v>2186</v>
      </c>
      <c r="B45" s="276"/>
      <c r="C45" s="276"/>
      <c r="D45" s="276"/>
      <c r="E45" s="276"/>
      <c r="F45" s="276"/>
      <c r="G45" s="276"/>
      <c r="H45" s="276"/>
      <c r="I45" s="277"/>
      <c r="J45" s="278">
        <v>60</v>
      </c>
      <c r="K45" s="279"/>
      <c r="L45" s="58"/>
      <c r="M45" s="55"/>
    </row>
    <row r="46" spans="1:13" s="25" customFormat="1" ht="15" customHeight="1" x14ac:dyDescent="0.25">
      <c r="A46" s="275" t="s">
        <v>2187</v>
      </c>
      <c r="B46" s="276"/>
      <c r="C46" s="276"/>
      <c r="D46" s="276"/>
      <c r="E46" s="276"/>
      <c r="F46" s="276"/>
      <c r="G46" s="276"/>
      <c r="H46" s="276"/>
      <c r="I46" s="277"/>
      <c r="J46" s="280">
        <v>0.1</v>
      </c>
      <c r="K46" s="281"/>
      <c r="L46" s="58"/>
      <c r="M46" s="55"/>
    </row>
    <row r="47" spans="1:13" ht="15" customHeight="1" x14ac:dyDescent="0.25">
      <c r="A47" s="297" t="s">
        <v>145</v>
      </c>
      <c r="B47" s="298"/>
      <c r="C47" s="298"/>
      <c r="D47" s="298"/>
      <c r="E47" s="298"/>
      <c r="F47" s="298"/>
      <c r="G47" s="298"/>
      <c r="H47" s="298"/>
      <c r="I47" s="299"/>
      <c r="J47" s="295">
        <f>(J39*SUM(J$6:J$8))+(J40*SUM($J$11:$J$21))+(J41*J22)+(J42*SUM($J$23:$J$24))+(J43*SUM($J$25:$J$26))+(J44*SUM($J$27:$J$28))+(J45*$J$29)+(J46*$J$30)</f>
        <v>0</v>
      </c>
      <c r="K47" s="296"/>
    </row>
    <row r="48" spans="1:13" s="58" customFormat="1" ht="15" x14ac:dyDescent="0.25">
      <c r="E48" s="56"/>
      <c r="F48" s="56"/>
      <c r="G48" s="56"/>
      <c r="H48" s="56"/>
      <c r="I48" s="56"/>
      <c r="J48" s="56"/>
      <c r="K48" s="56"/>
    </row>
    <row r="49" spans="1:13" s="25" customFormat="1" ht="15" customHeight="1" x14ac:dyDescent="0.25">
      <c r="A49" s="315" t="s">
        <v>473</v>
      </c>
      <c r="B49" s="316"/>
      <c r="C49" s="316"/>
      <c r="D49" s="316"/>
      <c r="E49" s="316"/>
      <c r="F49" s="316"/>
      <c r="G49" s="316"/>
      <c r="H49" s="316"/>
      <c r="I49" s="316"/>
      <c r="J49" s="286">
        <f>J37*1.06+J47</f>
        <v>0</v>
      </c>
      <c r="K49" s="287"/>
      <c r="L49" s="58"/>
      <c r="M49" s="55"/>
    </row>
    <row r="50" spans="1:13" ht="15" x14ac:dyDescent="0.25"/>
    <row r="51" spans="1:13" ht="15" customHeight="1" x14ac:dyDescent="0.25">
      <c r="A51" s="309" t="s">
        <v>474</v>
      </c>
      <c r="B51" s="310"/>
      <c r="C51" s="310"/>
      <c r="D51" s="310"/>
      <c r="E51" s="310"/>
      <c r="F51" s="310"/>
      <c r="G51" s="310"/>
      <c r="H51" s="310"/>
      <c r="I51" s="311"/>
      <c r="J51" s="293"/>
      <c r="K51" s="294"/>
    </row>
    <row r="52" spans="1:13" ht="15" customHeight="1" x14ac:dyDescent="0.25">
      <c r="A52" s="312" t="s">
        <v>475</v>
      </c>
      <c r="B52" s="313"/>
      <c r="C52" s="313"/>
      <c r="D52" s="313"/>
      <c r="E52" s="313"/>
      <c r="F52" s="313"/>
      <c r="G52" s="313"/>
      <c r="H52" s="313"/>
      <c r="I52" s="314"/>
      <c r="J52" s="295">
        <f>J37*J$51</f>
        <v>0</v>
      </c>
      <c r="K52" s="296"/>
    </row>
    <row r="53" spans="1:13" ht="15" x14ac:dyDescent="0.25">
      <c r="E53"/>
      <c r="F53"/>
      <c r="G53"/>
      <c r="H53"/>
      <c r="I53"/>
      <c r="J53"/>
      <c r="K53"/>
      <c r="L53"/>
      <c r="M53"/>
    </row>
    <row r="54" spans="1:13" ht="15.75" customHeight="1" x14ac:dyDescent="0.25">
      <c r="A54" s="288" t="s">
        <v>476</v>
      </c>
      <c r="B54" s="289"/>
      <c r="C54" s="289"/>
      <c r="D54" s="289"/>
      <c r="E54" s="289"/>
      <c r="F54" s="289"/>
      <c r="G54" s="289"/>
      <c r="H54" s="289"/>
      <c r="I54" s="289"/>
      <c r="J54" s="320">
        <f>SUMIF(M6:M36,"_3.",K6:K36)+SUMIF(M6:M36,"_4.",K6:K36)</f>
        <v>0</v>
      </c>
      <c r="K54" s="321"/>
    </row>
    <row r="55" spans="1:13" ht="15" x14ac:dyDescent="0.25">
      <c r="A55" s="290" t="s">
        <v>2091</v>
      </c>
      <c r="B55" s="290"/>
      <c r="C55" s="290"/>
      <c r="D55" s="290"/>
      <c r="E55" s="290"/>
      <c r="F55" s="290"/>
      <c r="G55" s="290"/>
      <c r="H55" s="290"/>
      <c r="I55" s="290"/>
      <c r="J55" s="322"/>
      <c r="K55" s="294"/>
    </row>
    <row r="56" spans="1:13" ht="15" x14ac:dyDescent="0.25">
      <c r="A56" s="317" t="s">
        <v>477</v>
      </c>
      <c r="B56" s="318"/>
      <c r="C56" s="318"/>
      <c r="D56" s="318"/>
      <c r="E56" s="318"/>
      <c r="F56" s="318"/>
      <c r="G56" s="318"/>
      <c r="H56" s="318"/>
      <c r="I56" s="319"/>
      <c r="J56" s="323">
        <f>J54*J55</f>
        <v>0</v>
      </c>
      <c r="K56" s="296"/>
    </row>
    <row r="57" spans="1:13" ht="27" customHeight="1" thickBot="1" x14ac:dyDescent="0.3">
      <c r="E57"/>
      <c r="F57"/>
      <c r="G57"/>
      <c r="H57"/>
      <c r="I57"/>
      <c r="J57"/>
      <c r="K57"/>
    </row>
    <row r="58" spans="1:13" ht="27" customHeight="1" thickBot="1" x14ac:dyDescent="0.3">
      <c r="A58" s="304" t="s">
        <v>478</v>
      </c>
      <c r="B58" s="305"/>
      <c r="C58" s="305"/>
      <c r="D58" s="305"/>
      <c r="E58" s="305"/>
      <c r="F58" s="305"/>
      <c r="G58" s="305"/>
      <c r="H58" s="305"/>
      <c r="I58" s="306"/>
      <c r="J58" s="307">
        <f>J49+J52+J54+J56</f>
        <v>0</v>
      </c>
      <c r="K58" s="308"/>
    </row>
  </sheetData>
  <sheetProtection algorithmName="SHA-512" hashValue="u4G8brUvUBqFdynux1kfgcDd1HAf1B53oWe23jHVZNX3hGI+Va53Hdv7kNMUfF5lfUNxFFsLMKpalnaeHXg0Aw==" saltValue="JgjZZV41v83WwthHkd8Rhw==" spinCount="100000" sheet="1" sort="0" autoFilter="0" pivotTables="0"/>
  <dataConsolidate link="1"/>
  <mergeCells count="37">
    <mergeCell ref="A47:I47"/>
    <mergeCell ref="J47:K47"/>
    <mergeCell ref="J1:K1"/>
    <mergeCell ref="A37:I37"/>
    <mergeCell ref="J37:K37"/>
    <mergeCell ref="A39:I39"/>
    <mergeCell ref="J39:K39"/>
    <mergeCell ref="A4:A5"/>
    <mergeCell ref="B4:B5"/>
    <mergeCell ref="A40:I40"/>
    <mergeCell ref="J40:K40"/>
    <mergeCell ref="A41:I41"/>
    <mergeCell ref="J41:K41"/>
    <mergeCell ref="A42:I42"/>
    <mergeCell ref="J42:K42"/>
    <mergeCell ref="A43:I43"/>
    <mergeCell ref="A54:I54"/>
    <mergeCell ref="J54:K54"/>
    <mergeCell ref="A49:I49"/>
    <mergeCell ref="J49:K49"/>
    <mergeCell ref="A51:I51"/>
    <mergeCell ref="J51:K51"/>
    <mergeCell ref="A52:I52"/>
    <mergeCell ref="J52:K52"/>
    <mergeCell ref="A55:I55"/>
    <mergeCell ref="J55:K55"/>
    <mergeCell ref="J56:K56"/>
    <mergeCell ref="A58:I58"/>
    <mergeCell ref="J58:K58"/>
    <mergeCell ref="A56:I56"/>
    <mergeCell ref="A46:I46"/>
    <mergeCell ref="J46:K46"/>
    <mergeCell ref="J43:K43"/>
    <mergeCell ref="A44:I44"/>
    <mergeCell ref="J44:K44"/>
    <mergeCell ref="A45:I45"/>
    <mergeCell ref="J45:K45"/>
  </mergeCells>
  <conditionalFormatting sqref="D6:G36 I6:I36">
    <cfRule type="cellIs" dxfId="83" priority="30" operator="equal">
      <formula>"N/A"</formula>
    </cfRule>
  </conditionalFormatting>
  <dataValidations count="3">
    <dataValidation type="list" allowBlank="1" showInputMessage="1" showErrorMessage="1" sqref="A6:A36" xr:uid="{1143A293-461E-4BB2-AF79-D97F02ACD930}">
      <formula1>typeofequipment</formula1>
    </dataValidation>
    <dataValidation type="list" allowBlank="1" showInputMessage="1" showErrorMessage="1" sqref="C6:C36" xr:uid="{BCD6FE61-2C64-4388-9CFA-61836F785F73}">
      <formula1>INDIRECT(SUBSTITUTE(A6," ",""))</formula1>
    </dataValidation>
    <dataValidation type="whole" allowBlank="1" showInputMessage="1" showErrorMessage="1" error="Amount to be inserted for service bundle should be between:_x000a_$11,000-$38,000 for WICR/WIFR_x000a_$650-$2150 for Off-Grid CCE with ground mounted panels_x000a_$1300- $4000 for Off-Grid CCE with pole mounted panels_x000a_$200-$400 for RTMDs" prompt="Amount to be inserted for service bundle should be between:_x000a_$11,000-$38,000 for WICR/WIFR_x000a_$650-$2150 (ground mount) and $1300- $4000 (pole mount) for Off-Grid CCE _x000a_$200-$400 for RTMDs_x000a_$400-$1,350 for on-grid devices" sqref="H6:H36" xr:uid="{FCEAC6A5-2A89-4C45-9769-DA523187C824}">
      <formula1>200</formula1>
      <formula2>38000</formula2>
    </dataValidation>
  </dataValidations>
  <pageMargins left="0.7" right="0.7" top="0.75" bottom="0.75" header="0.3" footer="0.3"/>
  <pageSetup scale="36" fitToHeight="0" orientation="landscape" r:id="rId1"/>
  <ignoredErrors>
    <ignoredError sqref="M5 M7:M34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334" id="{C0BEC08C-A30E-499B-9987-F9F5FDCEE0D6}">
            <xm:f>OR(A1='Specified CCE Model Price List'!$AB$14,A1='Specified CCE Model Price List'!$AB$17,A1='Specified CCE Model Price List'!$AB$19,A1='Specified CCE Model Price List'!#REF!,A1='Specified CCE Model Price List'!$AB$22)</xm:f>
            <x14:dxf>
              <font>
                <color theme="1"/>
              </font>
              <fill>
                <patternFill>
                  <bgColor theme="1" tint="0.499984740745262"/>
                </patternFill>
              </fill>
            </x14:dxf>
          </x14:cfRule>
          <xm:sqref>H1:H3</xm:sqref>
        </x14:conditionalFormatting>
        <x14:conditionalFormatting xmlns:xm="http://schemas.microsoft.com/office/excel/2006/main">
          <x14:cfRule type="cellIs" priority="5335" operator="equal" id="{2CD378A7-AB76-4A70-B60A-29003498FB52}">
            <xm:f>'Specified CCE Model Price List'!$AB$22</xm:f>
            <x14:dxf>
              <fill>
                <patternFill>
                  <bgColor rgb="FFFFFF00"/>
                </patternFill>
              </fill>
            </x14:dxf>
          </x14:cfRule>
          <x14:cfRule type="cellIs" priority="5336" operator="equal" id="{0D52424A-BD2B-4020-B9B7-A5213667D9E6}">
            <xm:f>'Specified CCE Model Price List'!$AB$27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cellIs" priority="5337" operator="equal" id="{FBC23021-D2C0-4443-87C9-7BFE8826939B}">
            <xm:f>'Specified CCE Model Price List'!$AB$26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ellIs" priority="5338" operator="equal" id="{14AC591E-82C9-4D80-9185-DB37BDD02C51}">
            <xm:f>'Specified CCE Model Price List'!$AB$25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5339" operator="equal" id="{68776573-9622-4F36-8AC2-F07DB516568B}">
            <xm:f>'Specified CCE Model Price List'!$AB$24</xm:f>
            <x14:dxf>
              <fill>
                <patternFill>
                  <bgColor rgb="FFFF99FF"/>
                </patternFill>
              </fill>
            </x14:dxf>
          </x14:cfRule>
          <x14:cfRule type="cellIs" priority="5340" operator="equal" id="{592D3FEC-86A2-49B5-8072-5BA728A350DF}">
            <xm:f>'Specified CCE Model Price List'!$AB$23</xm:f>
            <x14:dxf>
              <font>
                <color theme="0"/>
              </font>
              <fill>
                <patternFill>
                  <bgColor rgb="FF9900CC"/>
                </patternFill>
              </fill>
            </x14:dxf>
          </x14:cfRule>
          <x14:cfRule type="cellIs" priority="5341" operator="equal" id="{B9E4FFEA-8CBB-497E-B49A-4572FF542A63}">
            <xm:f>'Specified CCE Model Price List'!$AB$22</xm:f>
            <x14:dxf>
              <fill>
                <patternFill>
                  <bgColor rgb="FFFFC000"/>
                </patternFill>
              </fill>
            </x14:dxf>
          </x14:cfRule>
          <x14:cfRule type="cellIs" priority="5342" operator="equal" id="{73899991-E141-4A21-AA6F-ABF5FA433E61}">
            <xm:f>'Specified CCE Model Price List'!$AB$22</xm:f>
            <x14:dxf>
              <font>
                <color theme="1"/>
              </font>
              <fill>
                <patternFill>
                  <bgColor rgb="FFCCCCFF"/>
                </patternFill>
              </fill>
            </x14:dxf>
          </x14:cfRule>
          <x14:cfRule type="cellIs" priority="5343" operator="equal" id="{CF4C666A-6421-42EA-ABCA-DCD11677A836}">
            <xm:f>'Specified CCE Model Price List'!#REF!</xm:f>
            <x14:dxf>
              <font>
                <color theme="1"/>
              </font>
              <fill>
                <patternFill>
                  <bgColor rgb="FFCCCCFF"/>
                </patternFill>
              </fill>
            </x14:dxf>
          </x14:cfRule>
          <x14:cfRule type="cellIs" priority="5344" operator="equal" id="{0AF5456E-1BE2-4AF4-834E-F2B91FAE6924}">
            <xm:f>'Specified CCE Model Price List'!$AB$19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ellIs" priority="5345" operator="equal" id="{E5D79548-C026-4E68-82A2-C969CAAD670F}">
            <xm:f>'Specified CCE Model Price List'!$AB$17</xm:f>
            <x14:dxf>
              <font>
                <color theme="1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5346" operator="equal" id="{A9CA0DAF-7D50-4A8B-B336-4F5CED05C70A}">
            <xm:f>'Specified CCE Model Price List'!$AB$15</xm:f>
            <x14:dxf>
              <font>
                <color theme="1"/>
              </font>
              <fill>
                <patternFill>
                  <bgColor theme="9" tint="0.59996337778862885"/>
                </patternFill>
              </fill>
            </x14:dxf>
          </x14:cfRule>
          <x14:cfRule type="cellIs" priority="5347" operator="equal" id="{10D53CCA-AFCF-4553-931F-4ABDFE07F80B}">
            <xm:f>'Specified CCE Model Price List'!$AB$14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14:cfRule type="cellIs" priority="5348" operator="equal" id="{03F8123E-B345-43B4-837E-481BFC86BA36}">
            <xm:f>'Specified CCE Model Price List'!$AB$13</xm:f>
            <x14:dxf>
              <font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cellIs" priority="5349" operator="equal" id="{9099B3B0-2A85-4C6F-B507-E98EFF354D4F}">
            <xm:f>'Specified CCE Model Price List'!$AB$12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cellIs" priority="5350" operator="equal" id="{7FAAD732-B0F8-4CF8-A31C-8CF922FF76F1}">
            <xm:f>'Specified CCE Model Price List'!$AB$11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5351" operator="equal" id="{0D36A1C7-54CB-4B30-B849-8478A94A4620}">
            <xm:f>'Specified CCE Model Price List'!#REF!</xm:f>
            <x14:dxf>
              <font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5352" operator="equal" id="{E80B3E37-B8E2-4D00-88BE-494D87BD39E6}">
            <xm:f>'Specified CCE Model Price List'!$AB$10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5353" operator="equal" id="{01A7EB81-3E86-4071-AB03-C5658ECF7CFD}">
            <xm:f>'Specified CCE Model Price List'!$AB$9</xm:f>
            <x14:dxf>
              <font>
                <color theme="1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5354" operator="equal" id="{D5426A0E-DE67-4641-A1D4-2ED0890699CB}">
            <xm:f>'Specified CCE Model Price List'!$AB$8</xm:f>
            <x14:dxf>
              <font>
                <color theme="1"/>
              </font>
              <fill>
                <patternFill>
                  <bgColor theme="4" tint="0.79998168889431442"/>
                </patternFill>
              </fill>
            </x14:dxf>
          </x14:cfRule>
          <xm:sqref>A1:B4</xm:sqref>
        </x14:conditionalFormatting>
        <x14:conditionalFormatting xmlns:xm="http://schemas.microsoft.com/office/excel/2006/main">
          <x14:cfRule type="expression" priority="5376" id="{A1D214C1-B238-40A6-AB70-015225082B12}">
            <xm:f>OR(A4='Specified CCE Model Price List'!$AB$14,A4='Specified CCE Model Price List'!$AB$17,A4='Specified CCE Model Price List'!$AB$19,A4='Specified CCE Model Price List'!#REF!,A4='Specified CCE Model Price List'!$AB$22)</xm:f>
            <x14:dxf>
              <font>
                <color theme="1"/>
              </font>
              <fill>
                <patternFill>
                  <bgColor theme="1" tint="0.499984740745262"/>
                </patternFill>
              </fill>
            </x14:dxf>
          </x14:cfRule>
          <xm:sqref>H4:H5</xm:sqref>
        </x14:conditionalFormatting>
        <x14:conditionalFormatting xmlns:xm="http://schemas.microsoft.com/office/excel/2006/main">
          <x14:cfRule type="cellIs" priority="1" operator="equal" id="{6854466A-00BA-4241-958C-5A94FE07B1C6}">
            <xm:f>'Specified CCE Model Price List'!$AB$4</xm:f>
            <x14:dxf>
              <fill>
                <patternFill>
                  <bgColor theme="5" tint="0.79998168889431442"/>
                </patternFill>
              </fill>
            </x14:dxf>
          </x14:cfRule>
          <x14:cfRule type="cellIs" priority="2" operator="equal" id="{33AD5BEC-DDA3-4D00-A8D2-C38A7A8BA4BB}">
            <xm:f>'Specified CCE Model Price List'!$AB$5</xm:f>
            <x14:dxf>
              <fill>
                <patternFill>
                  <bgColor theme="4" tint="0.79998168889431442"/>
                </patternFill>
              </fill>
            </x14:dxf>
          </x14:cfRule>
          <x14:cfRule type="cellIs" priority="3" operator="equal" id="{686CAE50-E0D2-45D2-8ABA-C4EBFFF9FAB0}">
            <xm:f>'Specified CCE Model Price List'!$AB$6</xm:f>
            <x14:dxf>
              <fill>
                <patternFill>
                  <bgColor theme="3" tint="0.59996337778862885"/>
                </patternFill>
              </fill>
            </x14:dxf>
          </x14:cfRule>
          <x14:cfRule type="cellIs" priority="4" operator="equal" id="{F16505AE-255E-4F08-BDDF-CAF3BE85EDC4}">
            <xm:f>'Specified CCE Model Price List'!$AB$7</xm:f>
            <x14:dxf>
              <font>
                <color theme="0"/>
              </font>
              <fill>
                <patternFill>
                  <bgColor theme="5" tint="-0.24994659260841701"/>
                </patternFill>
              </fill>
            </x14:dxf>
          </x14:cfRule>
          <xm:sqref>A6:B36</xm:sqref>
        </x14:conditionalFormatting>
        <x14:conditionalFormatting xmlns:xm="http://schemas.microsoft.com/office/excel/2006/main">
          <x14:cfRule type="cellIs" priority="5" operator="equal" id="{B1A5E430-2967-4B79-900F-63BB7BE670CE}">
            <xm:f>'Specified CCE Model Price List'!$AB$16</xm:f>
            <x14:dxf>
              <font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6" operator="equal" id="{156A079F-E308-4D14-92DB-E65CA748CF6C}">
            <xm:f>'Specified CCE Model Price List'!$AB$18</xm:f>
            <x14:dxf>
              <font>
                <color theme="1"/>
              </font>
              <fill>
                <patternFill>
                  <bgColor rgb="FFCCCCFF"/>
                </patternFill>
              </fill>
            </x14:dxf>
          </x14:cfRule>
          <x14:cfRule type="cellIs" priority="7" operator="equal" id="{C213B650-2A0E-4A23-95AB-F64DF202302A}">
            <xm:f>'Specified CCE Model Price List'!$AB$20</xm:f>
            <x14:dxf>
              <fill>
                <patternFill>
                  <bgColor rgb="FFFFC000"/>
                </patternFill>
              </fill>
            </x14:dxf>
          </x14:cfRule>
          <x14:cfRule type="cellIs" priority="8" operator="equal" id="{FE74F7B5-D9DB-49AA-B1E7-BBADB1B63B7F}">
            <xm:f>'Specified CCE Model Price List'!$AB$22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3CE860C-E1B7-4083-80CF-17D27550D75D}">
            <xm:f>'Specified CCE Model Price List'!$AB$23</xm:f>
            <x14:dxf>
              <font>
                <color theme="0"/>
              </font>
              <fill>
                <patternFill>
                  <bgColor rgb="FF9900CC"/>
                </patternFill>
              </fill>
            </x14:dxf>
          </x14:cfRule>
          <x14:cfRule type="cellIs" priority="10" operator="equal" id="{8944420F-6E96-4898-BD6F-168001540392}">
            <xm:f>'Specified CCE Model Price List'!$AB$24</xm:f>
            <x14:dxf>
              <fill>
                <patternFill>
                  <bgColor rgb="FFFF99FF"/>
                </patternFill>
              </fill>
            </x14:dxf>
          </x14:cfRule>
          <x14:cfRule type="cellIs" priority="11" operator="equal" id="{667F267E-4EE0-4CA9-BFFF-FED72B90398C}">
            <xm:f>'Specified CCE Model Price List'!$AB$25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12" operator="equal" id="{6F251D66-928E-4FD0-899C-71696380F3B7}">
            <xm:f>'Specified CCE Model Price List'!$AB$26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C725A611-B69E-48A3-AEB2-751D909054CA}">
            <xm:f>'Specified CCE Model Price List'!$AB$27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cellIs" priority="14" operator="equal" id="{7A1B41BC-EC7B-44AB-8C88-B902FEA2E80F}">
            <xm:f>'Specified CCE Model Price List'!$AB$8</xm:f>
            <x14:dxf>
              <font>
                <color theme="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15" operator="equal" id="{E2B7DB33-1436-4F95-A57F-CA7D62DEF334}">
            <xm:f>'Specified CCE Model Price List'!$AB$9</xm:f>
            <x14:dxf>
              <font>
                <color theme="1"/>
              </font>
              <fill>
                <patternFill>
                  <bgColor theme="4" tint="0.39994506668294322"/>
                </patternFill>
              </fill>
            </x14:dxf>
          </x14:cfRule>
          <x14:cfRule type="cellIs" priority="16" operator="equal" id="{D68040B3-73B7-4866-AF69-EB104C0D85A9}">
            <xm:f>'Specified CCE Model Price List'!$AB$10</xm:f>
            <x14:dxf>
              <font>
                <color theme="0"/>
              </font>
              <fill>
                <patternFill>
                  <bgColor theme="4" tint="-0.24994659260841701"/>
                </patternFill>
              </fill>
            </x14:dxf>
          </x14:cfRule>
          <x14:cfRule type="cellIs" priority="17" operator="equal" id="{30DDDD3E-8ED1-4022-9417-521309710B26}">
            <xm:f>'Specified CCE Model Price List'!$AB$11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cellIs" priority="18" operator="equal" id="{5BA6C518-4746-4969-AE18-D739A1098FBC}">
            <xm:f>'Specified CCE Model Price List'!$AB$12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cellIs" priority="19" operator="equal" id="{D3EB88BF-FCD7-437B-BC63-82A687EFD6B3}">
            <xm:f>'Specified CCE Model Price List'!$AB$13</xm:f>
            <x14:dxf>
              <font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cellIs" priority="20" operator="equal" id="{5709E48C-A003-4BF8-8685-3E1DF3C9C9A7}">
            <xm:f>'Specified CCE Model Price List'!$AB$14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14:cfRule type="cellIs" priority="21" operator="equal" id="{FA36D08E-984D-48D8-A6B5-C07460990DB4}">
            <xm:f>'Specified CCE Model Price List'!$AB$15</xm:f>
            <x14:dxf>
              <font>
                <color theme="1"/>
              </font>
              <fill>
                <patternFill>
                  <bgColor theme="9" tint="0.59996337778862885"/>
                </patternFill>
              </fill>
            </x14:dxf>
          </x14:cfRule>
          <x14:cfRule type="cellIs" priority="22" operator="equal" id="{C9E6B42F-CED2-44BA-BBD2-3E56922CAB04}">
            <xm:f>'Specified CCE Model Price List'!$AB$17</xm:f>
            <x14:dxf>
              <font>
                <color theme="1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23" operator="equal" id="{A45FCBEF-F629-4420-A793-6609E5606E52}">
            <xm:f>'Specified CCE Model Price List'!$AB$19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ellIs" priority="24" operator="equal" id="{69D7DAC1-AD71-46E9-B893-0D93ABD0A839}">
            <xm:f>'Specified CCE Model Price List'!$AB$22</xm:f>
            <x14:dxf>
              <font>
                <color theme="1"/>
              </font>
              <fill>
                <patternFill>
                  <bgColor rgb="FF9999FF"/>
                </patternFill>
              </fill>
            </x14:dxf>
          </x14:cfRule>
          <xm:sqref>A6:B36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J278"/>
  <sheetViews>
    <sheetView showGridLines="0" zoomScale="80" zoomScaleNormal="80" zoomScaleSheetLayoutView="25" workbookViewId="0">
      <selection activeCell="B70" sqref="B70"/>
    </sheetView>
  </sheetViews>
  <sheetFormatPr defaultColWidth="9.140625" defaultRowHeight="15" outlineLevelCol="2" x14ac:dyDescent="0.25"/>
  <cols>
    <col min="1" max="1" width="5.42578125" customWidth="1"/>
    <col min="2" max="2" width="30.42578125" customWidth="1"/>
    <col min="3" max="3" width="15.42578125" customWidth="1"/>
    <col min="4" max="5" width="18.42578125" style="24" customWidth="1"/>
    <col min="6" max="15" width="15.42578125" customWidth="1"/>
    <col min="16" max="16" width="9.140625" customWidth="1"/>
    <col min="17" max="26" width="10.42578125" customWidth="1"/>
    <col min="27" max="27" width="9.140625" customWidth="1"/>
    <col min="28" max="30" width="9.140625" hidden="1" customWidth="1" outlineLevel="2"/>
    <col min="31" max="31" width="9.140625" hidden="1" customWidth="1" outlineLevel="1" collapsed="1"/>
    <col min="32" max="34" width="9.140625" hidden="1" customWidth="1" outlineLevel="1"/>
    <col min="35" max="35" width="10.5703125" hidden="1" customWidth="1" outlineLevel="1"/>
    <col min="36" max="36" width="9.140625" collapsed="1"/>
  </cols>
  <sheetData>
    <row r="1" spans="1:36" ht="23.25" customHeight="1" thickBot="1" x14ac:dyDescent="0.3">
      <c r="A1" s="27" t="s">
        <v>255</v>
      </c>
      <c r="B1" s="26"/>
      <c r="C1" s="26"/>
      <c r="D1" s="26"/>
      <c r="E1" s="35"/>
      <c r="F1" s="35"/>
      <c r="G1" s="167"/>
      <c r="H1" s="35"/>
      <c r="I1" s="35"/>
      <c r="J1" s="35"/>
      <c r="K1" s="35"/>
      <c r="L1" s="35"/>
      <c r="M1" s="35"/>
      <c r="N1" s="35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36" ht="89.25" customHeight="1" thickBot="1" x14ac:dyDescent="0.3">
      <c r="E2" s="37"/>
      <c r="F2" s="36"/>
      <c r="G2" s="36"/>
      <c r="H2" s="36"/>
      <c r="I2" s="36"/>
      <c r="J2" s="324" t="s">
        <v>240</v>
      </c>
      <c r="K2" s="325"/>
      <c r="L2" s="326" t="s">
        <v>239</v>
      </c>
      <c r="M2" s="32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36" s="8" customFormat="1" ht="40.5" customHeight="1" thickTop="1" x14ac:dyDescent="0.25">
      <c r="A3" s="5" t="s">
        <v>5</v>
      </c>
      <c r="B3" s="5" t="s">
        <v>3</v>
      </c>
      <c r="C3" s="5" t="s">
        <v>79</v>
      </c>
      <c r="D3" s="7" t="s">
        <v>479</v>
      </c>
      <c r="E3" s="7" t="s">
        <v>480</v>
      </c>
      <c r="F3" s="5" t="s">
        <v>481</v>
      </c>
      <c r="G3" s="5" t="s">
        <v>482</v>
      </c>
      <c r="H3" s="5" t="s">
        <v>82</v>
      </c>
      <c r="I3" s="132" t="s">
        <v>483</v>
      </c>
      <c r="J3" s="188" t="s">
        <v>237</v>
      </c>
      <c r="K3" s="189" t="s">
        <v>238</v>
      </c>
      <c r="L3" s="135" t="s">
        <v>242</v>
      </c>
      <c r="M3" s="143" t="s">
        <v>241</v>
      </c>
      <c r="N3" s="135" t="s">
        <v>243</v>
      </c>
      <c r="O3" s="5" t="s">
        <v>244</v>
      </c>
      <c r="P3" s="39"/>
      <c r="Q3" s="195" t="s">
        <v>359</v>
      </c>
      <c r="R3" s="39"/>
      <c r="S3" s="39"/>
      <c r="T3" s="39"/>
      <c r="U3" s="39"/>
      <c r="V3" s="39"/>
      <c r="W3" s="39"/>
      <c r="X3" s="39"/>
      <c r="Y3" s="39"/>
      <c r="Z3" s="39"/>
      <c r="AB3" s="22" t="s">
        <v>484</v>
      </c>
      <c r="AI3" s="8" t="s">
        <v>233</v>
      </c>
    </row>
    <row r="4" spans="1:36" s="147" customFormat="1" ht="40.5" customHeight="1" thickBot="1" x14ac:dyDescent="0.3">
      <c r="A4" s="150">
        <v>1</v>
      </c>
      <c r="B4" s="14" t="s">
        <v>246</v>
      </c>
      <c r="C4" s="149" t="s">
        <v>248</v>
      </c>
      <c r="D4" s="155" t="s">
        <v>247</v>
      </c>
      <c r="E4" s="149" t="s">
        <v>259</v>
      </c>
      <c r="F4" s="151">
        <v>10000</v>
      </c>
      <c r="G4" s="145" t="s">
        <v>78</v>
      </c>
      <c r="H4" s="145" t="s">
        <v>485</v>
      </c>
      <c r="I4" s="200">
        <v>16405.458999999999</v>
      </c>
      <c r="J4" s="168">
        <v>11000</v>
      </c>
      <c r="K4" s="190">
        <v>15000</v>
      </c>
      <c r="L4" s="136" t="s">
        <v>232</v>
      </c>
      <c r="M4" s="138" t="s">
        <v>486</v>
      </c>
      <c r="N4" s="136">
        <f t="shared" ref="N4:N34" si="0">I4+J4</f>
        <v>27405.458999999999</v>
      </c>
      <c r="O4" s="4">
        <f t="shared" ref="O4:O34" si="1">I4+K4</f>
        <v>31405.458999999999</v>
      </c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B4" s="154" t="s">
        <v>487</v>
      </c>
      <c r="AD4" s="3" t="str">
        <f>SUBSTITUTE(AB4," ","")</f>
        <v>_1.Walkincoldrooms</v>
      </c>
    </row>
    <row r="5" spans="1:36" s="147" customFormat="1" ht="40.5" customHeight="1" thickBot="1" x14ac:dyDescent="0.3">
      <c r="A5" s="150">
        <f>A4+1</f>
        <v>2</v>
      </c>
      <c r="B5" s="14" t="s">
        <v>488</v>
      </c>
      <c r="C5" s="150" t="s">
        <v>489</v>
      </c>
      <c r="D5" s="155" t="s">
        <v>55</v>
      </c>
      <c r="E5" s="150" t="s">
        <v>262</v>
      </c>
      <c r="F5" s="151">
        <v>10000</v>
      </c>
      <c r="G5" s="145" t="s">
        <v>490</v>
      </c>
      <c r="H5" s="145" t="s">
        <v>491</v>
      </c>
      <c r="I5" s="200">
        <v>11900</v>
      </c>
      <c r="J5" s="168">
        <v>11000</v>
      </c>
      <c r="K5" s="169">
        <v>15000</v>
      </c>
      <c r="L5" s="136" t="s">
        <v>492</v>
      </c>
      <c r="M5" s="138" t="s">
        <v>493</v>
      </c>
      <c r="N5" s="136">
        <f t="shared" si="0"/>
        <v>22900</v>
      </c>
      <c r="O5" s="4">
        <f t="shared" si="1"/>
        <v>26900</v>
      </c>
      <c r="P5" s="146"/>
      <c r="Q5" s="328" t="s">
        <v>65</v>
      </c>
      <c r="R5" s="329"/>
      <c r="S5" s="329"/>
      <c r="T5" s="329"/>
      <c r="U5" s="329"/>
      <c r="V5" s="329"/>
      <c r="W5" s="329"/>
      <c r="X5" s="329"/>
      <c r="Y5" s="329"/>
      <c r="Z5" s="330"/>
      <c r="AB5" s="193" t="s">
        <v>494</v>
      </c>
      <c r="AD5" s="3" t="str">
        <f>SUBSTITUTE(AB5," ","")</f>
        <v>_2.Walkincoldroomswithfreezers</v>
      </c>
    </row>
    <row r="6" spans="1:36" s="147" customFormat="1" ht="40.5" customHeight="1" thickBot="1" x14ac:dyDescent="0.3">
      <c r="A6" s="150">
        <f t="shared" ref="A6:A69" si="2">A5+1</f>
        <v>3</v>
      </c>
      <c r="B6" s="14" t="s">
        <v>495</v>
      </c>
      <c r="C6" s="150" t="s">
        <v>496</v>
      </c>
      <c r="D6" s="155" t="s">
        <v>249</v>
      </c>
      <c r="E6" s="150" t="s">
        <v>267</v>
      </c>
      <c r="F6" s="151">
        <v>10000</v>
      </c>
      <c r="G6" s="145" t="s">
        <v>497</v>
      </c>
      <c r="H6" s="145" t="s">
        <v>498</v>
      </c>
      <c r="I6" s="200">
        <v>17076.5</v>
      </c>
      <c r="J6" s="168">
        <v>11000</v>
      </c>
      <c r="K6" s="169">
        <v>15000</v>
      </c>
      <c r="L6" s="136" t="s">
        <v>499</v>
      </c>
      <c r="M6" s="138" t="s">
        <v>500</v>
      </c>
      <c r="N6" s="136">
        <f t="shared" si="0"/>
        <v>28076.5</v>
      </c>
      <c r="O6" s="4">
        <f t="shared" si="1"/>
        <v>32076.5</v>
      </c>
      <c r="P6" s="146"/>
      <c r="Q6" s="331" t="s">
        <v>310</v>
      </c>
      <c r="R6" s="332"/>
      <c r="S6" s="332"/>
      <c r="T6" s="332"/>
      <c r="U6" s="332"/>
      <c r="V6" s="332"/>
      <c r="W6" s="332"/>
      <c r="X6" s="332"/>
      <c r="Y6" s="332"/>
      <c r="Z6" s="333"/>
      <c r="AB6" s="193" t="s">
        <v>501</v>
      </c>
      <c r="AD6" s="3" t="str">
        <f>SUBSTITUTE(AB6," ","")</f>
        <v>_3.ShorttermleaseforWalkincoldrooms</v>
      </c>
    </row>
    <row r="7" spans="1:36" s="147" customFormat="1" ht="40.5" customHeight="1" thickBot="1" x14ac:dyDescent="0.3">
      <c r="A7" s="150">
        <f t="shared" si="2"/>
        <v>4</v>
      </c>
      <c r="B7" s="14" t="s">
        <v>502</v>
      </c>
      <c r="C7" s="150" t="s">
        <v>503</v>
      </c>
      <c r="D7" s="155" t="s">
        <v>250</v>
      </c>
      <c r="E7" s="150" t="s">
        <v>272</v>
      </c>
      <c r="F7" s="151">
        <v>10000</v>
      </c>
      <c r="G7" s="145" t="s">
        <v>504</v>
      </c>
      <c r="H7" s="145" t="s">
        <v>505</v>
      </c>
      <c r="I7" s="200">
        <v>19658.8</v>
      </c>
      <c r="J7" s="168">
        <v>11000</v>
      </c>
      <c r="K7" s="169">
        <v>15000</v>
      </c>
      <c r="L7" s="136" t="s">
        <v>506</v>
      </c>
      <c r="M7" s="138" t="s">
        <v>507</v>
      </c>
      <c r="N7" s="136">
        <f t="shared" si="0"/>
        <v>30658.799999999999</v>
      </c>
      <c r="O7" s="4">
        <f t="shared" si="1"/>
        <v>34658.800000000003</v>
      </c>
      <c r="P7" s="146"/>
      <c r="Q7" s="334" t="s">
        <v>63</v>
      </c>
      <c r="R7" s="335"/>
      <c r="S7" s="335"/>
      <c r="T7" s="335"/>
      <c r="U7" s="335"/>
      <c r="V7" s="335"/>
      <c r="W7" s="335"/>
      <c r="X7" s="335"/>
      <c r="Y7" s="335"/>
      <c r="Z7" s="336"/>
      <c r="AB7" s="154" t="s">
        <v>508</v>
      </c>
      <c r="AD7" s="3" t="str">
        <f>SUBSTITUTE(AB7," ","")</f>
        <v>_4.LeasingWalkincoldroomsorfreezerroom</v>
      </c>
      <c r="AE7" s="3"/>
      <c r="AF7" s="3"/>
      <c r="AG7" s="3"/>
      <c r="AH7" s="3"/>
      <c r="AI7" s="3" t="s">
        <v>236</v>
      </c>
      <c r="AJ7" s="3"/>
    </row>
    <row r="8" spans="1:36" s="147" customFormat="1" ht="40.5" customHeight="1" thickBot="1" x14ac:dyDescent="0.3">
      <c r="A8" s="150">
        <f t="shared" si="2"/>
        <v>5</v>
      </c>
      <c r="B8" s="14" t="s">
        <v>509</v>
      </c>
      <c r="C8" s="150" t="s">
        <v>510</v>
      </c>
      <c r="D8" s="155" t="s">
        <v>251</v>
      </c>
      <c r="E8" s="150" t="s">
        <v>277</v>
      </c>
      <c r="F8" s="151">
        <v>10000</v>
      </c>
      <c r="G8" s="145" t="s">
        <v>511</v>
      </c>
      <c r="H8" s="145" t="s">
        <v>512</v>
      </c>
      <c r="I8" s="200">
        <v>15368.849999999999</v>
      </c>
      <c r="J8" s="168">
        <v>11000</v>
      </c>
      <c r="K8" s="169">
        <v>15000</v>
      </c>
      <c r="L8" s="136" t="s">
        <v>513</v>
      </c>
      <c r="M8" s="138" t="s">
        <v>514</v>
      </c>
      <c r="N8" s="136">
        <f t="shared" si="0"/>
        <v>26368.85</v>
      </c>
      <c r="O8" s="4">
        <f t="shared" si="1"/>
        <v>30368.85</v>
      </c>
      <c r="P8" s="146"/>
      <c r="Q8" s="331" t="s">
        <v>64</v>
      </c>
      <c r="R8" s="332"/>
      <c r="S8" s="332"/>
      <c r="T8" s="332"/>
      <c r="U8" s="332"/>
      <c r="V8" s="332"/>
      <c r="W8" s="332"/>
      <c r="X8" s="332"/>
      <c r="Y8" s="332"/>
      <c r="Z8" s="333"/>
      <c r="AB8" s="23" t="s">
        <v>515</v>
      </c>
      <c r="AC8" s="3"/>
      <c r="AD8" s="3" t="str">
        <f t="shared" ref="AD8:AD13" si="3">SUBSTITUTE(AB8," ","")</f>
        <v>_5.OngridILR_withoutfreezercomp.</v>
      </c>
      <c r="AE8" s="3"/>
      <c r="AF8" s="3"/>
      <c r="AG8" s="3"/>
      <c r="AH8" s="3"/>
      <c r="AI8" s="3" t="s">
        <v>234</v>
      </c>
      <c r="AJ8" s="3"/>
    </row>
    <row r="9" spans="1:36" s="147" customFormat="1" ht="40.5" customHeight="1" thickBot="1" x14ac:dyDescent="0.3">
      <c r="A9" s="150">
        <f t="shared" si="2"/>
        <v>6</v>
      </c>
      <c r="B9" s="14" t="s">
        <v>516</v>
      </c>
      <c r="C9" s="150" t="s">
        <v>252</v>
      </c>
      <c r="D9" s="155" t="s">
        <v>517</v>
      </c>
      <c r="E9" s="150" t="s">
        <v>260</v>
      </c>
      <c r="F9" s="149">
        <v>30000</v>
      </c>
      <c r="G9" s="145" t="s">
        <v>518</v>
      </c>
      <c r="H9" s="145" t="s">
        <v>519</v>
      </c>
      <c r="I9" s="200">
        <v>23777.223399999999</v>
      </c>
      <c r="J9" s="168">
        <v>16500</v>
      </c>
      <c r="K9" s="169">
        <v>23000</v>
      </c>
      <c r="L9" s="136" t="s">
        <v>520</v>
      </c>
      <c r="M9" s="138" t="s">
        <v>521</v>
      </c>
      <c r="N9" s="136">
        <f t="shared" si="0"/>
        <v>40277.223400000003</v>
      </c>
      <c r="O9" s="4">
        <f t="shared" si="1"/>
        <v>46777.223400000003</v>
      </c>
      <c r="P9" s="146"/>
      <c r="Q9" s="337" t="s">
        <v>86</v>
      </c>
      <c r="R9" s="338"/>
      <c r="S9" s="338"/>
      <c r="T9" s="338"/>
      <c r="U9" s="338"/>
      <c r="V9" s="338"/>
      <c r="W9" s="338"/>
      <c r="X9" s="338"/>
      <c r="Y9" s="338"/>
      <c r="Z9" s="59"/>
      <c r="AB9" s="23" t="s">
        <v>522</v>
      </c>
      <c r="AC9" s="12"/>
      <c r="AD9" s="3" t="str">
        <f t="shared" si="3"/>
        <v>_6.OngridILR_withfreezercomp.</v>
      </c>
      <c r="AE9" s="3"/>
      <c r="AF9" s="3"/>
      <c r="AG9" s="3"/>
      <c r="AH9" s="3"/>
      <c r="AI9" s="3" t="s">
        <v>235</v>
      </c>
      <c r="AJ9" s="3"/>
    </row>
    <row r="10" spans="1:36" s="147" customFormat="1" ht="40.5" customHeight="1" thickBot="1" x14ac:dyDescent="0.3">
      <c r="A10" s="150">
        <f t="shared" si="2"/>
        <v>7</v>
      </c>
      <c r="B10" s="14" t="s">
        <v>523</v>
      </c>
      <c r="C10" s="150" t="s">
        <v>524</v>
      </c>
      <c r="D10" s="155" t="s">
        <v>525</v>
      </c>
      <c r="E10" s="150" t="s">
        <v>263</v>
      </c>
      <c r="F10" s="149">
        <v>30000</v>
      </c>
      <c r="G10" s="145" t="s">
        <v>526</v>
      </c>
      <c r="H10" s="145" t="s">
        <v>527</v>
      </c>
      <c r="I10" s="200">
        <v>18900</v>
      </c>
      <c r="J10" s="168">
        <v>16500</v>
      </c>
      <c r="K10" s="169">
        <v>23000</v>
      </c>
      <c r="L10" s="136" t="s">
        <v>528</v>
      </c>
      <c r="M10" s="138" t="s">
        <v>529</v>
      </c>
      <c r="N10" s="136">
        <f t="shared" si="0"/>
        <v>35400</v>
      </c>
      <c r="O10" s="4">
        <f t="shared" si="1"/>
        <v>41900</v>
      </c>
      <c r="P10" s="146"/>
      <c r="Q10" s="11" t="s">
        <v>358</v>
      </c>
      <c r="R10" s="71"/>
      <c r="S10" s="71"/>
      <c r="T10" s="71"/>
      <c r="U10" s="71"/>
      <c r="V10" s="71"/>
      <c r="W10" s="71"/>
      <c r="X10" s="71"/>
      <c r="Y10" s="71"/>
      <c r="Z10" s="11"/>
      <c r="AB10" s="23" t="s">
        <v>530</v>
      </c>
      <c r="AC10" s="12"/>
      <c r="AD10" s="3" t="str">
        <f t="shared" si="3"/>
        <v>_7.Ongridfreezers</v>
      </c>
      <c r="AE10" s="3"/>
      <c r="AF10" s="3"/>
      <c r="AG10" s="3"/>
      <c r="AH10" s="3"/>
      <c r="AI10" s="23"/>
      <c r="AJ10" s="3"/>
    </row>
    <row r="11" spans="1:36" s="147" customFormat="1" ht="40.5" customHeight="1" thickBot="1" x14ac:dyDescent="0.3">
      <c r="A11" s="150">
        <f t="shared" si="2"/>
        <v>8</v>
      </c>
      <c r="B11" s="14" t="s">
        <v>531</v>
      </c>
      <c r="C11" s="150" t="s">
        <v>532</v>
      </c>
      <c r="D11" s="155" t="s">
        <v>533</v>
      </c>
      <c r="E11" s="150" t="s">
        <v>264</v>
      </c>
      <c r="F11" s="149">
        <v>30000</v>
      </c>
      <c r="G11" s="145" t="s">
        <v>534</v>
      </c>
      <c r="H11" s="145" t="s">
        <v>535</v>
      </c>
      <c r="I11" s="200">
        <v>22600</v>
      </c>
      <c r="J11" s="168">
        <v>16500</v>
      </c>
      <c r="K11" s="169">
        <v>23000</v>
      </c>
      <c r="L11" s="136" t="s">
        <v>536</v>
      </c>
      <c r="M11" s="138" t="s">
        <v>537</v>
      </c>
      <c r="N11" s="136">
        <f t="shared" si="0"/>
        <v>39100</v>
      </c>
      <c r="O11" s="4">
        <f t="shared" si="1"/>
        <v>45600</v>
      </c>
      <c r="P11" s="146"/>
      <c r="Q11" s="339" t="s">
        <v>309</v>
      </c>
      <c r="R11" s="339"/>
      <c r="S11" s="339"/>
      <c r="T11" s="339"/>
      <c r="U11" s="339"/>
      <c r="V11" s="339"/>
      <c r="W11" s="339"/>
      <c r="X11" s="339"/>
      <c r="Y11" s="339"/>
      <c r="Z11" s="339"/>
      <c r="AB11" s="23" t="s">
        <v>538</v>
      </c>
      <c r="AC11" s="12"/>
      <c r="AD11" s="3" t="str">
        <f t="shared" si="3"/>
        <v>_8.OffgridSDDrefrigerators_withoutfreezercomp.</v>
      </c>
      <c r="AE11" s="3"/>
      <c r="AF11" s="3"/>
      <c r="AG11" s="3"/>
      <c r="AH11" s="3"/>
      <c r="AI11" s="23"/>
      <c r="AJ11" s="3"/>
    </row>
    <row r="12" spans="1:36" s="147" customFormat="1" ht="40.5" customHeight="1" thickBot="1" x14ac:dyDescent="0.3">
      <c r="A12" s="150">
        <f t="shared" si="2"/>
        <v>9</v>
      </c>
      <c r="B12" s="14" t="s">
        <v>539</v>
      </c>
      <c r="C12" s="150" t="s">
        <v>540</v>
      </c>
      <c r="D12" s="155" t="s">
        <v>541</v>
      </c>
      <c r="E12" s="150" t="s">
        <v>268</v>
      </c>
      <c r="F12" s="149">
        <v>30000</v>
      </c>
      <c r="G12" s="145" t="s">
        <v>542</v>
      </c>
      <c r="H12" s="145" t="s">
        <v>543</v>
      </c>
      <c r="I12" s="200">
        <v>23573.899999999998</v>
      </c>
      <c r="J12" s="168">
        <v>16500</v>
      </c>
      <c r="K12" s="169">
        <v>23000</v>
      </c>
      <c r="L12" s="136" t="s">
        <v>544</v>
      </c>
      <c r="M12" s="138" t="s">
        <v>545</v>
      </c>
      <c r="N12" s="136">
        <f t="shared" si="0"/>
        <v>40073.899999999994</v>
      </c>
      <c r="O12" s="4">
        <f t="shared" si="1"/>
        <v>46573.899999999994</v>
      </c>
      <c r="P12" s="146"/>
      <c r="Q12" s="38"/>
      <c r="R12" s="38"/>
      <c r="S12" s="38"/>
      <c r="T12" s="38"/>
      <c r="U12" s="38"/>
      <c r="V12" s="38"/>
      <c r="W12" s="38"/>
      <c r="X12" s="38"/>
      <c r="Y12" s="38"/>
      <c r="Z12" s="38"/>
      <c r="AB12" s="23" t="s">
        <v>546</v>
      </c>
      <c r="AC12" s="13"/>
      <c r="AD12" s="3" t="str">
        <f t="shared" si="3"/>
        <v>_9.OffgridSDDrefrigerators_withfreezercomp.</v>
      </c>
      <c r="AE12" s="3"/>
      <c r="AF12" s="3"/>
      <c r="AG12" s="3"/>
      <c r="AH12" s="3"/>
      <c r="AI12" s="23"/>
      <c r="AJ12" s="3"/>
    </row>
    <row r="13" spans="1:36" s="147" customFormat="1" ht="40.5" customHeight="1" x14ac:dyDescent="0.25">
      <c r="A13" s="150">
        <f t="shared" si="2"/>
        <v>10</v>
      </c>
      <c r="B13" s="14" t="s">
        <v>547</v>
      </c>
      <c r="C13" s="150" t="s">
        <v>548</v>
      </c>
      <c r="D13" s="155" t="s">
        <v>549</v>
      </c>
      <c r="E13" s="150" t="s">
        <v>269</v>
      </c>
      <c r="F13" s="149">
        <v>30000</v>
      </c>
      <c r="G13" s="145" t="s">
        <v>550</v>
      </c>
      <c r="H13" s="145" t="s">
        <v>551</v>
      </c>
      <c r="I13" s="200">
        <v>26120.5</v>
      </c>
      <c r="J13" s="168">
        <v>16500</v>
      </c>
      <c r="K13" s="169">
        <v>23000</v>
      </c>
      <c r="L13" s="136" t="s">
        <v>552</v>
      </c>
      <c r="M13" s="138" t="s">
        <v>553</v>
      </c>
      <c r="N13" s="136">
        <f t="shared" si="0"/>
        <v>42620.5</v>
      </c>
      <c r="O13" s="4">
        <f t="shared" si="1"/>
        <v>49120.5</v>
      </c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B13" s="3" t="s">
        <v>554</v>
      </c>
      <c r="AC13" s="3"/>
      <c r="AD13" s="3" t="str">
        <f t="shared" si="3"/>
        <v>_10.OffgridSDDfreezer</v>
      </c>
      <c r="AE13" s="3"/>
      <c r="AF13" s="3"/>
      <c r="AG13" s="3"/>
      <c r="AH13" s="3"/>
      <c r="AI13" s="23"/>
      <c r="AJ13" s="3"/>
    </row>
    <row r="14" spans="1:36" s="147" customFormat="1" ht="40.5" customHeight="1" x14ac:dyDescent="0.25">
      <c r="A14" s="150">
        <f t="shared" si="2"/>
        <v>11</v>
      </c>
      <c r="B14" s="14" t="s">
        <v>555</v>
      </c>
      <c r="C14" s="150" t="s">
        <v>556</v>
      </c>
      <c r="D14" s="155" t="s">
        <v>557</v>
      </c>
      <c r="E14" s="150" t="s">
        <v>273</v>
      </c>
      <c r="F14" s="149">
        <v>30000</v>
      </c>
      <c r="G14" s="145" t="s">
        <v>558</v>
      </c>
      <c r="H14" s="145" t="s">
        <v>559</v>
      </c>
      <c r="I14" s="200">
        <v>26072.899999999998</v>
      </c>
      <c r="J14" s="168">
        <v>16500</v>
      </c>
      <c r="K14" s="169">
        <v>23000</v>
      </c>
      <c r="L14" s="136" t="s">
        <v>560</v>
      </c>
      <c r="M14" s="138" t="s">
        <v>561</v>
      </c>
      <c r="N14" s="136">
        <f t="shared" si="0"/>
        <v>42572.899999999994</v>
      </c>
      <c r="O14" s="4">
        <f t="shared" si="1"/>
        <v>49072.899999999994</v>
      </c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B14" s="23" t="s">
        <v>562</v>
      </c>
      <c r="AC14" s="3"/>
      <c r="AD14" s="3" t="str">
        <f t="shared" ref="AD14:AD20" si="4">SUBSTITUTE(AB14," ","")</f>
        <v>_11.Temperaturemonitoringdevice_30DTR</v>
      </c>
      <c r="AE14" s="3"/>
      <c r="AF14" s="3"/>
      <c r="AG14" s="3"/>
      <c r="AH14" s="3"/>
      <c r="AI14" s="23"/>
      <c r="AJ14" s="3"/>
    </row>
    <row r="15" spans="1:36" s="147" customFormat="1" ht="40.5" customHeight="1" x14ac:dyDescent="0.25">
      <c r="A15" s="150">
        <f t="shared" si="2"/>
        <v>12</v>
      </c>
      <c r="B15" s="14" t="s">
        <v>563</v>
      </c>
      <c r="C15" s="150" t="s">
        <v>564</v>
      </c>
      <c r="D15" s="155" t="s">
        <v>565</v>
      </c>
      <c r="E15" s="150" t="s">
        <v>274</v>
      </c>
      <c r="F15" s="149">
        <v>30000</v>
      </c>
      <c r="G15" s="145" t="s">
        <v>566</v>
      </c>
      <c r="H15" s="145" t="s">
        <v>567</v>
      </c>
      <c r="I15" s="200">
        <v>26775</v>
      </c>
      <c r="J15" s="168">
        <v>16500</v>
      </c>
      <c r="K15" s="169">
        <v>23000</v>
      </c>
      <c r="L15" s="136" t="s">
        <v>568</v>
      </c>
      <c r="M15" s="138" t="s">
        <v>569</v>
      </c>
      <c r="N15" s="136">
        <f t="shared" si="0"/>
        <v>43275</v>
      </c>
      <c r="O15" s="4">
        <f t="shared" si="1"/>
        <v>49775</v>
      </c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B15" s="23" t="s">
        <v>570</v>
      </c>
      <c r="AC15" s="3"/>
      <c r="AD15" s="3" t="str">
        <f t="shared" si="4"/>
        <v>_12.Remotetemperaturemonitoringdevices_RTMDs</v>
      </c>
      <c r="AE15" s="3"/>
      <c r="AF15" s="3"/>
      <c r="AG15" s="3"/>
      <c r="AH15" s="3"/>
      <c r="AI15" s="3"/>
      <c r="AJ15" s="3"/>
    </row>
    <row r="16" spans="1:36" s="147" customFormat="1" ht="40.5" customHeight="1" x14ac:dyDescent="0.25">
      <c r="A16" s="150">
        <f t="shared" si="2"/>
        <v>13</v>
      </c>
      <c r="B16" s="14" t="s">
        <v>571</v>
      </c>
      <c r="C16" s="150" t="s">
        <v>572</v>
      </c>
      <c r="D16" s="155" t="s">
        <v>573</v>
      </c>
      <c r="E16" s="150" t="s">
        <v>278</v>
      </c>
      <c r="F16" s="149">
        <v>30000</v>
      </c>
      <c r="G16" s="145" t="s">
        <v>574</v>
      </c>
      <c r="H16" s="145" t="s">
        <v>575</v>
      </c>
      <c r="I16" s="200">
        <v>22225.629999999997</v>
      </c>
      <c r="J16" s="168">
        <v>16500</v>
      </c>
      <c r="K16" s="169">
        <v>23000</v>
      </c>
      <c r="L16" s="136" t="s">
        <v>576</v>
      </c>
      <c r="M16" s="138" t="s">
        <v>577</v>
      </c>
      <c r="N16" s="136">
        <f t="shared" si="0"/>
        <v>38725.629999999997</v>
      </c>
      <c r="O16" s="4">
        <f t="shared" si="1"/>
        <v>45225.63</v>
      </c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B16" s="23" t="s">
        <v>578</v>
      </c>
      <c r="AC16" s="3"/>
      <c r="AD16" s="3" t="str">
        <f t="shared" ref="AD16" si="5">SUBSTITUTE(AB16," ","")</f>
        <v>_13.Standardvaccinecarriers</v>
      </c>
      <c r="AE16" s="3"/>
      <c r="AF16" s="3"/>
      <c r="AG16" s="3"/>
      <c r="AH16" s="3"/>
      <c r="AI16" s="3"/>
      <c r="AJ16" s="3"/>
    </row>
    <row r="17" spans="1:36" s="147" customFormat="1" ht="40.5" customHeight="1" x14ac:dyDescent="0.25">
      <c r="A17" s="150">
        <f t="shared" si="2"/>
        <v>14</v>
      </c>
      <c r="B17" s="14" t="s">
        <v>579</v>
      </c>
      <c r="C17" s="150" t="s">
        <v>580</v>
      </c>
      <c r="D17" s="155" t="s">
        <v>581</v>
      </c>
      <c r="E17" s="150" t="s">
        <v>279</v>
      </c>
      <c r="F17" s="149">
        <v>30000</v>
      </c>
      <c r="G17" s="145" t="s">
        <v>582</v>
      </c>
      <c r="H17" s="145" t="s">
        <v>583</v>
      </c>
      <c r="I17" s="200">
        <v>25318.44</v>
      </c>
      <c r="J17" s="168">
        <v>16500</v>
      </c>
      <c r="K17" s="169">
        <v>23000</v>
      </c>
      <c r="L17" s="136" t="s">
        <v>584</v>
      </c>
      <c r="M17" s="138" t="s">
        <v>585</v>
      </c>
      <c r="N17" s="136">
        <f t="shared" si="0"/>
        <v>41818.44</v>
      </c>
      <c r="O17" s="4">
        <f t="shared" si="1"/>
        <v>48318.44</v>
      </c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B17" s="23" t="s">
        <v>586</v>
      </c>
      <c r="AC17" s="3"/>
      <c r="AD17" s="3" t="str">
        <f t="shared" si="4"/>
        <v>_14.Freezefreevaccinecarriers</v>
      </c>
      <c r="AE17" s="3"/>
      <c r="AF17" s="3"/>
      <c r="AG17" s="3"/>
      <c r="AH17" s="3"/>
      <c r="AI17" s="23"/>
      <c r="AJ17" s="3"/>
    </row>
    <row r="18" spans="1:36" s="147" customFormat="1" ht="40.5" customHeight="1" x14ac:dyDescent="0.25">
      <c r="A18" s="150">
        <f t="shared" si="2"/>
        <v>15</v>
      </c>
      <c r="B18" s="14" t="s">
        <v>587</v>
      </c>
      <c r="C18" s="150" t="s">
        <v>253</v>
      </c>
      <c r="D18" s="155" t="s">
        <v>588</v>
      </c>
      <c r="E18" s="150" t="s">
        <v>261</v>
      </c>
      <c r="F18" s="149">
        <v>40000</v>
      </c>
      <c r="G18" s="145" t="s">
        <v>589</v>
      </c>
      <c r="H18" s="145" t="s">
        <v>590</v>
      </c>
      <c r="I18" s="200">
        <v>25132.633399999999</v>
      </c>
      <c r="J18" s="168">
        <v>18500</v>
      </c>
      <c r="K18" s="169">
        <v>26000</v>
      </c>
      <c r="L18" s="136" t="s">
        <v>591</v>
      </c>
      <c r="M18" s="138" t="s">
        <v>592</v>
      </c>
      <c r="N18" s="136">
        <f t="shared" si="0"/>
        <v>43632.633399999999</v>
      </c>
      <c r="O18" s="4">
        <f t="shared" si="1"/>
        <v>51132.633399999999</v>
      </c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3"/>
      <c r="AB18" s="23" t="s">
        <v>593</v>
      </c>
      <c r="AC18" s="3"/>
      <c r="AD18" s="3" t="str">
        <f t="shared" ref="AD18" si="6">SUBSTITUTE(AB18," ","")</f>
        <v>_15.Standardvaccinecoldboxes</v>
      </c>
      <c r="AE18" s="3"/>
      <c r="AF18" s="3"/>
      <c r="AG18" s="3"/>
      <c r="AH18" s="3"/>
      <c r="AI18" s="23"/>
      <c r="AJ18" s="3"/>
    </row>
    <row r="19" spans="1:36" s="147" customFormat="1" ht="40.5" customHeight="1" x14ac:dyDescent="0.25">
      <c r="A19" s="150">
        <f t="shared" si="2"/>
        <v>16</v>
      </c>
      <c r="B19" s="14" t="s">
        <v>594</v>
      </c>
      <c r="C19" s="150" t="s">
        <v>595</v>
      </c>
      <c r="D19" s="155" t="s">
        <v>596</v>
      </c>
      <c r="E19" s="150" t="s">
        <v>265</v>
      </c>
      <c r="F19" s="149">
        <v>40000</v>
      </c>
      <c r="G19" s="145" t="s">
        <v>597</v>
      </c>
      <c r="H19" s="145" t="s">
        <v>598</v>
      </c>
      <c r="I19" s="200">
        <v>21100</v>
      </c>
      <c r="J19" s="168">
        <v>18500</v>
      </c>
      <c r="K19" s="169">
        <v>26000</v>
      </c>
      <c r="L19" s="136" t="s">
        <v>599</v>
      </c>
      <c r="M19" s="138" t="s">
        <v>600</v>
      </c>
      <c r="N19" s="136">
        <f t="shared" si="0"/>
        <v>39600</v>
      </c>
      <c r="O19" s="4">
        <f t="shared" si="1"/>
        <v>47100</v>
      </c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B19" s="23" t="s">
        <v>601</v>
      </c>
      <c r="AC19" s="3"/>
      <c r="AD19" s="3" t="str">
        <f t="shared" si="4"/>
        <v>_16.Freezefreecoldboxes</v>
      </c>
      <c r="AE19" s="3"/>
      <c r="AF19" s="3"/>
      <c r="AG19" s="3"/>
      <c r="AH19" s="3"/>
      <c r="AI19" s="23"/>
      <c r="AJ19" s="3"/>
    </row>
    <row r="20" spans="1:36" s="147" customFormat="1" ht="40.5" customHeight="1" x14ac:dyDescent="0.25">
      <c r="A20" s="150">
        <f t="shared" si="2"/>
        <v>17</v>
      </c>
      <c r="B20" s="14" t="s">
        <v>602</v>
      </c>
      <c r="C20" s="150" t="s">
        <v>603</v>
      </c>
      <c r="D20" s="155" t="s">
        <v>604</v>
      </c>
      <c r="E20" s="150" t="s">
        <v>266</v>
      </c>
      <c r="F20" s="149">
        <v>40000</v>
      </c>
      <c r="G20" s="145" t="s">
        <v>605</v>
      </c>
      <c r="H20" s="145" t="s">
        <v>606</v>
      </c>
      <c r="I20" s="200">
        <v>23100</v>
      </c>
      <c r="J20" s="168">
        <v>18500</v>
      </c>
      <c r="K20" s="169">
        <v>26000</v>
      </c>
      <c r="L20" s="136" t="s">
        <v>607</v>
      </c>
      <c r="M20" s="138" t="s">
        <v>608</v>
      </c>
      <c r="N20" s="136">
        <f t="shared" si="0"/>
        <v>41600</v>
      </c>
      <c r="O20" s="4">
        <f t="shared" si="1"/>
        <v>49100</v>
      </c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B20" s="3" t="s">
        <v>609</v>
      </c>
      <c r="AC20" s="3"/>
      <c r="AD20" s="3" t="str">
        <f t="shared" si="4"/>
        <v>_17.Voltageregulatorsforequipment</v>
      </c>
      <c r="AE20" s="3"/>
      <c r="AF20" s="3"/>
      <c r="AG20" s="3"/>
      <c r="AH20" s="3"/>
      <c r="AI20" s="23"/>
      <c r="AJ20" s="3"/>
    </row>
    <row r="21" spans="1:36" s="147" customFormat="1" ht="40.5" customHeight="1" x14ac:dyDescent="0.25">
      <c r="A21" s="150">
        <f t="shared" si="2"/>
        <v>18</v>
      </c>
      <c r="B21" s="14" t="s">
        <v>610</v>
      </c>
      <c r="C21" s="150" t="s">
        <v>611</v>
      </c>
      <c r="D21" s="155" t="s">
        <v>612</v>
      </c>
      <c r="E21" s="150" t="s">
        <v>270</v>
      </c>
      <c r="F21" s="149">
        <v>40000</v>
      </c>
      <c r="G21" s="145" t="s">
        <v>613</v>
      </c>
      <c r="H21" s="145" t="s">
        <v>614</v>
      </c>
      <c r="I21" s="200">
        <v>26596.5</v>
      </c>
      <c r="J21" s="168">
        <v>18500</v>
      </c>
      <c r="K21" s="169">
        <v>26000</v>
      </c>
      <c r="L21" s="136" t="s">
        <v>615</v>
      </c>
      <c r="M21" s="138" t="s">
        <v>616</v>
      </c>
      <c r="N21" s="136">
        <f t="shared" si="0"/>
        <v>45096.5</v>
      </c>
      <c r="O21" s="4">
        <f t="shared" si="1"/>
        <v>52596.5</v>
      </c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3"/>
      <c r="AB21" s="3" t="s">
        <v>2144</v>
      </c>
      <c r="AC21" s="3"/>
      <c r="AD21" s="3" t="str">
        <f t="shared" ref="AD21" si="7">SUBSTITUTE(AB21," ","")</f>
        <v>_18.Icepacks</v>
      </c>
      <c r="AE21" s="3"/>
      <c r="AF21" s="3"/>
      <c r="AG21" s="3"/>
      <c r="AH21" s="3"/>
      <c r="AI21" s="3"/>
      <c r="AJ21" s="3"/>
    </row>
    <row r="22" spans="1:36" s="147" customFormat="1" ht="40.5" customHeight="1" x14ac:dyDescent="0.25">
      <c r="A22" s="150">
        <f t="shared" si="2"/>
        <v>19</v>
      </c>
      <c r="B22" s="14" t="s">
        <v>617</v>
      </c>
      <c r="C22" s="150" t="s">
        <v>618</v>
      </c>
      <c r="D22" s="155" t="s">
        <v>619</v>
      </c>
      <c r="E22" s="150" t="s">
        <v>271</v>
      </c>
      <c r="F22" s="149">
        <v>40000</v>
      </c>
      <c r="G22" s="145" t="s">
        <v>620</v>
      </c>
      <c r="H22" s="145" t="s">
        <v>621</v>
      </c>
      <c r="I22" s="200">
        <v>30404.5</v>
      </c>
      <c r="J22" s="168">
        <v>18500</v>
      </c>
      <c r="K22" s="169">
        <v>26000</v>
      </c>
      <c r="L22" s="136" t="s">
        <v>622</v>
      </c>
      <c r="M22" s="138" t="s">
        <v>623</v>
      </c>
      <c r="N22" s="136">
        <f t="shared" si="0"/>
        <v>48904.5</v>
      </c>
      <c r="O22" s="4">
        <f t="shared" si="1"/>
        <v>56404.5</v>
      </c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B22" s="23" t="s">
        <v>2162</v>
      </c>
      <c r="AC22" s="3"/>
      <c r="AD22" s="3" t="str">
        <f t="shared" ref="AD22:AD27" si="8">SUBSTITUTE(AB22," ","")</f>
        <v>_19.SparepartsfornewILRequipmentwithoutfreezer</v>
      </c>
      <c r="AE22" s="3"/>
      <c r="AF22" s="3"/>
      <c r="AG22" s="3"/>
      <c r="AH22" s="3"/>
      <c r="AI22" s="23"/>
      <c r="AJ22" s="3"/>
    </row>
    <row r="23" spans="1:36" s="147" customFormat="1" ht="40.5" customHeight="1" x14ac:dyDescent="0.25">
      <c r="A23" s="150">
        <f t="shared" si="2"/>
        <v>20</v>
      </c>
      <c r="B23" s="14" t="s">
        <v>624</v>
      </c>
      <c r="C23" s="150" t="s">
        <v>625</v>
      </c>
      <c r="D23" s="155" t="s">
        <v>626</v>
      </c>
      <c r="E23" s="150" t="s">
        <v>275</v>
      </c>
      <c r="F23" s="149">
        <v>40000</v>
      </c>
      <c r="G23" s="145" t="s">
        <v>627</v>
      </c>
      <c r="H23" s="145" t="s">
        <v>628</v>
      </c>
      <c r="I23" s="200">
        <v>27988.799999999999</v>
      </c>
      <c r="J23" s="168">
        <v>18500</v>
      </c>
      <c r="K23" s="169">
        <v>26000</v>
      </c>
      <c r="L23" s="136" t="s">
        <v>629</v>
      </c>
      <c r="M23" s="138" t="s">
        <v>630</v>
      </c>
      <c r="N23" s="136">
        <f t="shared" si="0"/>
        <v>46488.800000000003</v>
      </c>
      <c r="O23" s="4">
        <f t="shared" si="1"/>
        <v>53988.800000000003</v>
      </c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B23" s="3" t="s">
        <v>2163</v>
      </c>
      <c r="AC23" s="3"/>
      <c r="AD23" s="3" t="str">
        <f t="shared" si="8"/>
        <v>_20.SparepartsfornewILRequipmentwithfreezer</v>
      </c>
      <c r="AE23" s="3"/>
      <c r="AF23" s="3"/>
      <c r="AG23" s="3"/>
      <c r="AH23" s="3"/>
      <c r="AI23" s="3"/>
      <c r="AJ23" s="3"/>
    </row>
    <row r="24" spans="1:36" s="147" customFormat="1" ht="40.5" customHeight="1" x14ac:dyDescent="0.25">
      <c r="A24" s="150">
        <f t="shared" si="2"/>
        <v>21</v>
      </c>
      <c r="B24" s="14" t="s">
        <v>631</v>
      </c>
      <c r="C24" s="150" t="s">
        <v>632</v>
      </c>
      <c r="D24" s="155" t="s">
        <v>633</v>
      </c>
      <c r="E24" s="150" t="s">
        <v>276</v>
      </c>
      <c r="F24" s="149">
        <v>40000</v>
      </c>
      <c r="G24" s="145" t="s">
        <v>634</v>
      </c>
      <c r="H24" s="145" t="s">
        <v>635</v>
      </c>
      <c r="I24" s="200">
        <v>28702.799999999999</v>
      </c>
      <c r="J24" s="168">
        <v>18500</v>
      </c>
      <c r="K24" s="169">
        <v>26000</v>
      </c>
      <c r="L24" s="136" t="s">
        <v>636</v>
      </c>
      <c r="M24" s="138" t="s">
        <v>637</v>
      </c>
      <c r="N24" s="136">
        <f t="shared" si="0"/>
        <v>47202.8</v>
      </c>
      <c r="O24" s="4">
        <f t="shared" si="1"/>
        <v>54702.8</v>
      </c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B24" s="3" t="s">
        <v>2164</v>
      </c>
      <c r="AC24" s="3"/>
      <c r="AD24" s="3" t="str">
        <f t="shared" si="8"/>
        <v>_21.Sparepartsfornewfreezerequipment</v>
      </c>
    </row>
    <row r="25" spans="1:36" s="147" customFormat="1" ht="40.5" customHeight="1" x14ac:dyDescent="0.25">
      <c r="A25" s="150">
        <f t="shared" si="2"/>
        <v>22</v>
      </c>
      <c r="B25" s="14" t="s">
        <v>638</v>
      </c>
      <c r="C25" s="150" t="s">
        <v>639</v>
      </c>
      <c r="D25" s="155" t="s">
        <v>640</v>
      </c>
      <c r="E25" s="150" t="s">
        <v>280</v>
      </c>
      <c r="F25" s="149">
        <v>40000</v>
      </c>
      <c r="G25" s="145" t="s">
        <v>641</v>
      </c>
      <c r="H25" s="145" t="s">
        <v>642</v>
      </c>
      <c r="I25" s="200">
        <v>25007.85</v>
      </c>
      <c r="J25" s="168">
        <v>18500</v>
      </c>
      <c r="K25" s="169">
        <v>26000</v>
      </c>
      <c r="L25" s="136" t="s">
        <v>643</v>
      </c>
      <c r="M25" s="138" t="s">
        <v>644</v>
      </c>
      <c r="N25" s="136">
        <f t="shared" si="0"/>
        <v>43507.85</v>
      </c>
      <c r="O25" s="4">
        <f t="shared" si="1"/>
        <v>51007.85</v>
      </c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B25" s="3" t="s">
        <v>2165</v>
      </c>
      <c r="AC25" s="3"/>
      <c r="AD25" s="3" t="str">
        <f t="shared" si="8"/>
        <v>_22.SparepartsfornewSDDwithoutfreezercomp.</v>
      </c>
    </row>
    <row r="26" spans="1:36" s="147" customFormat="1" ht="40.5" customHeight="1" x14ac:dyDescent="0.25">
      <c r="A26" s="150">
        <f t="shared" si="2"/>
        <v>23</v>
      </c>
      <c r="B26" s="14" t="s">
        <v>645</v>
      </c>
      <c r="C26" s="150" t="s">
        <v>646</v>
      </c>
      <c r="D26" s="155" t="s">
        <v>647</v>
      </c>
      <c r="E26" s="150" t="s">
        <v>281</v>
      </c>
      <c r="F26" s="149">
        <v>40000</v>
      </c>
      <c r="G26" s="145" t="s">
        <v>648</v>
      </c>
      <c r="H26" s="145" t="s">
        <v>649</v>
      </c>
      <c r="I26" s="200">
        <v>28492.17</v>
      </c>
      <c r="J26" s="168">
        <v>18500</v>
      </c>
      <c r="K26" s="169">
        <v>26000</v>
      </c>
      <c r="L26" s="136" t="s">
        <v>650</v>
      </c>
      <c r="M26" s="138" t="s">
        <v>651</v>
      </c>
      <c r="N26" s="136">
        <f t="shared" si="0"/>
        <v>46992.17</v>
      </c>
      <c r="O26" s="4">
        <f t="shared" si="1"/>
        <v>54492.17</v>
      </c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B26" s="3" t="s">
        <v>2166</v>
      </c>
      <c r="AC26" s="3"/>
      <c r="AD26" s="3" t="str">
        <f t="shared" si="8"/>
        <v>_23.SparepartsfornewSDDwithfreezercomp.</v>
      </c>
    </row>
    <row r="27" spans="1:36" s="147" customFormat="1" ht="40.5" customHeight="1" x14ac:dyDescent="0.25">
      <c r="A27" s="150">
        <f t="shared" si="2"/>
        <v>24</v>
      </c>
      <c r="B27" s="14" t="s">
        <v>336</v>
      </c>
      <c r="C27" s="150" t="s">
        <v>652</v>
      </c>
      <c r="D27" s="155" t="s">
        <v>653</v>
      </c>
      <c r="E27" s="150" t="s">
        <v>282</v>
      </c>
      <c r="F27" s="149">
        <v>25000</v>
      </c>
      <c r="G27" s="149">
        <v>15000</v>
      </c>
      <c r="H27" s="145" t="s">
        <v>654</v>
      </c>
      <c r="I27" s="200">
        <v>27500</v>
      </c>
      <c r="J27" s="168">
        <v>26000</v>
      </c>
      <c r="K27" s="169">
        <v>38000</v>
      </c>
      <c r="L27" s="136" t="s">
        <v>655</v>
      </c>
      <c r="M27" s="138" t="s">
        <v>656</v>
      </c>
      <c r="N27" s="136">
        <f t="shared" si="0"/>
        <v>53500</v>
      </c>
      <c r="O27" s="4">
        <f t="shared" si="1"/>
        <v>65500</v>
      </c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B27" s="3" t="s">
        <v>2167</v>
      </c>
      <c r="AC27" s="3"/>
      <c r="AD27" s="3" t="str">
        <f t="shared" si="8"/>
        <v>_24.SparepartsfornewSDDfreezer</v>
      </c>
    </row>
    <row r="28" spans="1:36" s="147" customFormat="1" ht="40.5" customHeight="1" x14ac:dyDescent="0.25">
      <c r="A28" s="150">
        <f t="shared" si="2"/>
        <v>25</v>
      </c>
      <c r="B28" s="14" t="s">
        <v>657</v>
      </c>
      <c r="C28" s="150" t="s">
        <v>658</v>
      </c>
      <c r="D28" s="155" t="s">
        <v>659</v>
      </c>
      <c r="E28" s="150" t="s">
        <v>283</v>
      </c>
      <c r="F28" s="149">
        <v>25000</v>
      </c>
      <c r="G28" s="149">
        <v>15000</v>
      </c>
      <c r="H28" s="145" t="s">
        <v>660</v>
      </c>
      <c r="I28" s="200">
        <v>36500</v>
      </c>
      <c r="J28" s="168">
        <v>26000</v>
      </c>
      <c r="K28" s="169">
        <v>38000</v>
      </c>
      <c r="L28" s="136" t="s">
        <v>661</v>
      </c>
      <c r="M28" s="138" t="s">
        <v>662</v>
      </c>
      <c r="N28" s="136">
        <f t="shared" si="0"/>
        <v>62500</v>
      </c>
      <c r="O28" s="4">
        <f t="shared" si="1"/>
        <v>74500</v>
      </c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B28" s="148"/>
    </row>
    <row r="29" spans="1:36" s="147" customFormat="1" ht="40.5" customHeight="1" x14ac:dyDescent="0.25">
      <c r="A29" s="150">
        <f t="shared" si="2"/>
        <v>26</v>
      </c>
      <c r="B29" s="14" t="s">
        <v>663</v>
      </c>
      <c r="C29" s="150" t="s">
        <v>664</v>
      </c>
      <c r="D29" s="155" t="s">
        <v>665</v>
      </c>
      <c r="E29" s="150" t="s">
        <v>284</v>
      </c>
      <c r="F29" s="149">
        <v>25000</v>
      </c>
      <c r="G29" s="149">
        <v>15000</v>
      </c>
      <c r="H29" s="145" t="s">
        <v>666</v>
      </c>
      <c r="I29" s="200">
        <v>34596</v>
      </c>
      <c r="J29" s="168">
        <v>26000</v>
      </c>
      <c r="K29" s="169">
        <v>38000</v>
      </c>
      <c r="L29" s="136" t="s">
        <v>667</v>
      </c>
      <c r="M29" s="138" t="s">
        <v>668</v>
      </c>
      <c r="N29" s="136">
        <f t="shared" si="0"/>
        <v>60596</v>
      </c>
      <c r="O29" s="4">
        <f t="shared" si="1"/>
        <v>72596</v>
      </c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B29" s="148"/>
    </row>
    <row r="30" spans="1:36" s="147" customFormat="1" ht="40.5" customHeight="1" x14ac:dyDescent="0.25">
      <c r="A30" s="150">
        <f t="shared" si="2"/>
        <v>27</v>
      </c>
      <c r="B30" s="14" t="s">
        <v>669</v>
      </c>
      <c r="C30" s="150" t="s">
        <v>670</v>
      </c>
      <c r="D30" s="155" t="s">
        <v>671</v>
      </c>
      <c r="E30" s="150" t="s">
        <v>285</v>
      </c>
      <c r="F30" s="149">
        <v>25000</v>
      </c>
      <c r="G30" s="149">
        <v>15000</v>
      </c>
      <c r="H30" s="145" t="s">
        <v>672</v>
      </c>
      <c r="I30" s="200">
        <v>43099</v>
      </c>
      <c r="J30" s="168">
        <v>26000</v>
      </c>
      <c r="K30" s="169">
        <v>38000</v>
      </c>
      <c r="L30" s="136" t="s">
        <v>673</v>
      </c>
      <c r="M30" s="138" t="s">
        <v>674</v>
      </c>
      <c r="N30" s="136">
        <f t="shared" si="0"/>
        <v>69099</v>
      </c>
      <c r="O30" s="4">
        <f t="shared" si="1"/>
        <v>81099</v>
      </c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B30" s="148"/>
    </row>
    <row r="31" spans="1:36" s="147" customFormat="1" ht="40.5" customHeight="1" x14ac:dyDescent="0.25">
      <c r="A31" s="150">
        <f t="shared" si="2"/>
        <v>28</v>
      </c>
      <c r="B31" s="14" t="s">
        <v>675</v>
      </c>
      <c r="C31" s="150" t="s">
        <v>676</v>
      </c>
      <c r="D31" s="155" t="s">
        <v>677</v>
      </c>
      <c r="E31" s="150" t="s">
        <v>286</v>
      </c>
      <c r="F31" s="149">
        <v>25000</v>
      </c>
      <c r="G31" s="149">
        <v>15000</v>
      </c>
      <c r="H31" s="145" t="s">
        <v>678</v>
      </c>
      <c r="I31" s="200">
        <v>45439</v>
      </c>
      <c r="J31" s="168">
        <v>26000</v>
      </c>
      <c r="K31" s="169">
        <v>38000</v>
      </c>
      <c r="L31" s="136" t="s">
        <v>679</v>
      </c>
      <c r="M31" s="138" t="s">
        <v>680</v>
      </c>
      <c r="N31" s="136">
        <f t="shared" si="0"/>
        <v>71439</v>
      </c>
      <c r="O31" s="4">
        <f t="shared" si="1"/>
        <v>83439</v>
      </c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B31" s="148"/>
    </row>
    <row r="32" spans="1:36" s="147" customFormat="1" ht="40.5" customHeight="1" x14ac:dyDescent="0.25">
      <c r="A32" s="150">
        <f t="shared" si="2"/>
        <v>29</v>
      </c>
      <c r="B32" s="14" t="s">
        <v>681</v>
      </c>
      <c r="C32" s="150" t="s">
        <v>682</v>
      </c>
      <c r="D32" s="155" t="s">
        <v>683</v>
      </c>
      <c r="E32" s="150" t="s">
        <v>287</v>
      </c>
      <c r="F32" s="149">
        <v>25000</v>
      </c>
      <c r="G32" s="149">
        <v>15000</v>
      </c>
      <c r="H32" s="145" t="s">
        <v>684</v>
      </c>
      <c r="I32" s="200">
        <v>48339</v>
      </c>
      <c r="J32" s="168">
        <v>26000</v>
      </c>
      <c r="K32" s="169">
        <v>38000</v>
      </c>
      <c r="L32" s="136" t="s">
        <v>685</v>
      </c>
      <c r="M32" s="138" t="s">
        <v>686</v>
      </c>
      <c r="N32" s="136">
        <f t="shared" si="0"/>
        <v>74339</v>
      </c>
      <c r="O32" s="4">
        <f t="shared" si="1"/>
        <v>86339</v>
      </c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B32" s="148"/>
    </row>
    <row r="33" spans="1:30" s="147" customFormat="1" ht="40.5" customHeight="1" x14ac:dyDescent="0.25">
      <c r="A33" s="150">
        <f t="shared" si="2"/>
        <v>30</v>
      </c>
      <c r="B33" s="14" t="s">
        <v>687</v>
      </c>
      <c r="C33" s="150" t="s">
        <v>688</v>
      </c>
      <c r="D33" s="155" t="s">
        <v>689</v>
      </c>
      <c r="E33" s="150" t="s">
        <v>288</v>
      </c>
      <c r="F33" s="149">
        <v>25000</v>
      </c>
      <c r="G33" s="149">
        <v>15000</v>
      </c>
      <c r="H33" s="145" t="s">
        <v>690</v>
      </c>
      <c r="I33" s="200">
        <v>38626</v>
      </c>
      <c r="J33" s="168">
        <v>26000</v>
      </c>
      <c r="K33" s="169">
        <v>38000</v>
      </c>
      <c r="L33" s="136" t="s">
        <v>691</v>
      </c>
      <c r="M33" s="138" t="s">
        <v>692</v>
      </c>
      <c r="N33" s="136">
        <f t="shared" si="0"/>
        <v>64626</v>
      </c>
      <c r="O33" s="4">
        <f t="shared" si="1"/>
        <v>76626</v>
      </c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B33" s="148"/>
    </row>
    <row r="34" spans="1:30" s="147" customFormat="1" ht="40.5" customHeight="1" x14ac:dyDescent="0.25">
      <c r="A34" s="150">
        <f t="shared" si="2"/>
        <v>31</v>
      </c>
      <c r="B34" s="14" t="s">
        <v>693</v>
      </c>
      <c r="C34" s="150" t="s">
        <v>694</v>
      </c>
      <c r="D34" s="155" t="s">
        <v>695</v>
      </c>
      <c r="E34" s="150" t="s">
        <v>289</v>
      </c>
      <c r="F34" s="149">
        <v>25000</v>
      </c>
      <c r="G34" s="149">
        <v>15000</v>
      </c>
      <c r="H34" s="145" t="s">
        <v>696</v>
      </c>
      <c r="I34" s="200">
        <v>45680</v>
      </c>
      <c r="J34" s="168">
        <v>26000</v>
      </c>
      <c r="K34" s="169">
        <v>38000</v>
      </c>
      <c r="L34" s="136" t="s">
        <v>697</v>
      </c>
      <c r="M34" s="138" t="s">
        <v>698</v>
      </c>
      <c r="N34" s="136">
        <f t="shared" si="0"/>
        <v>71680</v>
      </c>
      <c r="O34" s="4">
        <f t="shared" si="1"/>
        <v>83680</v>
      </c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B34" s="148"/>
    </row>
    <row r="35" spans="1:30" s="147" customFormat="1" ht="40.5" customHeight="1" x14ac:dyDescent="0.25">
      <c r="A35" s="150">
        <f t="shared" si="2"/>
        <v>32</v>
      </c>
      <c r="B35" s="14" t="s">
        <v>337</v>
      </c>
      <c r="C35" s="150" t="s">
        <v>699</v>
      </c>
      <c r="D35" s="155" t="s">
        <v>700</v>
      </c>
      <c r="E35" s="150" t="s">
        <v>701</v>
      </c>
      <c r="F35" s="149">
        <v>10000</v>
      </c>
      <c r="G35" s="149"/>
      <c r="H35" s="145" t="s">
        <v>702</v>
      </c>
      <c r="I35" s="153">
        <v>5500</v>
      </c>
      <c r="J35" s="168" t="s">
        <v>703</v>
      </c>
      <c r="K35" s="169" t="s">
        <v>704</v>
      </c>
      <c r="L35" s="136" t="s">
        <v>705</v>
      </c>
      <c r="M35" s="138" t="s">
        <v>706</v>
      </c>
      <c r="N35" s="136">
        <f t="shared" ref="N35" si="9">I35</f>
        <v>5500</v>
      </c>
      <c r="O35" s="136">
        <f t="shared" ref="O35" si="10">I35</f>
        <v>5500</v>
      </c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B35" s="148"/>
    </row>
    <row r="36" spans="1:30" s="147" customFormat="1" ht="40.5" customHeight="1" x14ac:dyDescent="0.25">
      <c r="A36" s="150">
        <f t="shared" si="2"/>
        <v>33</v>
      </c>
      <c r="B36" s="14" t="s">
        <v>707</v>
      </c>
      <c r="C36" s="150" t="s">
        <v>254</v>
      </c>
      <c r="D36" s="155" t="s">
        <v>708</v>
      </c>
      <c r="E36" s="150" t="s">
        <v>709</v>
      </c>
      <c r="F36" s="149">
        <v>20000</v>
      </c>
      <c r="G36" s="149"/>
      <c r="H36" s="145" t="s">
        <v>710</v>
      </c>
      <c r="I36" s="153">
        <v>8500</v>
      </c>
      <c r="J36" s="168" t="s">
        <v>711</v>
      </c>
      <c r="K36" s="169" t="s">
        <v>712</v>
      </c>
      <c r="L36" s="136" t="s">
        <v>713</v>
      </c>
      <c r="M36" s="138" t="s">
        <v>714</v>
      </c>
      <c r="N36" s="136">
        <f t="shared" ref="N36:N38" si="11">I36</f>
        <v>8500</v>
      </c>
      <c r="O36" s="136">
        <f t="shared" ref="O36:O38" si="12">I36</f>
        <v>8500</v>
      </c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B36" s="148"/>
    </row>
    <row r="37" spans="1:30" s="147" customFormat="1" ht="40.5" customHeight="1" x14ac:dyDescent="0.25">
      <c r="A37" s="150">
        <f t="shared" si="2"/>
        <v>34</v>
      </c>
      <c r="B37" s="14" t="s">
        <v>715</v>
      </c>
      <c r="C37" s="150" t="s">
        <v>716</v>
      </c>
      <c r="D37" s="155" t="s">
        <v>717</v>
      </c>
      <c r="E37" s="150" t="s">
        <v>718</v>
      </c>
      <c r="F37" s="149">
        <v>30000</v>
      </c>
      <c r="G37" s="149"/>
      <c r="H37" s="145" t="s">
        <v>719</v>
      </c>
      <c r="I37" s="153">
        <v>8500</v>
      </c>
      <c r="J37" s="191" t="s">
        <v>720</v>
      </c>
      <c r="K37" s="192" t="s">
        <v>721</v>
      </c>
      <c r="L37" s="136" t="s">
        <v>722</v>
      </c>
      <c r="M37" s="138" t="s">
        <v>723</v>
      </c>
      <c r="N37" s="136">
        <f t="shared" si="11"/>
        <v>8500</v>
      </c>
      <c r="O37" s="136">
        <f t="shared" si="12"/>
        <v>8500</v>
      </c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B37" s="148"/>
    </row>
    <row r="38" spans="1:30" s="147" customFormat="1" ht="40.5" customHeight="1" x14ac:dyDescent="0.25">
      <c r="A38" s="150">
        <f t="shared" si="2"/>
        <v>35</v>
      </c>
      <c r="B38" s="14" t="s">
        <v>724</v>
      </c>
      <c r="C38" s="150" t="s">
        <v>725</v>
      </c>
      <c r="D38" s="155" t="s">
        <v>726</v>
      </c>
      <c r="E38" s="150" t="s">
        <v>727</v>
      </c>
      <c r="F38" s="149">
        <v>40000</v>
      </c>
      <c r="G38" s="149"/>
      <c r="H38" s="145" t="s">
        <v>728</v>
      </c>
      <c r="I38" s="153">
        <v>9500</v>
      </c>
      <c r="J38" s="191" t="s">
        <v>729</v>
      </c>
      <c r="K38" s="192" t="s">
        <v>730</v>
      </c>
      <c r="L38" s="136" t="s">
        <v>731</v>
      </c>
      <c r="M38" s="138" t="s">
        <v>732</v>
      </c>
      <c r="N38" s="136">
        <f t="shared" si="11"/>
        <v>9500</v>
      </c>
      <c r="O38" s="136">
        <f t="shared" si="12"/>
        <v>9500</v>
      </c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B38" s="148"/>
    </row>
    <row r="39" spans="1:30" s="147" customFormat="1" ht="40.5" customHeight="1" x14ac:dyDescent="0.25">
      <c r="A39" s="150">
        <f t="shared" si="2"/>
        <v>36</v>
      </c>
      <c r="B39" s="14" t="s">
        <v>319</v>
      </c>
      <c r="C39" s="150" t="s">
        <v>733</v>
      </c>
      <c r="D39" s="155" t="s">
        <v>734</v>
      </c>
      <c r="E39" s="150" t="s">
        <v>735</v>
      </c>
      <c r="F39" s="149">
        <v>10000</v>
      </c>
      <c r="G39" s="149" t="s">
        <v>736</v>
      </c>
      <c r="H39" s="145" t="s">
        <v>737</v>
      </c>
      <c r="I39" s="153">
        <v>16550</v>
      </c>
      <c r="J39" s="191" t="s">
        <v>738</v>
      </c>
      <c r="K39" s="192" t="s">
        <v>739</v>
      </c>
      <c r="L39" s="136" t="s">
        <v>740</v>
      </c>
      <c r="M39" s="138" t="s">
        <v>741</v>
      </c>
      <c r="N39" s="136">
        <f>I39</f>
        <v>16550</v>
      </c>
      <c r="O39" s="136">
        <f>I39</f>
        <v>16550</v>
      </c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B39" s="148"/>
    </row>
    <row r="40" spans="1:30" s="147" customFormat="1" ht="40.5" customHeight="1" x14ac:dyDescent="0.25">
      <c r="A40" s="150">
        <f t="shared" si="2"/>
        <v>37</v>
      </c>
      <c r="B40" s="14" t="s">
        <v>742</v>
      </c>
      <c r="C40" s="150" t="s">
        <v>743</v>
      </c>
      <c r="D40" s="155" t="s">
        <v>744</v>
      </c>
      <c r="E40" s="150" t="s">
        <v>745</v>
      </c>
      <c r="F40" s="149">
        <v>20000</v>
      </c>
      <c r="G40" s="149" t="s">
        <v>746</v>
      </c>
      <c r="H40" s="145" t="s">
        <v>747</v>
      </c>
      <c r="I40" s="153">
        <v>26605.25</v>
      </c>
      <c r="J40" s="191" t="s">
        <v>748</v>
      </c>
      <c r="K40" s="192" t="s">
        <v>749</v>
      </c>
      <c r="L40" s="136" t="s">
        <v>750</v>
      </c>
      <c r="M40" s="138" t="s">
        <v>751</v>
      </c>
      <c r="N40" s="136">
        <f t="shared" ref="N40:N42" si="13">I40</f>
        <v>26605.25</v>
      </c>
      <c r="O40" s="136">
        <f t="shared" ref="O40:O42" si="14">I40</f>
        <v>26605.25</v>
      </c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B40" s="148"/>
    </row>
    <row r="41" spans="1:30" s="147" customFormat="1" ht="40.5" customHeight="1" x14ac:dyDescent="0.25">
      <c r="A41" s="150">
        <f t="shared" si="2"/>
        <v>38</v>
      </c>
      <c r="B41" s="14" t="s">
        <v>752</v>
      </c>
      <c r="C41" s="150" t="s">
        <v>753</v>
      </c>
      <c r="D41" s="155" t="s">
        <v>754</v>
      </c>
      <c r="E41" s="150" t="s">
        <v>755</v>
      </c>
      <c r="F41" s="149">
        <v>30000</v>
      </c>
      <c r="G41" s="149" t="s">
        <v>756</v>
      </c>
      <c r="H41" s="145" t="s">
        <v>757</v>
      </c>
      <c r="I41" s="153">
        <v>25318.44</v>
      </c>
      <c r="J41" s="191" t="s">
        <v>758</v>
      </c>
      <c r="K41" s="192" t="s">
        <v>759</v>
      </c>
      <c r="L41" s="136" t="s">
        <v>760</v>
      </c>
      <c r="M41" s="138" t="s">
        <v>761</v>
      </c>
      <c r="N41" s="136">
        <f t="shared" si="13"/>
        <v>25318.44</v>
      </c>
      <c r="O41" s="136">
        <f t="shared" si="14"/>
        <v>25318.44</v>
      </c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</row>
    <row r="42" spans="1:30" s="147" customFormat="1" ht="40.5" customHeight="1" x14ac:dyDescent="0.25">
      <c r="A42" s="150">
        <f t="shared" si="2"/>
        <v>39</v>
      </c>
      <c r="B42" s="14" t="s">
        <v>762</v>
      </c>
      <c r="C42" s="150" t="s">
        <v>763</v>
      </c>
      <c r="D42" s="155" t="s">
        <v>764</v>
      </c>
      <c r="E42" s="150" t="s">
        <v>765</v>
      </c>
      <c r="F42" s="149">
        <v>40000</v>
      </c>
      <c r="G42" s="149" t="s">
        <v>766</v>
      </c>
      <c r="H42" s="145" t="s">
        <v>767</v>
      </c>
      <c r="I42" s="153">
        <v>28492.17</v>
      </c>
      <c r="J42" s="191" t="s">
        <v>768</v>
      </c>
      <c r="K42" s="192" t="s">
        <v>769</v>
      </c>
      <c r="L42" s="136" t="s">
        <v>770</v>
      </c>
      <c r="M42" s="138" t="s">
        <v>771</v>
      </c>
      <c r="N42" s="136">
        <f t="shared" si="13"/>
        <v>28492.17</v>
      </c>
      <c r="O42" s="136">
        <f t="shared" si="14"/>
        <v>28492.17</v>
      </c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</row>
    <row r="43" spans="1:30" s="3" customFormat="1" ht="27" customHeight="1" thickBot="1" x14ac:dyDescent="0.3">
      <c r="A43" s="150">
        <f t="shared" si="2"/>
        <v>40</v>
      </c>
      <c r="B43" s="14" t="s">
        <v>772</v>
      </c>
      <c r="C43" s="72" t="s">
        <v>66</v>
      </c>
      <c r="D43" s="73" t="s">
        <v>49</v>
      </c>
      <c r="E43" s="73" t="s">
        <v>8</v>
      </c>
      <c r="F43" s="33">
        <v>27</v>
      </c>
      <c r="G43" s="33" t="s">
        <v>773</v>
      </c>
      <c r="H43" s="33">
        <v>3.2166666666666668</v>
      </c>
      <c r="I43" s="133">
        <v>1250</v>
      </c>
      <c r="J43" s="137">
        <v>400</v>
      </c>
      <c r="K43" s="138">
        <v>1350</v>
      </c>
      <c r="L43" s="136" t="s">
        <v>774</v>
      </c>
      <c r="M43" s="138" t="s">
        <v>775</v>
      </c>
      <c r="N43" s="136">
        <f t="shared" ref="N43:N76" si="15">I43+J43</f>
        <v>1650</v>
      </c>
      <c r="O43" s="4">
        <f t="shared" ref="O43:O76" si="16">I43+K43</f>
        <v>2600</v>
      </c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B43" s="147"/>
      <c r="AC43" s="147"/>
      <c r="AD43" s="147"/>
    </row>
    <row r="44" spans="1:30" s="3" customFormat="1" ht="27" customHeight="1" thickBot="1" x14ac:dyDescent="0.3">
      <c r="A44" s="150">
        <f t="shared" si="2"/>
        <v>41</v>
      </c>
      <c r="B44" s="14" t="s">
        <v>776</v>
      </c>
      <c r="C44" s="72" t="s">
        <v>777</v>
      </c>
      <c r="D44" s="73" t="s">
        <v>50</v>
      </c>
      <c r="E44" s="85" t="s">
        <v>113</v>
      </c>
      <c r="F44" s="33">
        <v>27.5</v>
      </c>
      <c r="G44" s="33" t="s">
        <v>778</v>
      </c>
      <c r="H44" s="33">
        <f>53/24</f>
        <v>2.2083333333333335</v>
      </c>
      <c r="I44" s="133">
        <v>800</v>
      </c>
      <c r="J44" s="137">
        <v>400</v>
      </c>
      <c r="K44" s="138">
        <v>1350</v>
      </c>
      <c r="L44" s="136" t="s">
        <v>779</v>
      </c>
      <c r="M44" s="138" t="s">
        <v>780</v>
      </c>
      <c r="N44" s="136">
        <f t="shared" si="15"/>
        <v>1200</v>
      </c>
      <c r="O44" s="4">
        <f t="shared" si="16"/>
        <v>2150</v>
      </c>
      <c r="P44" s="38"/>
      <c r="AA44" s="12"/>
      <c r="AB44" s="147"/>
      <c r="AC44" s="147"/>
      <c r="AD44" s="147"/>
    </row>
    <row r="45" spans="1:30" s="3" customFormat="1" ht="27" customHeight="1" thickBot="1" x14ac:dyDescent="0.3">
      <c r="A45" s="150">
        <f t="shared" si="2"/>
        <v>42</v>
      </c>
      <c r="B45" s="14" t="s">
        <v>781</v>
      </c>
      <c r="C45" s="72" t="s">
        <v>67</v>
      </c>
      <c r="D45" s="73" t="s">
        <v>54</v>
      </c>
      <c r="E45" s="85" t="s">
        <v>109</v>
      </c>
      <c r="F45" s="33">
        <v>36.5</v>
      </c>
      <c r="G45" s="33" t="s">
        <v>782</v>
      </c>
      <c r="H45" s="33">
        <f>(121+54/60)/24</f>
        <v>5.0791666666666666</v>
      </c>
      <c r="I45" s="133">
        <v>3229.5454545454545</v>
      </c>
      <c r="J45" s="137">
        <v>400</v>
      </c>
      <c r="K45" s="138">
        <v>1350</v>
      </c>
      <c r="L45" s="136" t="s">
        <v>783</v>
      </c>
      <c r="M45" s="138" t="s">
        <v>784</v>
      </c>
      <c r="N45" s="136">
        <f t="shared" si="15"/>
        <v>3629.5454545454545</v>
      </c>
      <c r="O45" s="4">
        <f t="shared" si="16"/>
        <v>4579.545454545454</v>
      </c>
      <c r="P45" s="38"/>
      <c r="AA45" s="12"/>
    </row>
    <row r="46" spans="1:30" s="3" customFormat="1" ht="27" customHeight="1" thickBot="1" x14ac:dyDescent="0.3">
      <c r="A46" s="150">
        <f t="shared" si="2"/>
        <v>43</v>
      </c>
      <c r="B46" s="14" t="s">
        <v>785</v>
      </c>
      <c r="C46" s="72" t="s">
        <v>786</v>
      </c>
      <c r="D46" s="73" t="s">
        <v>787</v>
      </c>
      <c r="E46" s="73" t="s">
        <v>9</v>
      </c>
      <c r="F46" s="33">
        <v>46.8</v>
      </c>
      <c r="G46" s="33" t="s">
        <v>788</v>
      </c>
      <c r="H46" s="33">
        <v>7.583333333333333</v>
      </c>
      <c r="I46" s="133">
        <v>1642</v>
      </c>
      <c r="J46" s="137">
        <v>400</v>
      </c>
      <c r="K46" s="138">
        <v>1350</v>
      </c>
      <c r="L46" s="136" t="s">
        <v>789</v>
      </c>
      <c r="M46" s="138" t="s">
        <v>790</v>
      </c>
      <c r="N46" s="136">
        <f t="shared" si="15"/>
        <v>2042</v>
      </c>
      <c r="O46" s="4">
        <f t="shared" si="16"/>
        <v>2992</v>
      </c>
      <c r="P46" s="38"/>
      <c r="AA46" s="12"/>
    </row>
    <row r="47" spans="1:30" s="3" customFormat="1" ht="27" customHeight="1" thickBot="1" x14ac:dyDescent="0.3">
      <c r="A47" s="150">
        <f t="shared" si="2"/>
        <v>44</v>
      </c>
      <c r="B47" s="14" t="s">
        <v>791</v>
      </c>
      <c r="C47" s="72" t="s">
        <v>792</v>
      </c>
      <c r="D47" s="73" t="s">
        <v>51</v>
      </c>
      <c r="E47" s="73" t="s">
        <v>10</v>
      </c>
      <c r="F47" s="33">
        <v>50</v>
      </c>
      <c r="G47" s="33" t="s">
        <v>793</v>
      </c>
      <c r="H47" s="33">
        <v>5.625</v>
      </c>
      <c r="I47" s="133">
        <v>1400</v>
      </c>
      <c r="J47" s="137">
        <v>400</v>
      </c>
      <c r="K47" s="138">
        <v>1350</v>
      </c>
      <c r="L47" s="136" t="s">
        <v>794</v>
      </c>
      <c r="M47" s="138" t="s">
        <v>795</v>
      </c>
      <c r="N47" s="136">
        <f t="shared" si="15"/>
        <v>1800</v>
      </c>
      <c r="O47" s="4">
        <f t="shared" si="16"/>
        <v>2750</v>
      </c>
      <c r="P47" s="38"/>
      <c r="AA47" s="12"/>
    </row>
    <row r="48" spans="1:30" s="3" customFormat="1" ht="27" customHeight="1" x14ac:dyDescent="0.25">
      <c r="A48" s="150">
        <f t="shared" si="2"/>
        <v>45</v>
      </c>
      <c r="B48" s="14" t="s">
        <v>796</v>
      </c>
      <c r="C48" s="72" t="s">
        <v>797</v>
      </c>
      <c r="D48" s="73" t="s">
        <v>798</v>
      </c>
      <c r="E48" s="73" t="s">
        <v>11</v>
      </c>
      <c r="F48" s="33">
        <v>51</v>
      </c>
      <c r="G48" s="33" t="s">
        <v>799</v>
      </c>
      <c r="H48" s="33">
        <v>2.2916666666666665</v>
      </c>
      <c r="I48" s="133">
        <v>999</v>
      </c>
      <c r="J48" s="137">
        <v>400</v>
      </c>
      <c r="K48" s="138">
        <v>1350</v>
      </c>
      <c r="L48" s="136" t="s">
        <v>800</v>
      </c>
      <c r="M48" s="138" t="s">
        <v>801</v>
      </c>
      <c r="N48" s="136">
        <f t="shared" si="15"/>
        <v>1399</v>
      </c>
      <c r="O48" s="4">
        <f t="shared" si="16"/>
        <v>2349</v>
      </c>
      <c r="P48" s="38"/>
    </row>
    <row r="49" spans="1:26" s="3" customFormat="1" ht="27" customHeight="1" x14ac:dyDescent="0.25">
      <c r="A49" s="150">
        <f t="shared" si="2"/>
        <v>46</v>
      </c>
      <c r="B49" s="14" t="s">
        <v>802</v>
      </c>
      <c r="C49" s="72" t="s">
        <v>68</v>
      </c>
      <c r="D49" s="73" t="s">
        <v>52</v>
      </c>
      <c r="E49" s="73" t="s">
        <v>122</v>
      </c>
      <c r="F49" s="33">
        <v>60</v>
      </c>
      <c r="G49" s="33" t="s">
        <v>803</v>
      </c>
      <c r="H49" s="33">
        <v>2.25</v>
      </c>
      <c r="I49" s="133">
        <v>911.36363636363637</v>
      </c>
      <c r="J49" s="137">
        <v>400</v>
      </c>
      <c r="K49" s="138">
        <v>1350</v>
      </c>
      <c r="L49" s="136" t="s">
        <v>804</v>
      </c>
      <c r="M49" s="138" t="s">
        <v>805</v>
      </c>
      <c r="N49" s="136">
        <f t="shared" si="15"/>
        <v>1311.3636363636365</v>
      </c>
      <c r="O49" s="4">
        <f t="shared" si="16"/>
        <v>2261.3636363636365</v>
      </c>
      <c r="P49" s="38"/>
    </row>
    <row r="50" spans="1:26" s="3" customFormat="1" ht="27" customHeight="1" x14ac:dyDescent="0.25">
      <c r="A50" s="150">
        <f t="shared" si="2"/>
        <v>47</v>
      </c>
      <c r="B50" s="14" t="s">
        <v>806</v>
      </c>
      <c r="C50" s="72" t="s">
        <v>807</v>
      </c>
      <c r="D50" s="73" t="s">
        <v>808</v>
      </c>
      <c r="E50" s="73" t="s">
        <v>91</v>
      </c>
      <c r="F50" s="33">
        <v>61</v>
      </c>
      <c r="G50" s="33" t="s">
        <v>809</v>
      </c>
      <c r="H50" s="33">
        <v>1.325</v>
      </c>
      <c r="I50" s="133">
        <v>718</v>
      </c>
      <c r="J50" s="137">
        <v>400</v>
      </c>
      <c r="K50" s="138">
        <v>1350</v>
      </c>
      <c r="L50" s="136" t="s">
        <v>810</v>
      </c>
      <c r="M50" s="138" t="s">
        <v>811</v>
      </c>
      <c r="N50" s="136">
        <f t="shared" si="15"/>
        <v>1118</v>
      </c>
      <c r="O50" s="4">
        <f t="shared" si="16"/>
        <v>2068</v>
      </c>
      <c r="P50" s="38"/>
    </row>
    <row r="51" spans="1:26" s="3" customFormat="1" ht="27" customHeight="1" x14ac:dyDescent="0.25">
      <c r="A51" s="150">
        <f t="shared" si="2"/>
        <v>48</v>
      </c>
      <c r="B51" s="14" t="s">
        <v>812</v>
      </c>
      <c r="C51" s="72" t="s">
        <v>813</v>
      </c>
      <c r="D51" s="73" t="s">
        <v>814</v>
      </c>
      <c r="E51" s="73" t="s">
        <v>12</v>
      </c>
      <c r="F51" s="33">
        <v>72.5</v>
      </c>
      <c r="G51" s="33" t="s">
        <v>815</v>
      </c>
      <c r="H51" s="33">
        <v>3.375</v>
      </c>
      <c r="I51" s="133">
        <v>1030</v>
      </c>
      <c r="J51" s="137">
        <v>400</v>
      </c>
      <c r="K51" s="138">
        <v>1350</v>
      </c>
      <c r="L51" s="136" t="s">
        <v>816</v>
      </c>
      <c r="M51" s="138" t="s">
        <v>817</v>
      </c>
      <c r="N51" s="136">
        <f t="shared" si="15"/>
        <v>1430</v>
      </c>
      <c r="O51" s="4">
        <f t="shared" si="16"/>
        <v>2380</v>
      </c>
      <c r="P51" s="38"/>
    </row>
    <row r="52" spans="1:26" s="3" customFormat="1" ht="27" customHeight="1" x14ac:dyDescent="0.25">
      <c r="A52" s="150">
        <f t="shared" si="2"/>
        <v>49</v>
      </c>
      <c r="B52" s="14" t="s">
        <v>818</v>
      </c>
      <c r="C52" s="72" t="s">
        <v>819</v>
      </c>
      <c r="D52" s="73" t="s">
        <v>820</v>
      </c>
      <c r="E52" s="85" t="s">
        <v>108</v>
      </c>
      <c r="F52" s="33">
        <v>77</v>
      </c>
      <c r="G52" s="33" t="s">
        <v>821</v>
      </c>
      <c r="H52" s="33">
        <f>(105+17/60)/24</f>
        <v>4.3868055555555552</v>
      </c>
      <c r="I52" s="133">
        <v>1990</v>
      </c>
      <c r="J52" s="137">
        <v>400</v>
      </c>
      <c r="K52" s="138">
        <v>1350</v>
      </c>
      <c r="L52" s="136" t="s">
        <v>822</v>
      </c>
      <c r="M52" s="138" t="s">
        <v>823</v>
      </c>
      <c r="N52" s="136">
        <f t="shared" si="15"/>
        <v>2390</v>
      </c>
      <c r="O52" s="4">
        <f t="shared" si="16"/>
        <v>3340</v>
      </c>
      <c r="P52" s="38"/>
    </row>
    <row r="53" spans="1:26" s="3" customFormat="1" ht="27" customHeight="1" x14ac:dyDescent="0.25">
      <c r="A53" s="150">
        <f t="shared" si="2"/>
        <v>50</v>
      </c>
      <c r="B53" s="14" t="s">
        <v>824</v>
      </c>
      <c r="C53" s="72" t="s">
        <v>825</v>
      </c>
      <c r="D53" s="73" t="s">
        <v>826</v>
      </c>
      <c r="E53" s="85" t="s">
        <v>110</v>
      </c>
      <c r="F53" s="33">
        <v>80.5</v>
      </c>
      <c r="G53" s="33" t="s">
        <v>827</v>
      </c>
      <c r="H53" s="33">
        <f>(72+9/60)/24</f>
        <v>3.0062500000000001</v>
      </c>
      <c r="I53" s="133">
        <v>3481.818181818182</v>
      </c>
      <c r="J53" s="137">
        <v>400</v>
      </c>
      <c r="K53" s="138">
        <v>1350</v>
      </c>
      <c r="L53" s="136" t="s">
        <v>828</v>
      </c>
      <c r="M53" s="138" t="s">
        <v>829</v>
      </c>
      <c r="N53" s="136">
        <f t="shared" si="15"/>
        <v>3881.818181818182</v>
      </c>
      <c r="O53" s="4">
        <f t="shared" si="16"/>
        <v>4831.818181818182</v>
      </c>
      <c r="P53" s="38"/>
    </row>
    <row r="54" spans="1:26" s="3" customFormat="1" ht="27" customHeight="1" x14ac:dyDescent="0.25">
      <c r="A54" s="150">
        <f t="shared" si="2"/>
        <v>51</v>
      </c>
      <c r="B54" s="14" t="s">
        <v>830</v>
      </c>
      <c r="C54" s="72" t="s">
        <v>69</v>
      </c>
      <c r="D54" s="73" t="s">
        <v>831</v>
      </c>
      <c r="E54" s="85" t="s">
        <v>123</v>
      </c>
      <c r="F54" s="33">
        <v>98</v>
      </c>
      <c r="G54" s="33" t="s">
        <v>832</v>
      </c>
      <c r="H54" s="33">
        <f>54.5/24</f>
        <v>2.2708333333333335</v>
      </c>
      <c r="I54" s="133">
        <v>1085.2272727272727</v>
      </c>
      <c r="J54" s="137">
        <v>400</v>
      </c>
      <c r="K54" s="138">
        <v>1350</v>
      </c>
      <c r="L54" s="136" t="s">
        <v>833</v>
      </c>
      <c r="M54" s="138" t="s">
        <v>834</v>
      </c>
      <c r="N54" s="136">
        <f t="shared" si="15"/>
        <v>1485.2272727272727</v>
      </c>
      <c r="O54" s="4">
        <f t="shared" si="16"/>
        <v>2435.227272727273</v>
      </c>
      <c r="P54" s="38"/>
    </row>
    <row r="55" spans="1:26" s="3" customFormat="1" ht="27" customHeight="1" x14ac:dyDescent="0.25">
      <c r="A55" s="150">
        <f t="shared" si="2"/>
        <v>52</v>
      </c>
      <c r="B55" s="14" t="s">
        <v>835</v>
      </c>
      <c r="C55" s="72" t="s">
        <v>836</v>
      </c>
      <c r="D55" s="73" t="s">
        <v>837</v>
      </c>
      <c r="E55" s="73" t="s">
        <v>13</v>
      </c>
      <c r="F55" s="33">
        <v>98.5</v>
      </c>
      <c r="G55" s="33" t="s">
        <v>838</v>
      </c>
      <c r="H55" s="33">
        <v>2.4819444444444447</v>
      </c>
      <c r="I55" s="133">
        <v>1074</v>
      </c>
      <c r="J55" s="137">
        <v>400</v>
      </c>
      <c r="K55" s="138">
        <v>1350</v>
      </c>
      <c r="L55" s="136" t="s">
        <v>839</v>
      </c>
      <c r="M55" s="138" t="s">
        <v>840</v>
      </c>
      <c r="N55" s="136">
        <f t="shared" si="15"/>
        <v>1474</v>
      </c>
      <c r="O55" s="4">
        <f t="shared" si="16"/>
        <v>2424</v>
      </c>
      <c r="P55" s="38"/>
    </row>
    <row r="56" spans="1:26" s="3" customFormat="1" ht="27" customHeight="1" x14ac:dyDescent="0.25">
      <c r="A56" s="150">
        <f t="shared" si="2"/>
        <v>53</v>
      </c>
      <c r="B56" s="14" t="s">
        <v>841</v>
      </c>
      <c r="C56" s="72" t="s">
        <v>842</v>
      </c>
      <c r="D56" s="73" t="s">
        <v>843</v>
      </c>
      <c r="E56" s="73" t="s">
        <v>15</v>
      </c>
      <c r="F56" s="33">
        <v>99</v>
      </c>
      <c r="G56" s="33" t="s">
        <v>844</v>
      </c>
      <c r="H56" s="33">
        <v>4.7374999999999998</v>
      </c>
      <c r="I56" s="133">
        <v>1950</v>
      </c>
      <c r="J56" s="137">
        <v>400</v>
      </c>
      <c r="K56" s="138">
        <v>1350</v>
      </c>
      <c r="L56" s="136" t="s">
        <v>845</v>
      </c>
      <c r="M56" s="138" t="s">
        <v>846</v>
      </c>
      <c r="N56" s="136">
        <f t="shared" si="15"/>
        <v>2350</v>
      </c>
      <c r="O56" s="4">
        <f t="shared" si="16"/>
        <v>3300</v>
      </c>
      <c r="P56" s="38"/>
    </row>
    <row r="57" spans="1:26" s="3" customFormat="1" ht="27" customHeight="1" x14ac:dyDescent="0.25">
      <c r="A57" s="150">
        <f t="shared" si="2"/>
        <v>54</v>
      </c>
      <c r="B57" s="14" t="s">
        <v>847</v>
      </c>
      <c r="C57" s="72" t="s">
        <v>848</v>
      </c>
      <c r="D57" s="73" t="s">
        <v>849</v>
      </c>
      <c r="E57" s="73" t="s">
        <v>14</v>
      </c>
      <c r="F57" s="33">
        <v>99</v>
      </c>
      <c r="G57" s="33" t="s">
        <v>850</v>
      </c>
      <c r="H57" s="33">
        <v>12.512500000000001</v>
      </c>
      <c r="I57" s="133">
        <v>2355</v>
      </c>
      <c r="J57" s="137">
        <v>400</v>
      </c>
      <c r="K57" s="138">
        <v>1350</v>
      </c>
      <c r="L57" s="136" t="s">
        <v>851</v>
      </c>
      <c r="M57" s="138" t="s">
        <v>852</v>
      </c>
      <c r="N57" s="136">
        <f t="shared" si="15"/>
        <v>2755</v>
      </c>
      <c r="O57" s="4">
        <f t="shared" si="16"/>
        <v>3705</v>
      </c>
      <c r="P57" s="38"/>
    </row>
    <row r="58" spans="1:26" s="3" customFormat="1" ht="27" customHeight="1" x14ac:dyDescent="0.25">
      <c r="A58" s="150">
        <f t="shared" si="2"/>
        <v>55</v>
      </c>
      <c r="B58" s="14" t="s">
        <v>853</v>
      </c>
      <c r="C58" s="72" t="s">
        <v>854</v>
      </c>
      <c r="D58" s="73" t="s">
        <v>855</v>
      </c>
      <c r="E58" s="73" t="s">
        <v>224</v>
      </c>
      <c r="F58" s="33">
        <v>100</v>
      </c>
      <c r="G58" s="33" t="s">
        <v>856</v>
      </c>
      <c r="H58" s="33">
        <f>(128+48/60)/24</f>
        <v>5.3666666666666671</v>
      </c>
      <c r="I58" s="133">
        <v>1700</v>
      </c>
      <c r="J58" s="137">
        <v>400</v>
      </c>
      <c r="K58" s="138">
        <v>1350</v>
      </c>
      <c r="L58" s="136" t="s">
        <v>857</v>
      </c>
      <c r="M58" s="138" t="s">
        <v>858</v>
      </c>
      <c r="N58" s="136">
        <f t="shared" si="15"/>
        <v>2100</v>
      </c>
      <c r="O58" s="4">
        <f t="shared" si="16"/>
        <v>3050</v>
      </c>
      <c r="P58" s="38"/>
    </row>
    <row r="59" spans="1:26" s="3" customFormat="1" ht="27" customHeight="1" x14ac:dyDescent="0.25">
      <c r="A59" s="150">
        <f t="shared" si="2"/>
        <v>56</v>
      </c>
      <c r="B59" s="14" t="s">
        <v>859</v>
      </c>
      <c r="C59" s="72" t="s">
        <v>70</v>
      </c>
      <c r="D59" s="73" t="s">
        <v>860</v>
      </c>
      <c r="E59" s="73" t="s">
        <v>92</v>
      </c>
      <c r="F59" s="33">
        <v>122</v>
      </c>
      <c r="G59" s="33" t="s">
        <v>861</v>
      </c>
      <c r="H59" s="33">
        <v>1.2604166666666667</v>
      </c>
      <c r="I59" s="133">
        <v>918</v>
      </c>
      <c r="J59" s="137">
        <v>400</v>
      </c>
      <c r="K59" s="138">
        <v>1350</v>
      </c>
      <c r="L59" s="136" t="s">
        <v>862</v>
      </c>
      <c r="M59" s="138" t="s">
        <v>863</v>
      </c>
      <c r="N59" s="136">
        <f t="shared" si="15"/>
        <v>1318</v>
      </c>
      <c r="O59" s="4">
        <f t="shared" si="16"/>
        <v>2268</v>
      </c>
      <c r="P59" s="38"/>
    </row>
    <row r="60" spans="1:26" s="3" customFormat="1" ht="27" customHeight="1" x14ac:dyDescent="0.25">
      <c r="A60" s="150">
        <f t="shared" si="2"/>
        <v>57</v>
      </c>
      <c r="B60" s="14" t="s">
        <v>864</v>
      </c>
      <c r="C60" s="72" t="s">
        <v>865</v>
      </c>
      <c r="D60" s="73" t="s">
        <v>866</v>
      </c>
      <c r="E60" s="73" t="s">
        <v>256</v>
      </c>
      <c r="F60" s="33">
        <v>127</v>
      </c>
      <c r="G60" s="33" t="s">
        <v>867</v>
      </c>
      <c r="H60" s="33">
        <v>2.2791666666666668</v>
      </c>
      <c r="I60" s="133">
        <v>1201.1363636363637</v>
      </c>
      <c r="J60" s="137">
        <v>400</v>
      </c>
      <c r="K60" s="138">
        <v>1350</v>
      </c>
      <c r="L60" s="136" t="s">
        <v>868</v>
      </c>
      <c r="M60" s="138" t="s">
        <v>869</v>
      </c>
      <c r="N60" s="136">
        <f>I60+J60</f>
        <v>1601.1363636363637</v>
      </c>
      <c r="O60" s="4">
        <f>I60+K60</f>
        <v>2551.136363636364</v>
      </c>
      <c r="P60" s="3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spans="1:26" s="3" customFormat="1" ht="27" customHeight="1" x14ac:dyDescent="0.25">
      <c r="A61" s="150">
        <f t="shared" si="2"/>
        <v>58</v>
      </c>
      <c r="B61" s="14" t="s">
        <v>870</v>
      </c>
      <c r="C61" s="72" t="s">
        <v>871</v>
      </c>
      <c r="D61" s="73" t="s">
        <v>872</v>
      </c>
      <c r="E61" s="73" t="s">
        <v>16</v>
      </c>
      <c r="F61" s="33">
        <v>128</v>
      </c>
      <c r="G61" s="33" t="s">
        <v>873</v>
      </c>
      <c r="H61" s="33">
        <v>5.3416666666666659</v>
      </c>
      <c r="I61" s="133">
        <v>2300</v>
      </c>
      <c r="J61" s="137">
        <v>400</v>
      </c>
      <c r="K61" s="138">
        <v>1350</v>
      </c>
      <c r="L61" s="136" t="s">
        <v>874</v>
      </c>
      <c r="M61" s="138" t="s">
        <v>875</v>
      </c>
      <c r="N61" s="136">
        <f t="shared" si="15"/>
        <v>2700</v>
      </c>
      <c r="O61" s="4">
        <f t="shared" si="16"/>
        <v>3650</v>
      </c>
      <c r="P61" s="38"/>
      <c r="Q61" s="131"/>
      <c r="R61" s="131"/>
      <c r="S61" s="131"/>
      <c r="T61" s="131"/>
      <c r="U61" s="131"/>
      <c r="V61" s="131"/>
      <c r="W61" s="131"/>
      <c r="X61" s="131"/>
      <c r="Y61" s="131"/>
      <c r="Z61" s="131"/>
    </row>
    <row r="62" spans="1:26" s="3" customFormat="1" ht="27" customHeight="1" x14ac:dyDescent="0.25">
      <c r="A62" s="150">
        <f t="shared" si="2"/>
        <v>59</v>
      </c>
      <c r="B62" s="14" t="s">
        <v>876</v>
      </c>
      <c r="C62" s="72" t="s">
        <v>877</v>
      </c>
      <c r="D62" s="73" t="s">
        <v>878</v>
      </c>
      <c r="E62" s="73" t="s">
        <v>124</v>
      </c>
      <c r="F62" s="33">
        <v>145</v>
      </c>
      <c r="G62" s="33" t="s">
        <v>879</v>
      </c>
      <c r="H62" s="33">
        <v>2.2916666666666665</v>
      </c>
      <c r="I62" s="133">
        <v>1293.1818181818182</v>
      </c>
      <c r="J62" s="137">
        <v>400</v>
      </c>
      <c r="K62" s="138">
        <v>1350</v>
      </c>
      <c r="L62" s="136" t="s">
        <v>880</v>
      </c>
      <c r="M62" s="138" t="s">
        <v>881</v>
      </c>
      <c r="N62" s="136">
        <f t="shared" si="15"/>
        <v>1693.1818181818182</v>
      </c>
      <c r="O62" s="4">
        <f t="shared" si="16"/>
        <v>2643.181818181818</v>
      </c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s="3" customFormat="1" ht="27" customHeight="1" x14ac:dyDescent="0.25">
      <c r="A63" s="150">
        <f t="shared" si="2"/>
        <v>60</v>
      </c>
      <c r="B63" s="14" t="s">
        <v>882</v>
      </c>
      <c r="C63" s="72" t="s">
        <v>883</v>
      </c>
      <c r="D63" s="73" t="s">
        <v>884</v>
      </c>
      <c r="E63" s="73" t="s">
        <v>226</v>
      </c>
      <c r="F63" s="33">
        <v>200</v>
      </c>
      <c r="G63" s="33" t="s">
        <v>885</v>
      </c>
      <c r="H63" s="33">
        <f>(87+(14/60))/24</f>
        <v>3.6347222222222224</v>
      </c>
      <c r="I63" s="133">
        <v>1800</v>
      </c>
      <c r="J63" s="137">
        <v>400</v>
      </c>
      <c r="K63" s="138">
        <v>1350</v>
      </c>
      <c r="L63" s="136" t="s">
        <v>886</v>
      </c>
      <c r="M63" s="138" t="s">
        <v>887</v>
      </c>
      <c r="N63" s="136">
        <f>I63+J63</f>
        <v>2200</v>
      </c>
      <c r="O63" s="4">
        <f>I63+K63</f>
        <v>3150</v>
      </c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s="3" customFormat="1" ht="27" customHeight="1" x14ac:dyDescent="0.25">
      <c r="A64" s="150">
        <f t="shared" si="2"/>
        <v>61</v>
      </c>
      <c r="B64" s="14" t="s">
        <v>888</v>
      </c>
      <c r="C64" s="72" t="s">
        <v>889</v>
      </c>
      <c r="D64" s="73" t="s">
        <v>53</v>
      </c>
      <c r="E64" s="73" t="s">
        <v>17</v>
      </c>
      <c r="F64" s="33">
        <v>203.2</v>
      </c>
      <c r="G64" s="33" t="s">
        <v>890</v>
      </c>
      <c r="H64" s="33">
        <v>3.9166666666666665</v>
      </c>
      <c r="I64" s="133">
        <v>3181.818181818182</v>
      </c>
      <c r="J64" s="137">
        <v>400</v>
      </c>
      <c r="K64" s="138">
        <v>1350</v>
      </c>
      <c r="L64" s="136" t="s">
        <v>891</v>
      </c>
      <c r="M64" s="138" t="s">
        <v>892</v>
      </c>
      <c r="N64" s="136">
        <f t="shared" si="15"/>
        <v>3581.818181818182</v>
      </c>
      <c r="O64" s="4">
        <f t="shared" si="16"/>
        <v>4531.818181818182</v>
      </c>
      <c r="P64" s="38"/>
    </row>
    <row r="65" spans="1:26" s="3" customFormat="1" ht="27" customHeight="1" x14ac:dyDescent="0.25">
      <c r="A65" s="150">
        <f t="shared" si="2"/>
        <v>62</v>
      </c>
      <c r="B65" s="14" t="s">
        <v>893</v>
      </c>
      <c r="C65" s="72" t="s">
        <v>894</v>
      </c>
      <c r="D65" s="73" t="s">
        <v>895</v>
      </c>
      <c r="E65" s="73" t="s">
        <v>93</v>
      </c>
      <c r="F65" s="33">
        <v>211</v>
      </c>
      <c r="G65" s="33" t="s">
        <v>896</v>
      </c>
      <c r="H65" s="33">
        <v>1.4416666666666667</v>
      </c>
      <c r="I65" s="133">
        <v>1068</v>
      </c>
      <c r="J65" s="137">
        <v>400</v>
      </c>
      <c r="K65" s="138">
        <v>1350</v>
      </c>
      <c r="L65" s="136" t="s">
        <v>897</v>
      </c>
      <c r="M65" s="138" t="s">
        <v>898</v>
      </c>
      <c r="N65" s="136">
        <f t="shared" si="15"/>
        <v>1468</v>
      </c>
      <c r="O65" s="4">
        <f t="shared" si="16"/>
        <v>2418</v>
      </c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s="3" customFormat="1" ht="27" customHeight="1" x14ac:dyDescent="0.25">
      <c r="A66" s="150">
        <f t="shared" si="2"/>
        <v>63</v>
      </c>
      <c r="B66" s="14" t="s">
        <v>899</v>
      </c>
      <c r="C66" s="72" t="s">
        <v>900</v>
      </c>
      <c r="D66" s="73" t="s">
        <v>901</v>
      </c>
      <c r="E66" s="73" t="s">
        <v>18</v>
      </c>
      <c r="F66" s="33">
        <v>225</v>
      </c>
      <c r="G66" s="33" t="s">
        <v>902</v>
      </c>
      <c r="H66" s="33">
        <v>2.2916666666666665</v>
      </c>
      <c r="I66" s="133">
        <v>1910</v>
      </c>
      <c r="J66" s="137">
        <v>400</v>
      </c>
      <c r="K66" s="138">
        <v>1350</v>
      </c>
      <c r="L66" s="136" t="s">
        <v>903</v>
      </c>
      <c r="M66" s="138" t="s">
        <v>904</v>
      </c>
      <c r="N66" s="136">
        <f t="shared" si="15"/>
        <v>2310</v>
      </c>
      <c r="O66" s="4">
        <f t="shared" si="16"/>
        <v>3260</v>
      </c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s="3" customFormat="1" ht="27" customHeight="1" x14ac:dyDescent="0.25">
      <c r="A67" s="150">
        <f t="shared" si="2"/>
        <v>64</v>
      </c>
      <c r="B67" s="14" t="s">
        <v>905</v>
      </c>
      <c r="C67" s="72" t="s">
        <v>906</v>
      </c>
      <c r="D67" s="73" t="s">
        <v>907</v>
      </c>
      <c r="E67" s="85" t="s">
        <v>105</v>
      </c>
      <c r="F67" s="33">
        <v>240</v>
      </c>
      <c r="G67" s="33" t="s">
        <v>908</v>
      </c>
      <c r="H67" s="33">
        <f>77.3/24</f>
        <v>3.2208333333333332</v>
      </c>
      <c r="I67" s="133">
        <v>4500</v>
      </c>
      <c r="J67" s="137">
        <v>400</v>
      </c>
      <c r="K67" s="138">
        <v>1350</v>
      </c>
      <c r="L67" s="136" t="s">
        <v>909</v>
      </c>
      <c r="M67" s="138" t="s">
        <v>910</v>
      </c>
      <c r="N67" s="136">
        <f t="shared" si="15"/>
        <v>4900</v>
      </c>
      <c r="O67" s="4">
        <f t="shared" si="16"/>
        <v>5850</v>
      </c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s="3" customFormat="1" ht="27" customHeight="1" x14ac:dyDescent="0.25">
      <c r="A68" s="150">
        <f t="shared" si="2"/>
        <v>65</v>
      </c>
      <c r="B68" s="14" t="s">
        <v>911</v>
      </c>
      <c r="C68" s="72" t="s">
        <v>912</v>
      </c>
      <c r="D68" s="73" t="s">
        <v>913</v>
      </c>
      <c r="E68" s="73" t="s">
        <v>125</v>
      </c>
      <c r="F68" s="33">
        <v>242</v>
      </c>
      <c r="G68" s="33" t="s">
        <v>914</v>
      </c>
      <c r="H68" s="33">
        <v>2.3029166666666669</v>
      </c>
      <c r="I68" s="133">
        <v>2039.7727272727273</v>
      </c>
      <c r="J68" s="137">
        <v>400</v>
      </c>
      <c r="K68" s="138">
        <v>1350</v>
      </c>
      <c r="L68" s="136" t="s">
        <v>915</v>
      </c>
      <c r="M68" s="138" t="s">
        <v>916</v>
      </c>
      <c r="N68" s="136"/>
      <c r="O68" s="4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s="3" customFormat="1" ht="27" customHeight="1" x14ac:dyDescent="0.25">
      <c r="A69" s="150">
        <f t="shared" si="2"/>
        <v>66</v>
      </c>
      <c r="B69" s="84" t="s">
        <v>917</v>
      </c>
      <c r="C69" s="72" t="s">
        <v>918</v>
      </c>
      <c r="D69" s="73" t="s">
        <v>919</v>
      </c>
      <c r="E69" s="85" t="s">
        <v>99</v>
      </c>
      <c r="F69" s="33">
        <v>30</v>
      </c>
      <c r="G69" s="33">
        <v>32</v>
      </c>
      <c r="H69" s="33">
        <f>63.8/24</f>
        <v>2.6583333333333332</v>
      </c>
      <c r="I69" s="133">
        <v>1650</v>
      </c>
      <c r="J69" s="137">
        <v>400</v>
      </c>
      <c r="K69" s="138">
        <v>1350</v>
      </c>
      <c r="L69" s="136" t="s">
        <v>920</v>
      </c>
      <c r="M69" s="138" t="s">
        <v>921</v>
      </c>
      <c r="N69" s="136">
        <f t="shared" si="15"/>
        <v>2050</v>
      </c>
      <c r="O69" s="4">
        <f t="shared" si="16"/>
        <v>3000</v>
      </c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s="3" customFormat="1" ht="27" customHeight="1" x14ac:dyDescent="0.25">
      <c r="A70" s="150">
        <f t="shared" ref="A70:A133" si="17">A69+1</f>
        <v>67</v>
      </c>
      <c r="B70" s="84" t="s">
        <v>922</v>
      </c>
      <c r="C70" s="72" t="s">
        <v>923</v>
      </c>
      <c r="D70" s="73" t="s">
        <v>924</v>
      </c>
      <c r="E70" s="85" t="s">
        <v>112</v>
      </c>
      <c r="F70" s="33">
        <v>58</v>
      </c>
      <c r="G70" s="33">
        <v>44</v>
      </c>
      <c r="H70" s="33">
        <f>(113+37/60)/24</f>
        <v>4.7340277777777775</v>
      </c>
      <c r="I70" s="133">
        <v>1410</v>
      </c>
      <c r="J70" s="137">
        <v>400</v>
      </c>
      <c r="K70" s="138">
        <v>1350</v>
      </c>
      <c r="L70" s="136" t="s">
        <v>925</v>
      </c>
      <c r="M70" s="138" t="s">
        <v>926</v>
      </c>
      <c r="N70" s="136">
        <f t="shared" si="15"/>
        <v>1810</v>
      </c>
      <c r="O70" s="4">
        <f t="shared" si="16"/>
        <v>2760</v>
      </c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s="3" customFormat="1" ht="27" customHeight="1" x14ac:dyDescent="0.25">
      <c r="A71" s="150">
        <f t="shared" si="17"/>
        <v>68</v>
      </c>
      <c r="B71" s="84" t="s">
        <v>927</v>
      </c>
      <c r="C71" s="72" t="s">
        <v>928</v>
      </c>
      <c r="D71" s="73" t="s">
        <v>929</v>
      </c>
      <c r="E71" s="73" t="s">
        <v>126</v>
      </c>
      <c r="F71" s="33">
        <v>52.5</v>
      </c>
      <c r="G71" s="33">
        <v>5.0999999999999996</v>
      </c>
      <c r="H71" s="33">
        <v>1.1822660098522166</v>
      </c>
      <c r="I71" s="133">
        <v>1360.2272727272727</v>
      </c>
      <c r="J71" s="137">
        <v>400</v>
      </c>
      <c r="K71" s="138">
        <v>1350</v>
      </c>
      <c r="L71" s="136" t="s">
        <v>930</v>
      </c>
      <c r="M71" s="138" t="s">
        <v>931</v>
      </c>
      <c r="N71" s="136">
        <f>I71+J71</f>
        <v>1760.2272727272727</v>
      </c>
      <c r="O71" s="4">
        <f>I71+K71</f>
        <v>2710.227272727273</v>
      </c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s="3" customFormat="1" ht="27" customHeight="1" x14ac:dyDescent="0.25">
      <c r="A72" s="150">
        <f t="shared" si="17"/>
        <v>69</v>
      </c>
      <c r="B72" s="84" t="s">
        <v>932</v>
      </c>
      <c r="C72" s="72" t="s">
        <v>933</v>
      </c>
      <c r="D72" s="73" t="s">
        <v>934</v>
      </c>
      <c r="E72" s="85" t="s">
        <v>98</v>
      </c>
      <c r="F72" s="33">
        <v>60</v>
      </c>
      <c r="G72" s="33">
        <v>42</v>
      </c>
      <c r="H72" s="33">
        <f>39.4/24</f>
        <v>1.6416666666666666</v>
      </c>
      <c r="I72" s="133">
        <v>3710.2272727272725</v>
      </c>
      <c r="J72" s="137">
        <v>400</v>
      </c>
      <c r="K72" s="138">
        <v>1350</v>
      </c>
      <c r="L72" s="136" t="s">
        <v>935</v>
      </c>
      <c r="M72" s="138" t="s">
        <v>936</v>
      </c>
      <c r="N72" s="136">
        <f t="shared" si="15"/>
        <v>4110.2272727272721</v>
      </c>
      <c r="O72" s="4">
        <f t="shared" si="16"/>
        <v>5060.2272727272721</v>
      </c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s="3" customFormat="1" ht="27" customHeight="1" x14ac:dyDescent="0.25">
      <c r="A73" s="150">
        <f t="shared" si="17"/>
        <v>70</v>
      </c>
      <c r="B73" s="15" t="s">
        <v>937</v>
      </c>
      <c r="C73" s="72" t="s">
        <v>938</v>
      </c>
      <c r="D73" s="73" t="s">
        <v>939</v>
      </c>
      <c r="E73" s="85" t="s">
        <v>19</v>
      </c>
      <c r="F73" s="33" t="s">
        <v>940</v>
      </c>
      <c r="G73" s="33">
        <v>96</v>
      </c>
      <c r="H73" s="33">
        <v>0.28055555555555556</v>
      </c>
      <c r="I73" s="133">
        <v>450</v>
      </c>
      <c r="J73" s="137">
        <v>400</v>
      </c>
      <c r="K73" s="138">
        <v>1350</v>
      </c>
      <c r="L73" s="136" t="s">
        <v>941</v>
      </c>
      <c r="M73" s="138" t="s">
        <v>942</v>
      </c>
      <c r="N73" s="136">
        <f t="shared" si="15"/>
        <v>850</v>
      </c>
      <c r="O73" s="4">
        <f t="shared" si="16"/>
        <v>1800</v>
      </c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s="3" customFormat="1" ht="27" customHeight="1" x14ac:dyDescent="0.25">
      <c r="A74" s="150">
        <f t="shared" si="17"/>
        <v>71</v>
      </c>
      <c r="B74" s="15" t="s">
        <v>943</v>
      </c>
      <c r="C74" s="72" t="s">
        <v>944</v>
      </c>
      <c r="D74" s="73" t="s">
        <v>945</v>
      </c>
      <c r="E74" s="85" t="s">
        <v>20</v>
      </c>
      <c r="F74" s="33" t="s">
        <v>946</v>
      </c>
      <c r="G74" s="33">
        <v>105</v>
      </c>
      <c r="H74" s="33">
        <v>0.11666666666666665</v>
      </c>
      <c r="I74" s="133">
        <v>553.40909090909088</v>
      </c>
      <c r="J74" s="137">
        <v>400</v>
      </c>
      <c r="K74" s="138">
        <v>1350</v>
      </c>
      <c r="L74" s="136" t="s">
        <v>947</v>
      </c>
      <c r="M74" s="138" t="s">
        <v>948</v>
      </c>
      <c r="N74" s="136">
        <f t="shared" si="15"/>
        <v>953.40909090909088</v>
      </c>
      <c r="O74" s="4">
        <f t="shared" si="16"/>
        <v>1903.409090909091</v>
      </c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s="3" customFormat="1" ht="27" customHeight="1" x14ac:dyDescent="0.25">
      <c r="A75" s="150">
        <f t="shared" si="17"/>
        <v>72</v>
      </c>
      <c r="B75" s="15" t="s">
        <v>949</v>
      </c>
      <c r="C75" s="72" t="s">
        <v>950</v>
      </c>
      <c r="D75" s="73" t="s">
        <v>951</v>
      </c>
      <c r="E75" s="85" t="s">
        <v>21</v>
      </c>
      <c r="F75" s="33" t="s">
        <v>952</v>
      </c>
      <c r="G75" s="33">
        <v>121</v>
      </c>
      <c r="H75" s="33">
        <v>0.10416666666666667</v>
      </c>
      <c r="I75" s="133">
        <v>533</v>
      </c>
      <c r="J75" s="137">
        <v>400</v>
      </c>
      <c r="K75" s="138">
        <v>1350</v>
      </c>
      <c r="L75" s="136" t="s">
        <v>953</v>
      </c>
      <c r="M75" s="138" t="s">
        <v>954</v>
      </c>
      <c r="N75" s="136">
        <f t="shared" si="15"/>
        <v>933</v>
      </c>
      <c r="O75" s="4">
        <f t="shared" si="16"/>
        <v>1883</v>
      </c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s="3" customFormat="1" ht="27" customHeight="1" x14ac:dyDescent="0.25">
      <c r="A76" s="150">
        <f t="shared" si="17"/>
        <v>73</v>
      </c>
      <c r="B76" s="15" t="s">
        <v>955</v>
      </c>
      <c r="C76" s="72" t="s">
        <v>956</v>
      </c>
      <c r="D76" s="73" t="s">
        <v>957</v>
      </c>
      <c r="E76" s="85" t="s">
        <v>22</v>
      </c>
      <c r="F76" s="33" t="s">
        <v>958</v>
      </c>
      <c r="G76" s="33">
        <v>171</v>
      </c>
      <c r="H76" s="33">
        <v>0.12083333333333333</v>
      </c>
      <c r="I76" s="133">
        <v>632.9545454545455</v>
      </c>
      <c r="J76" s="137">
        <v>400</v>
      </c>
      <c r="K76" s="138">
        <v>1350</v>
      </c>
      <c r="L76" s="136" t="s">
        <v>959</v>
      </c>
      <c r="M76" s="138" t="s">
        <v>960</v>
      </c>
      <c r="N76" s="136">
        <f t="shared" si="15"/>
        <v>1032.9545454545455</v>
      </c>
      <c r="O76" s="4">
        <f t="shared" si="16"/>
        <v>1982.9545454545455</v>
      </c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s="3" customFormat="1" ht="27" customHeight="1" x14ac:dyDescent="0.25">
      <c r="A77" s="150">
        <f t="shared" si="17"/>
        <v>74</v>
      </c>
      <c r="B77" s="15" t="s">
        <v>961</v>
      </c>
      <c r="C77" s="72" t="s">
        <v>962</v>
      </c>
      <c r="D77" s="73" t="s">
        <v>963</v>
      </c>
      <c r="E77" s="85" t="s">
        <v>23</v>
      </c>
      <c r="F77" s="33" t="s">
        <v>964</v>
      </c>
      <c r="G77" s="33">
        <v>204</v>
      </c>
      <c r="H77" s="33">
        <v>2.2152777777777777</v>
      </c>
      <c r="I77" s="133">
        <v>3381.818181818182</v>
      </c>
      <c r="J77" s="137">
        <v>400</v>
      </c>
      <c r="K77" s="138">
        <v>1350</v>
      </c>
      <c r="L77" s="136" t="s">
        <v>965</v>
      </c>
      <c r="M77" s="138" t="s">
        <v>966</v>
      </c>
      <c r="N77" s="136">
        <f t="shared" ref="N77:N108" si="18">I77+J77</f>
        <v>3781.818181818182</v>
      </c>
      <c r="O77" s="4">
        <f t="shared" ref="O77:O108" si="19">I77+K77</f>
        <v>4731.818181818182</v>
      </c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s="3" customFormat="1" ht="27" customHeight="1" x14ac:dyDescent="0.25">
      <c r="A78" s="150">
        <f t="shared" si="17"/>
        <v>75</v>
      </c>
      <c r="B78" s="15" t="s">
        <v>967</v>
      </c>
      <c r="C78" s="72" t="s">
        <v>968</v>
      </c>
      <c r="D78" s="73" t="s">
        <v>969</v>
      </c>
      <c r="E78" s="85" t="s">
        <v>24</v>
      </c>
      <c r="F78" s="33" t="s">
        <v>970</v>
      </c>
      <c r="G78" s="33">
        <v>240</v>
      </c>
      <c r="H78" s="33">
        <v>2.4416666666666669</v>
      </c>
      <c r="I78" s="133">
        <v>540</v>
      </c>
      <c r="J78" s="137">
        <v>400</v>
      </c>
      <c r="K78" s="138">
        <v>1350</v>
      </c>
      <c r="L78" s="136" t="s">
        <v>971</v>
      </c>
      <c r="M78" s="138" t="s">
        <v>972</v>
      </c>
      <c r="N78" s="136">
        <f t="shared" si="18"/>
        <v>940</v>
      </c>
      <c r="O78" s="4">
        <f t="shared" si="19"/>
        <v>1890</v>
      </c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s="3" customFormat="1" ht="27" customHeight="1" x14ac:dyDescent="0.25">
      <c r="A79" s="150">
        <f t="shared" si="17"/>
        <v>76</v>
      </c>
      <c r="B79" s="15" t="s">
        <v>973</v>
      </c>
      <c r="C79" s="72" t="s">
        <v>974</v>
      </c>
      <c r="D79" s="73" t="s">
        <v>975</v>
      </c>
      <c r="E79" s="85" t="s">
        <v>25</v>
      </c>
      <c r="F79" s="33" t="s">
        <v>976</v>
      </c>
      <c r="G79" s="33">
        <v>281</v>
      </c>
      <c r="H79" s="33">
        <v>0.16666666666666666</v>
      </c>
      <c r="I79" s="133">
        <v>729.5454545454545</v>
      </c>
      <c r="J79" s="137">
        <v>400</v>
      </c>
      <c r="K79" s="138">
        <v>1350</v>
      </c>
      <c r="L79" s="136" t="s">
        <v>977</v>
      </c>
      <c r="M79" s="138" t="s">
        <v>978</v>
      </c>
      <c r="N79" s="136">
        <f t="shared" si="18"/>
        <v>1129.5454545454545</v>
      </c>
      <c r="O79" s="4">
        <f t="shared" si="19"/>
        <v>2079.5454545454545</v>
      </c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s="3" customFormat="1" ht="27" customHeight="1" x14ac:dyDescent="0.25">
      <c r="A80" s="150">
        <f t="shared" si="17"/>
        <v>77</v>
      </c>
      <c r="B80" s="15" t="s">
        <v>979</v>
      </c>
      <c r="C80" s="72" t="s">
        <v>980</v>
      </c>
      <c r="D80" s="73" t="s">
        <v>981</v>
      </c>
      <c r="E80" s="85" t="s">
        <v>26</v>
      </c>
      <c r="F80" s="33" t="s">
        <v>982</v>
      </c>
      <c r="G80" s="33">
        <v>298</v>
      </c>
      <c r="H80" s="33">
        <v>0.17083333333333331</v>
      </c>
      <c r="I80" s="133">
        <v>628</v>
      </c>
      <c r="J80" s="137">
        <v>400</v>
      </c>
      <c r="K80" s="138">
        <v>1350</v>
      </c>
      <c r="L80" s="136" t="s">
        <v>983</v>
      </c>
      <c r="M80" s="138" t="s">
        <v>984</v>
      </c>
      <c r="N80" s="136">
        <f t="shared" si="18"/>
        <v>1028</v>
      </c>
      <c r="O80" s="4">
        <f t="shared" si="19"/>
        <v>1978</v>
      </c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s="3" customFormat="1" ht="27" customHeight="1" x14ac:dyDescent="0.25">
      <c r="A81" s="150">
        <f t="shared" si="17"/>
        <v>78</v>
      </c>
      <c r="B81" s="16" t="s">
        <v>985</v>
      </c>
      <c r="C81" s="72" t="s">
        <v>986</v>
      </c>
      <c r="D81" s="73" t="s">
        <v>56</v>
      </c>
      <c r="E81" s="85" t="s">
        <v>27</v>
      </c>
      <c r="F81" s="33">
        <v>15</v>
      </c>
      <c r="G81" s="33" t="s">
        <v>987</v>
      </c>
      <c r="H81" s="33">
        <v>4.2212500000000004</v>
      </c>
      <c r="I81" s="133">
        <v>2420</v>
      </c>
      <c r="J81" s="137">
        <v>650</v>
      </c>
      <c r="K81" s="138">
        <v>2150</v>
      </c>
      <c r="L81" s="136">
        <v>1250</v>
      </c>
      <c r="M81" s="138">
        <v>4000</v>
      </c>
      <c r="N81" s="136">
        <f t="shared" si="18"/>
        <v>3070</v>
      </c>
      <c r="O81" s="4">
        <f t="shared" si="19"/>
        <v>4570</v>
      </c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s="3" customFormat="1" ht="27" customHeight="1" x14ac:dyDescent="0.25">
      <c r="A82" s="150">
        <f t="shared" si="17"/>
        <v>79</v>
      </c>
      <c r="B82" s="16" t="s">
        <v>988</v>
      </c>
      <c r="C82" s="72" t="s">
        <v>989</v>
      </c>
      <c r="D82" s="73" t="s">
        <v>990</v>
      </c>
      <c r="E82" s="85" t="s">
        <v>29</v>
      </c>
      <c r="F82" s="33">
        <v>16</v>
      </c>
      <c r="G82" s="33" t="s">
        <v>991</v>
      </c>
      <c r="H82" s="33">
        <v>3.4083333333333332</v>
      </c>
      <c r="I82" s="133">
        <v>4905.681818181818</v>
      </c>
      <c r="J82" s="137">
        <v>650</v>
      </c>
      <c r="K82" s="138">
        <v>2150</v>
      </c>
      <c r="L82" s="136">
        <v>1250</v>
      </c>
      <c r="M82" s="138">
        <v>4000</v>
      </c>
      <c r="N82" s="136">
        <f t="shared" si="18"/>
        <v>5555.681818181818</v>
      </c>
      <c r="O82" s="4">
        <f t="shared" si="19"/>
        <v>7055.681818181818</v>
      </c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s="3" customFormat="1" ht="27" customHeight="1" x14ac:dyDescent="0.25">
      <c r="A83" s="150">
        <f t="shared" si="17"/>
        <v>80</v>
      </c>
      <c r="B83" s="16" t="s">
        <v>992</v>
      </c>
      <c r="C83" s="72" t="s">
        <v>993</v>
      </c>
      <c r="D83" s="73" t="s">
        <v>994</v>
      </c>
      <c r="E83" s="85" t="s">
        <v>95</v>
      </c>
      <c r="F83" s="33">
        <v>16</v>
      </c>
      <c r="G83" s="33" t="s">
        <v>995</v>
      </c>
      <c r="H83" s="33">
        <v>19.916666666666668</v>
      </c>
      <c r="I83" s="133">
        <v>5946.590909090909</v>
      </c>
      <c r="J83" s="137">
        <v>650</v>
      </c>
      <c r="K83" s="138">
        <v>2150</v>
      </c>
      <c r="L83" s="136">
        <v>1250</v>
      </c>
      <c r="M83" s="138">
        <v>4000</v>
      </c>
      <c r="N83" s="136">
        <f t="shared" si="18"/>
        <v>6596.590909090909</v>
      </c>
      <c r="O83" s="4">
        <f t="shared" si="19"/>
        <v>8096.590909090909</v>
      </c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s="3" customFormat="1" ht="27" customHeight="1" x14ac:dyDescent="0.25">
      <c r="A84" s="150">
        <f t="shared" si="17"/>
        <v>81</v>
      </c>
      <c r="B84" s="16" t="s">
        <v>996</v>
      </c>
      <c r="C84" s="72" t="s">
        <v>997</v>
      </c>
      <c r="D84" s="73" t="s">
        <v>998</v>
      </c>
      <c r="E84" s="85" t="s">
        <v>30</v>
      </c>
      <c r="F84" s="33">
        <v>22.5</v>
      </c>
      <c r="G84" s="33" t="s">
        <v>999</v>
      </c>
      <c r="H84" s="33">
        <v>4.875</v>
      </c>
      <c r="I84" s="133">
        <v>2400</v>
      </c>
      <c r="J84" s="137">
        <v>650</v>
      </c>
      <c r="K84" s="138">
        <v>2150</v>
      </c>
      <c r="L84" s="136">
        <v>1250</v>
      </c>
      <c r="M84" s="138">
        <v>4000</v>
      </c>
      <c r="N84" s="136">
        <f t="shared" si="18"/>
        <v>3050</v>
      </c>
      <c r="O84" s="4">
        <f t="shared" si="19"/>
        <v>4550</v>
      </c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s="3" customFormat="1" ht="27" customHeight="1" x14ac:dyDescent="0.25">
      <c r="A85" s="150">
        <f t="shared" si="17"/>
        <v>82</v>
      </c>
      <c r="B85" s="16" t="s">
        <v>1000</v>
      </c>
      <c r="C85" s="72" t="s">
        <v>1001</v>
      </c>
      <c r="D85" s="73" t="s">
        <v>1002</v>
      </c>
      <c r="E85" s="85" t="s">
        <v>89</v>
      </c>
      <c r="F85" s="33">
        <v>25.5</v>
      </c>
      <c r="G85" s="33" t="s">
        <v>1003</v>
      </c>
      <c r="H85" s="33">
        <v>3.0062500000000001</v>
      </c>
      <c r="I85" s="133">
        <v>2897.7272727272725</v>
      </c>
      <c r="J85" s="137">
        <v>650</v>
      </c>
      <c r="K85" s="138">
        <v>2150</v>
      </c>
      <c r="L85" s="136">
        <v>1250</v>
      </c>
      <c r="M85" s="138">
        <v>4000</v>
      </c>
      <c r="N85" s="136">
        <f t="shared" si="18"/>
        <v>3547.7272727272725</v>
      </c>
      <c r="O85" s="4">
        <f t="shared" si="19"/>
        <v>5047.7272727272721</v>
      </c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s="3" customFormat="1" ht="27" customHeight="1" x14ac:dyDescent="0.25">
      <c r="A86" s="150">
        <f t="shared" si="17"/>
        <v>83</v>
      </c>
      <c r="B86" s="16" t="s">
        <v>1004</v>
      </c>
      <c r="C86" s="72" t="s">
        <v>1005</v>
      </c>
      <c r="D86" s="73" t="s">
        <v>1006</v>
      </c>
      <c r="E86" s="85" t="s">
        <v>31</v>
      </c>
      <c r="F86" s="33">
        <v>25.5</v>
      </c>
      <c r="G86" s="33" t="s">
        <v>1007</v>
      </c>
      <c r="H86" s="33">
        <v>3.4041666666666668</v>
      </c>
      <c r="I86" s="133">
        <v>3034.090909090909</v>
      </c>
      <c r="J86" s="137">
        <v>650</v>
      </c>
      <c r="K86" s="138">
        <v>2150</v>
      </c>
      <c r="L86" s="136">
        <v>1250</v>
      </c>
      <c r="M86" s="138">
        <v>4000</v>
      </c>
      <c r="N86" s="136">
        <f t="shared" si="18"/>
        <v>3684.090909090909</v>
      </c>
      <c r="O86" s="4">
        <f t="shared" si="19"/>
        <v>5184.090909090909</v>
      </c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s="3" customFormat="1" ht="27" customHeight="1" x14ac:dyDescent="0.25">
      <c r="A87" s="150">
        <f t="shared" si="17"/>
        <v>84</v>
      </c>
      <c r="B87" s="16" t="s">
        <v>538</v>
      </c>
      <c r="C87" s="72" t="s">
        <v>66</v>
      </c>
      <c r="D87" s="73" t="s">
        <v>49</v>
      </c>
      <c r="E87" s="85" t="s">
        <v>32</v>
      </c>
      <c r="F87" s="33">
        <v>27</v>
      </c>
      <c r="G87" s="33" t="s">
        <v>773</v>
      </c>
      <c r="H87" s="33">
        <v>3.2118055555555554</v>
      </c>
      <c r="I87" s="133">
        <v>2920</v>
      </c>
      <c r="J87" s="137">
        <v>650</v>
      </c>
      <c r="K87" s="138">
        <v>2150</v>
      </c>
      <c r="L87" s="136">
        <v>1250</v>
      </c>
      <c r="M87" s="138">
        <v>4000</v>
      </c>
      <c r="N87" s="136">
        <f t="shared" ref="N87" si="20">I87+J87</f>
        <v>3570</v>
      </c>
      <c r="O87" s="4">
        <f t="shared" ref="O87" si="21">I87+K87</f>
        <v>5070</v>
      </c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s="3" customFormat="1" ht="27" customHeight="1" x14ac:dyDescent="0.25">
      <c r="A88" s="150">
        <f t="shared" si="17"/>
        <v>85</v>
      </c>
      <c r="B88" s="16" t="s">
        <v>1008</v>
      </c>
      <c r="C88" s="72" t="s">
        <v>1009</v>
      </c>
      <c r="D88" s="73" t="s">
        <v>50</v>
      </c>
      <c r="E88" s="73" t="s">
        <v>2188</v>
      </c>
      <c r="F88" s="33">
        <v>27.5</v>
      </c>
      <c r="G88" s="33" t="s">
        <v>773</v>
      </c>
      <c r="H88" s="33">
        <v>3.9791666666666665</v>
      </c>
      <c r="I88" s="133">
        <v>2562</v>
      </c>
      <c r="J88" s="137">
        <v>650</v>
      </c>
      <c r="K88" s="138">
        <v>2150</v>
      </c>
      <c r="L88" s="136">
        <v>1250</v>
      </c>
      <c r="M88" s="138">
        <v>4000</v>
      </c>
      <c r="N88" s="136">
        <f t="shared" si="18"/>
        <v>3212</v>
      </c>
      <c r="O88" s="4">
        <f t="shared" si="19"/>
        <v>4712</v>
      </c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s="3" customFormat="1" ht="27" customHeight="1" x14ac:dyDescent="0.25">
      <c r="A89" s="150">
        <f t="shared" si="17"/>
        <v>86</v>
      </c>
      <c r="B89" s="16" t="s">
        <v>1010</v>
      </c>
      <c r="C89" s="72" t="s">
        <v>1011</v>
      </c>
      <c r="D89" s="73" t="s">
        <v>1012</v>
      </c>
      <c r="E89" s="85" t="s">
        <v>106</v>
      </c>
      <c r="F89" s="33">
        <v>36</v>
      </c>
      <c r="G89" s="33" t="s">
        <v>1013</v>
      </c>
      <c r="H89" s="33">
        <f>(81+54/60)/24</f>
        <v>3.4125000000000001</v>
      </c>
      <c r="I89" s="133">
        <v>5806.818181818182</v>
      </c>
      <c r="J89" s="137">
        <v>650</v>
      </c>
      <c r="K89" s="138">
        <v>2150</v>
      </c>
      <c r="L89" s="136">
        <v>1250</v>
      </c>
      <c r="M89" s="138">
        <v>4000</v>
      </c>
      <c r="N89" s="136">
        <f t="shared" si="18"/>
        <v>6456.818181818182</v>
      </c>
      <c r="O89" s="4">
        <f t="shared" si="19"/>
        <v>7956.818181818182</v>
      </c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s="3" customFormat="1" ht="27" customHeight="1" x14ac:dyDescent="0.25">
      <c r="A90" s="150">
        <f t="shared" si="17"/>
        <v>87</v>
      </c>
      <c r="B90" s="16" t="s">
        <v>1014</v>
      </c>
      <c r="C90" s="72" t="s">
        <v>1015</v>
      </c>
      <c r="D90" s="73" t="s">
        <v>1016</v>
      </c>
      <c r="E90" s="85" t="s">
        <v>33</v>
      </c>
      <c r="F90" s="33">
        <v>46.5</v>
      </c>
      <c r="G90" s="33" t="s">
        <v>1017</v>
      </c>
      <c r="H90" s="33">
        <v>5.6166666666666671</v>
      </c>
      <c r="I90" s="133">
        <v>3450</v>
      </c>
      <c r="J90" s="137">
        <v>650</v>
      </c>
      <c r="K90" s="138">
        <v>2150</v>
      </c>
      <c r="L90" s="136">
        <v>1250</v>
      </c>
      <c r="M90" s="138">
        <v>4000</v>
      </c>
      <c r="N90" s="136">
        <f t="shared" si="18"/>
        <v>4100</v>
      </c>
      <c r="O90" s="4">
        <f t="shared" si="19"/>
        <v>5600</v>
      </c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s="3" customFormat="1" ht="27" customHeight="1" x14ac:dyDescent="0.25">
      <c r="A91" s="150">
        <f t="shared" si="17"/>
        <v>88</v>
      </c>
      <c r="B91" s="16" t="s">
        <v>1018</v>
      </c>
      <c r="C91" s="72" t="s">
        <v>1019</v>
      </c>
      <c r="D91" s="73" t="s">
        <v>1020</v>
      </c>
      <c r="E91" s="85" t="s">
        <v>100</v>
      </c>
      <c r="F91" s="33">
        <v>50</v>
      </c>
      <c r="G91" s="33" t="s">
        <v>1021</v>
      </c>
      <c r="H91" s="33">
        <f>120/24</f>
        <v>5</v>
      </c>
      <c r="I91" s="133">
        <v>2600</v>
      </c>
      <c r="J91" s="137">
        <v>650</v>
      </c>
      <c r="K91" s="138">
        <v>2150</v>
      </c>
      <c r="L91" s="136">
        <v>1250</v>
      </c>
      <c r="M91" s="138">
        <v>4000</v>
      </c>
      <c r="N91" s="136">
        <f t="shared" si="18"/>
        <v>3250</v>
      </c>
      <c r="O91" s="4">
        <f t="shared" si="19"/>
        <v>4750</v>
      </c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s="3" customFormat="1" ht="27" customHeight="1" x14ac:dyDescent="0.25">
      <c r="A92" s="150">
        <f t="shared" si="17"/>
        <v>89</v>
      </c>
      <c r="B92" s="16" t="s">
        <v>1022</v>
      </c>
      <c r="C92" s="72" t="s">
        <v>1023</v>
      </c>
      <c r="D92" s="73" t="s">
        <v>1024</v>
      </c>
      <c r="E92" s="85" t="s">
        <v>34</v>
      </c>
      <c r="F92" s="33">
        <v>52.5</v>
      </c>
      <c r="G92" s="33" t="s">
        <v>1025</v>
      </c>
      <c r="H92" s="33">
        <v>3.1</v>
      </c>
      <c r="I92" s="133">
        <v>3125</v>
      </c>
      <c r="J92" s="137">
        <v>650</v>
      </c>
      <c r="K92" s="138">
        <v>2150</v>
      </c>
      <c r="L92" s="136">
        <v>1250</v>
      </c>
      <c r="M92" s="138">
        <v>4000</v>
      </c>
      <c r="N92" s="136">
        <f t="shared" si="18"/>
        <v>3775</v>
      </c>
      <c r="O92" s="4">
        <f t="shared" si="19"/>
        <v>5275</v>
      </c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s="3" customFormat="1" ht="27" customHeight="1" x14ac:dyDescent="0.25">
      <c r="A93" s="150">
        <f t="shared" si="17"/>
        <v>90</v>
      </c>
      <c r="B93" s="16" t="s">
        <v>1026</v>
      </c>
      <c r="C93" s="72" t="s">
        <v>1027</v>
      </c>
      <c r="D93" s="73" t="s">
        <v>1028</v>
      </c>
      <c r="E93" s="85" t="s">
        <v>81</v>
      </c>
      <c r="F93" s="33">
        <v>54.5</v>
      </c>
      <c r="G93" s="33" t="s">
        <v>1029</v>
      </c>
      <c r="H93" s="33">
        <v>3.4784722222222224</v>
      </c>
      <c r="I93" s="133">
        <v>3165</v>
      </c>
      <c r="J93" s="137">
        <v>650</v>
      </c>
      <c r="K93" s="138">
        <v>2150</v>
      </c>
      <c r="L93" s="136">
        <v>1250</v>
      </c>
      <c r="M93" s="138">
        <v>4000</v>
      </c>
      <c r="N93" s="136">
        <f t="shared" si="18"/>
        <v>3815</v>
      </c>
      <c r="O93" s="4">
        <f t="shared" si="19"/>
        <v>5315</v>
      </c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s="3" customFormat="1" ht="27" customHeight="1" x14ac:dyDescent="0.25">
      <c r="A94" s="150">
        <f t="shared" si="17"/>
        <v>91</v>
      </c>
      <c r="B94" s="16" t="s">
        <v>1030</v>
      </c>
      <c r="C94" s="72" t="s">
        <v>1031</v>
      </c>
      <c r="D94" s="73" t="s">
        <v>1032</v>
      </c>
      <c r="E94" s="85" t="s">
        <v>119</v>
      </c>
      <c r="F94" s="33">
        <v>55.5</v>
      </c>
      <c r="G94" s="33" t="s">
        <v>1033</v>
      </c>
      <c r="H94" s="33">
        <v>3.0166666666666671</v>
      </c>
      <c r="I94" s="133">
        <v>3362.5</v>
      </c>
      <c r="J94" s="137">
        <v>650</v>
      </c>
      <c r="K94" s="138">
        <v>2150</v>
      </c>
      <c r="L94" s="136">
        <v>1250</v>
      </c>
      <c r="M94" s="138">
        <v>4000</v>
      </c>
      <c r="N94" s="136">
        <f>I94+J94</f>
        <v>4012.5</v>
      </c>
      <c r="O94" s="4">
        <f>I94+K94</f>
        <v>5512.5</v>
      </c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s="3" customFormat="1" ht="27" customHeight="1" x14ac:dyDescent="0.25">
      <c r="A95" s="150">
        <f t="shared" si="17"/>
        <v>92</v>
      </c>
      <c r="B95" s="16" t="s">
        <v>1034</v>
      </c>
      <c r="C95" s="72" t="s">
        <v>1035</v>
      </c>
      <c r="D95" s="73" t="s">
        <v>1036</v>
      </c>
      <c r="E95" s="85" t="s">
        <v>36</v>
      </c>
      <c r="F95" s="33">
        <v>59</v>
      </c>
      <c r="G95" s="33" t="s">
        <v>1037</v>
      </c>
      <c r="H95" s="33">
        <v>4</v>
      </c>
      <c r="I95" s="133">
        <v>2650</v>
      </c>
      <c r="J95" s="137">
        <v>650</v>
      </c>
      <c r="K95" s="138">
        <v>2150</v>
      </c>
      <c r="L95" s="136">
        <v>1250</v>
      </c>
      <c r="M95" s="138">
        <v>4000</v>
      </c>
      <c r="N95" s="136">
        <f t="shared" si="18"/>
        <v>3300</v>
      </c>
      <c r="O95" s="4">
        <f t="shared" si="19"/>
        <v>4800</v>
      </c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s="3" customFormat="1" ht="27" customHeight="1" x14ac:dyDescent="0.25">
      <c r="A96" s="150">
        <f t="shared" si="17"/>
        <v>93</v>
      </c>
      <c r="B96" s="16" t="s">
        <v>1038</v>
      </c>
      <c r="C96" s="72" t="s">
        <v>1039</v>
      </c>
      <c r="D96" s="73" t="s">
        <v>1040</v>
      </c>
      <c r="E96" s="85" t="s">
        <v>111</v>
      </c>
      <c r="F96" s="33">
        <v>75</v>
      </c>
      <c r="G96" s="33" t="s">
        <v>1041</v>
      </c>
      <c r="H96" s="33">
        <f>(92+46/60)/24</f>
        <v>3.8652777777777776</v>
      </c>
      <c r="I96" s="133">
        <v>2700</v>
      </c>
      <c r="J96" s="137">
        <v>650</v>
      </c>
      <c r="K96" s="138">
        <v>2150</v>
      </c>
      <c r="L96" s="136">
        <v>1250</v>
      </c>
      <c r="M96" s="138">
        <v>4000</v>
      </c>
      <c r="N96" s="136">
        <f t="shared" si="18"/>
        <v>3350</v>
      </c>
      <c r="O96" s="4">
        <f t="shared" si="19"/>
        <v>4850</v>
      </c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35" s="3" customFormat="1" ht="27" customHeight="1" x14ac:dyDescent="0.25">
      <c r="A97" s="150">
        <f t="shared" si="17"/>
        <v>94</v>
      </c>
      <c r="B97" s="16" t="s">
        <v>1042</v>
      </c>
      <c r="C97" s="72" t="s">
        <v>1043</v>
      </c>
      <c r="D97" s="73" t="s">
        <v>1044</v>
      </c>
      <c r="E97" s="85" t="s">
        <v>37</v>
      </c>
      <c r="F97" s="33">
        <v>88</v>
      </c>
      <c r="G97" s="33" t="s">
        <v>1045</v>
      </c>
      <c r="H97" s="33">
        <v>3.2562500000000001</v>
      </c>
      <c r="I97" s="133">
        <v>4205</v>
      </c>
      <c r="J97" s="137">
        <v>650</v>
      </c>
      <c r="K97" s="138">
        <v>2150</v>
      </c>
      <c r="L97" s="136">
        <v>1250</v>
      </c>
      <c r="M97" s="138">
        <v>4000</v>
      </c>
      <c r="N97" s="136">
        <f t="shared" si="18"/>
        <v>4855</v>
      </c>
      <c r="O97" s="4">
        <f t="shared" si="19"/>
        <v>6355</v>
      </c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35" s="3" customFormat="1" ht="27" customHeight="1" x14ac:dyDescent="0.25">
      <c r="A98" s="150">
        <f t="shared" si="17"/>
        <v>95</v>
      </c>
      <c r="B98" s="16" t="s">
        <v>1046</v>
      </c>
      <c r="C98" s="72" t="s">
        <v>1047</v>
      </c>
      <c r="D98" s="73" t="s">
        <v>1048</v>
      </c>
      <c r="E98" s="85" t="s">
        <v>38</v>
      </c>
      <c r="F98" s="33">
        <v>89</v>
      </c>
      <c r="G98" s="33" t="s">
        <v>1049</v>
      </c>
      <c r="H98" s="33">
        <v>4.8616666666666672</v>
      </c>
      <c r="I98" s="133">
        <v>7092.045454545455</v>
      </c>
      <c r="J98" s="137">
        <v>650</v>
      </c>
      <c r="K98" s="138">
        <v>2150</v>
      </c>
      <c r="L98" s="136">
        <v>1250</v>
      </c>
      <c r="M98" s="138">
        <v>4000</v>
      </c>
      <c r="N98" s="136">
        <f t="shared" si="18"/>
        <v>7742.045454545455</v>
      </c>
      <c r="O98" s="4">
        <f t="shared" si="19"/>
        <v>9242.0454545454559</v>
      </c>
      <c r="P98" s="38"/>
    </row>
    <row r="99" spans="1:35" s="3" customFormat="1" ht="27" customHeight="1" x14ac:dyDescent="0.25">
      <c r="A99" s="150">
        <f t="shared" si="17"/>
        <v>96</v>
      </c>
      <c r="B99" s="16" t="s">
        <v>1050</v>
      </c>
      <c r="C99" s="72" t="s">
        <v>1051</v>
      </c>
      <c r="D99" s="73" t="s">
        <v>1052</v>
      </c>
      <c r="E99" s="85" t="s">
        <v>120</v>
      </c>
      <c r="F99" s="33">
        <v>92</v>
      </c>
      <c r="G99" s="33" t="s">
        <v>1053</v>
      </c>
      <c r="H99" s="33">
        <v>3.0208333333333335</v>
      </c>
      <c r="I99" s="133">
        <v>3669.318181818182</v>
      </c>
      <c r="J99" s="137">
        <v>650</v>
      </c>
      <c r="K99" s="138">
        <v>2150</v>
      </c>
      <c r="L99" s="136">
        <v>1250</v>
      </c>
      <c r="M99" s="138">
        <v>4000</v>
      </c>
      <c r="N99" s="136">
        <f t="shared" si="18"/>
        <v>4319.318181818182</v>
      </c>
      <c r="O99" s="4">
        <f t="shared" si="19"/>
        <v>5819.318181818182</v>
      </c>
      <c r="P99" s="38"/>
    </row>
    <row r="100" spans="1:35" s="3" customFormat="1" ht="27" customHeight="1" x14ac:dyDescent="0.25">
      <c r="A100" s="150">
        <f t="shared" si="17"/>
        <v>97</v>
      </c>
      <c r="B100" s="16" t="s">
        <v>1054</v>
      </c>
      <c r="C100" s="72" t="s">
        <v>1055</v>
      </c>
      <c r="D100" s="73" t="s">
        <v>1056</v>
      </c>
      <c r="E100" s="85" t="s">
        <v>39</v>
      </c>
      <c r="F100" s="33">
        <v>99</v>
      </c>
      <c r="G100" s="33" t="s">
        <v>1057</v>
      </c>
      <c r="H100" s="33">
        <v>7.3312499999999998</v>
      </c>
      <c r="I100" s="133">
        <v>4750</v>
      </c>
      <c r="J100" s="137">
        <v>650</v>
      </c>
      <c r="K100" s="138">
        <v>2150</v>
      </c>
      <c r="L100" s="136">
        <v>1250</v>
      </c>
      <c r="M100" s="138">
        <v>4000</v>
      </c>
      <c r="N100" s="136">
        <f t="shared" si="18"/>
        <v>5400</v>
      </c>
      <c r="O100" s="4">
        <f t="shared" si="19"/>
        <v>6900</v>
      </c>
      <c r="P100" s="38"/>
    </row>
    <row r="101" spans="1:35" s="3" customFormat="1" ht="27" customHeight="1" x14ac:dyDescent="0.25">
      <c r="A101" s="150">
        <f t="shared" si="17"/>
        <v>98</v>
      </c>
      <c r="B101" s="16" t="s">
        <v>1058</v>
      </c>
      <c r="C101" s="72" t="s">
        <v>1059</v>
      </c>
      <c r="D101" s="73" t="s">
        <v>1060</v>
      </c>
      <c r="E101" s="85" t="s">
        <v>40</v>
      </c>
      <c r="F101" s="33">
        <v>99</v>
      </c>
      <c r="G101" s="33" t="s">
        <v>1061</v>
      </c>
      <c r="H101" s="33">
        <v>7.0874999999999995</v>
      </c>
      <c r="I101" s="133">
        <v>4847</v>
      </c>
      <c r="J101" s="137">
        <v>650</v>
      </c>
      <c r="K101" s="138">
        <v>2150</v>
      </c>
      <c r="L101" s="136">
        <v>1250</v>
      </c>
      <c r="M101" s="138">
        <v>4000</v>
      </c>
      <c r="N101" s="136">
        <f t="shared" si="18"/>
        <v>5497</v>
      </c>
      <c r="O101" s="4">
        <f t="shared" si="19"/>
        <v>6997</v>
      </c>
      <c r="P101" s="38"/>
    </row>
    <row r="102" spans="1:35" s="3" customFormat="1" ht="27" customHeight="1" x14ac:dyDescent="0.25">
      <c r="A102" s="150">
        <f t="shared" si="17"/>
        <v>99</v>
      </c>
      <c r="B102" s="16" t="s">
        <v>1062</v>
      </c>
      <c r="C102" s="72" t="s">
        <v>1063</v>
      </c>
      <c r="D102" s="73" t="s">
        <v>1064</v>
      </c>
      <c r="E102" s="85" t="s">
        <v>223</v>
      </c>
      <c r="F102" s="33">
        <v>100</v>
      </c>
      <c r="G102" s="33" t="s">
        <v>1065</v>
      </c>
      <c r="H102" s="33">
        <f>((112+24/60))/24</f>
        <v>4.6833333333333336</v>
      </c>
      <c r="I102" s="133">
        <v>3620</v>
      </c>
      <c r="J102" s="137">
        <v>650</v>
      </c>
      <c r="K102" s="138">
        <v>2150</v>
      </c>
      <c r="L102" s="136">
        <v>1250</v>
      </c>
      <c r="M102" s="138">
        <v>4000</v>
      </c>
      <c r="N102" s="136">
        <f>I102+J102</f>
        <v>4270</v>
      </c>
      <c r="O102" s="4">
        <f>I102+K102</f>
        <v>5770</v>
      </c>
      <c r="P102" s="38"/>
    </row>
    <row r="103" spans="1:35" s="3" customFormat="1" ht="27" customHeight="1" x14ac:dyDescent="0.25">
      <c r="A103" s="150">
        <f t="shared" si="17"/>
        <v>100</v>
      </c>
      <c r="B103" s="16" t="s">
        <v>1066</v>
      </c>
      <c r="C103" s="72" t="s">
        <v>1067</v>
      </c>
      <c r="D103" s="73" t="s">
        <v>1068</v>
      </c>
      <c r="E103" s="85" t="s">
        <v>41</v>
      </c>
      <c r="F103" s="33">
        <v>110</v>
      </c>
      <c r="G103" s="33" t="s">
        <v>1069</v>
      </c>
      <c r="H103" s="33">
        <v>3.2562500000000001</v>
      </c>
      <c r="I103" s="133">
        <v>4204.545454545455</v>
      </c>
      <c r="J103" s="137">
        <v>650</v>
      </c>
      <c r="K103" s="138">
        <v>2150</v>
      </c>
      <c r="L103" s="136">
        <v>1250</v>
      </c>
      <c r="M103" s="138">
        <v>4000</v>
      </c>
      <c r="N103" s="136">
        <f t="shared" si="18"/>
        <v>4854.545454545455</v>
      </c>
      <c r="O103" s="4">
        <f t="shared" si="19"/>
        <v>6354.545454545455</v>
      </c>
      <c r="P103" s="38"/>
    </row>
    <row r="104" spans="1:35" s="3" customFormat="1" ht="27" customHeight="1" x14ac:dyDescent="0.25">
      <c r="A104" s="150">
        <f t="shared" si="17"/>
        <v>101</v>
      </c>
      <c r="B104" s="16" t="s">
        <v>1070</v>
      </c>
      <c r="C104" s="72" t="s">
        <v>1071</v>
      </c>
      <c r="D104" s="73" t="s">
        <v>1072</v>
      </c>
      <c r="E104" s="85" t="s">
        <v>42</v>
      </c>
      <c r="F104" s="33">
        <v>128</v>
      </c>
      <c r="G104" s="33" t="s">
        <v>1073</v>
      </c>
      <c r="H104" s="33">
        <v>4.4958333333333336</v>
      </c>
      <c r="I104" s="133">
        <v>5330</v>
      </c>
      <c r="J104" s="137">
        <v>650</v>
      </c>
      <c r="K104" s="138">
        <v>2150</v>
      </c>
      <c r="L104" s="136">
        <v>1250</v>
      </c>
      <c r="M104" s="138">
        <v>4000</v>
      </c>
      <c r="N104" s="136">
        <f t="shared" si="18"/>
        <v>5980</v>
      </c>
      <c r="O104" s="4">
        <f t="shared" si="19"/>
        <v>7480</v>
      </c>
      <c r="P104" s="38"/>
    </row>
    <row r="105" spans="1:35" s="3" customFormat="1" ht="27" customHeight="1" x14ac:dyDescent="0.25">
      <c r="A105" s="150">
        <f t="shared" si="17"/>
        <v>102</v>
      </c>
      <c r="B105" s="16" t="s">
        <v>1074</v>
      </c>
      <c r="C105" s="72" t="s">
        <v>1075</v>
      </c>
      <c r="D105" s="73" t="s">
        <v>1076</v>
      </c>
      <c r="E105" s="85" t="s">
        <v>43</v>
      </c>
      <c r="F105" s="33">
        <v>132</v>
      </c>
      <c r="G105" s="33" t="s">
        <v>1077</v>
      </c>
      <c r="H105" s="33">
        <v>3.3118055555555554</v>
      </c>
      <c r="I105" s="133">
        <v>4431.818181818182</v>
      </c>
      <c r="J105" s="137">
        <v>650</v>
      </c>
      <c r="K105" s="138">
        <v>2150</v>
      </c>
      <c r="L105" s="136">
        <v>1250</v>
      </c>
      <c r="M105" s="138">
        <v>4000</v>
      </c>
      <c r="N105" s="136">
        <f t="shared" si="18"/>
        <v>5081.818181818182</v>
      </c>
      <c r="O105" s="4">
        <f t="shared" si="19"/>
        <v>6581.818181818182</v>
      </c>
      <c r="P105" s="38"/>
    </row>
    <row r="106" spans="1:35" s="3" customFormat="1" ht="27" customHeight="1" x14ac:dyDescent="0.25">
      <c r="A106" s="150">
        <f t="shared" si="17"/>
        <v>103</v>
      </c>
      <c r="B106" s="16" t="s">
        <v>1078</v>
      </c>
      <c r="C106" s="72" t="s">
        <v>1079</v>
      </c>
      <c r="D106" s="73" t="s">
        <v>1080</v>
      </c>
      <c r="E106" s="85" t="s">
        <v>121</v>
      </c>
      <c r="F106" s="33">
        <v>170</v>
      </c>
      <c r="G106" s="33" t="s">
        <v>1081</v>
      </c>
      <c r="H106" s="33">
        <v>3.0583333333333336</v>
      </c>
      <c r="I106" s="133">
        <v>4702.272727272727</v>
      </c>
      <c r="J106" s="137">
        <v>650</v>
      </c>
      <c r="K106" s="138">
        <v>2150</v>
      </c>
      <c r="L106" s="136">
        <v>1250</v>
      </c>
      <c r="M106" s="138">
        <v>4000</v>
      </c>
      <c r="N106" s="136">
        <f t="shared" si="18"/>
        <v>5352.272727272727</v>
      </c>
      <c r="O106" s="4">
        <f t="shared" si="19"/>
        <v>6852.272727272727</v>
      </c>
      <c r="P106" s="38"/>
    </row>
    <row r="107" spans="1:35" s="3" customFormat="1" ht="27" customHeight="1" x14ac:dyDescent="0.25">
      <c r="A107" s="150">
        <f t="shared" si="17"/>
        <v>104</v>
      </c>
      <c r="B107" s="16" t="s">
        <v>1082</v>
      </c>
      <c r="C107" s="72" t="s">
        <v>1083</v>
      </c>
      <c r="D107" s="73" t="s">
        <v>1084</v>
      </c>
      <c r="E107" s="85" t="s">
        <v>225</v>
      </c>
      <c r="F107" s="33">
        <v>200</v>
      </c>
      <c r="G107" s="33" t="s">
        <v>1085</v>
      </c>
      <c r="H107" s="33">
        <f>(93+(23/60))/24</f>
        <v>3.8909722222222225</v>
      </c>
      <c r="I107" s="133">
        <v>4150</v>
      </c>
      <c r="J107" s="137">
        <v>650</v>
      </c>
      <c r="K107" s="138">
        <v>2150</v>
      </c>
      <c r="L107" s="136">
        <v>1250</v>
      </c>
      <c r="M107" s="138">
        <v>4000</v>
      </c>
      <c r="N107" s="136">
        <f t="shared" si="18"/>
        <v>4800</v>
      </c>
      <c r="O107" s="4">
        <f t="shared" si="19"/>
        <v>6300</v>
      </c>
      <c r="P107" s="38"/>
    </row>
    <row r="108" spans="1:35" s="3" customFormat="1" ht="27" customHeight="1" x14ac:dyDescent="0.25">
      <c r="A108" s="150">
        <f t="shared" si="17"/>
        <v>105</v>
      </c>
      <c r="B108" s="16" t="s">
        <v>1086</v>
      </c>
      <c r="C108" s="72" t="s">
        <v>1087</v>
      </c>
      <c r="D108" s="73" t="s">
        <v>1088</v>
      </c>
      <c r="E108" s="85" t="s">
        <v>107</v>
      </c>
      <c r="F108" s="33">
        <v>220</v>
      </c>
      <c r="G108" s="33" t="s">
        <v>1089</v>
      </c>
      <c r="H108" s="33">
        <f>(91+16/60)/24</f>
        <v>3.8027777777777776</v>
      </c>
      <c r="I108" s="133">
        <v>7775</v>
      </c>
      <c r="J108" s="137">
        <v>650</v>
      </c>
      <c r="K108" s="138">
        <v>2150</v>
      </c>
      <c r="L108" s="136">
        <v>1250</v>
      </c>
      <c r="M108" s="138">
        <v>4000</v>
      </c>
      <c r="N108" s="136">
        <f t="shared" si="18"/>
        <v>8425</v>
      </c>
      <c r="O108" s="4">
        <f t="shared" si="19"/>
        <v>9925</v>
      </c>
      <c r="P108" s="38"/>
    </row>
    <row r="109" spans="1:35" s="3" customFormat="1" ht="27" customHeight="1" x14ac:dyDescent="0.25">
      <c r="A109" s="150">
        <f t="shared" si="17"/>
        <v>106</v>
      </c>
      <c r="B109" s="17" t="s">
        <v>1090</v>
      </c>
      <c r="C109" s="72" t="s">
        <v>1091</v>
      </c>
      <c r="D109" s="73" t="s">
        <v>1092</v>
      </c>
      <c r="E109" s="85" t="s">
        <v>28</v>
      </c>
      <c r="F109" s="33">
        <v>16</v>
      </c>
      <c r="G109" s="34">
        <v>2.4</v>
      </c>
      <c r="H109" s="34">
        <v>3.5</v>
      </c>
      <c r="I109" s="133">
        <v>4944.318181818182</v>
      </c>
      <c r="J109" s="137">
        <v>650</v>
      </c>
      <c r="K109" s="138">
        <v>2150</v>
      </c>
      <c r="L109" s="136">
        <v>1250</v>
      </c>
      <c r="M109" s="138">
        <v>4000</v>
      </c>
      <c r="N109" s="136">
        <f t="shared" ref="N109:N114" si="22">I109+J109</f>
        <v>5594.318181818182</v>
      </c>
      <c r="O109" s="4">
        <f t="shared" ref="O109:O114" si="23">I109+K109</f>
        <v>7094.318181818182</v>
      </c>
      <c r="P109" s="38"/>
    </row>
    <row r="110" spans="1:35" s="3" customFormat="1" ht="27" customHeight="1" x14ac:dyDescent="0.25">
      <c r="A110" s="150">
        <f t="shared" si="17"/>
        <v>107</v>
      </c>
      <c r="B110" s="17" t="s">
        <v>1093</v>
      </c>
      <c r="C110" s="72" t="s">
        <v>66</v>
      </c>
      <c r="D110" s="73" t="s">
        <v>1097</v>
      </c>
      <c r="E110" s="73" t="s">
        <v>114</v>
      </c>
      <c r="F110" s="33">
        <v>20</v>
      </c>
      <c r="G110" s="33">
        <v>34.299999999999997</v>
      </c>
      <c r="H110" s="33">
        <v>3.0508333333333333</v>
      </c>
      <c r="I110" s="133">
        <v>5142.045454545455</v>
      </c>
      <c r="J110" s="137">
        <v>650</v>
      </c>
      <c r="K110" s="138">
        <v>2150</v>
      </c>
      <c r="L110" s="136">
        <v>1250</v>
      </c>
      <c r="M110" s="138">
        <v>4000</v>
      </c>
      <c r="N110" s="136">
        <f t="shared" si="22"/>
        <v>5792.045454545455</v>
      </c>
      <c r="O110" s="4">
        <f t="shared" si="23"/>
        <v>7292.045454545455</v>
      </c>
      <c r="P110" s="38"/>
      <c r="AB110" s="36"/>
      <c r="AC110" s="36"/>
      <c r="AD110" s="36"/>
      <c r="AE110" s="36"/>
    </row>
    <row r="111" spans="1:35" s="3" customFormat="1" ht="27" customHeight="1" x14ac:dyDescent="0.25">
      <c r="A111" s="150">
        <f t="shared" si="17"/>
        <v>108</v>
      </c>
      <c r="B111" s="17" t="s">
        <v>1096</v>
      </c>
      <c r="C111" s="72" t="s">
        <v>1094</v>
      </c>
      <c r="D111" s="73" t="s">
        <v>1095</v>
      </c>
      <c r="E111" s="85" t="s">
        <v>44</v>
      </c>
      <c r="F111" s="33">
        <v>36</v>
      </c>
      <c r="G111" s="33">
        <v>4.8</v>
      </c>
      <c r="H111" s="33">
        <v>3.4125000000000001</v>
      </c>
      <c r="I111" s="133">
        <v>6118.181818181818</v>
      </c>
      <c r="J111" s="137">
        <v>650</v>
      </c>
      <c r="K111" s="138">
        <v>2150</v>
      </c>
      <c r="L111" s="136">
        <v>1250</v>
      </c>
      <c r="M111" s="138">
        <v>4000</v>
      </c>
      <c r="N111" s="136">
        <f t="shared" si="22"/>
        <v>6768.181818181818</v>
      </c>
      <c r="O111" s="4">
        <f t="shared" si="23"/>
        <v>8268.181818181818</v>
      </c>
      <c r="P111" s="38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B111" s="58"/>
      <c r="AC111" s="58"/>
      <c r="AD111" s="58"/>
      <c r="AE111" s="58"/>
    </row>
    <row r="112" spans="1:35" s="36" customFormat="1" ht="45" x14ac:dyDescent="0.25">
      <c r="A112" s="150">
        <f t="shared" si="17"/>
        <v>109</v>
      </c>
      <c r="B112" s="17" t="s">
        <v>1098</v>
      </c>
      <c r="C112" s="72" t="s">
        <v>1099</v>
      </c>
      <c r="D112" s="73" t="s">
        <v>1100</v>
      </c>
      <c r="E112" s="85" t="s">
        <v>45</v>
      </c>
      <c r="F112" s="33">
        <v>37.5</v>
      </c>
      <c r="G112" s="33">
        <v>32</v>
      </c>
      <c r="H112" s="33">
        <v>4.7875000000000005</v>
      </c>
      <c r="I112" s="133">
        <v>3950</v>
      </c>
      <c r="J112" s="137">
        <v>650</v>
      </c>
      <c r="K112" s="138">
        <v>2150</v>
      </c>
      <c r="L112" s="136">
        <v>1250</v>
      </c>
      <c r="M112" s="138">
        <v>4000</v>
      </c>
      <c r="N112" s="136">
        <f t="shared" si="22"/>
        <v>4600</v>
      </c>
      <c r="O112" s="4">
        <f t="shared" si="23"/>
        <v>6100</v>
      </c>
      <c r="P112" s="38"/>
      <c r="AI112" s="3"/>
    </row>
    <row r="113" spans="1:35" s="58" customFormat="1" ht="45" x14ac:dyDescent="0.25">
      <c r="A113" s="150">
        <f t="shared" si="17"/>
        <v>110</v>
      </c>
      <c r="B113" s="17" t="s">
        <v>1101</v>
      </c>
      <c r="C113" s="72" t="s">
        <v>1102</v>
      </c>
      <c r="D113" s="73" t="s">
        <v>1103</v>
      </c>
      <c r="E113" s="73" t="s">
        <v>115</v>
      </c>
      <c r="F113" s="33">
        <v>36</v>
      </c>
      <c r="G113" s="33">
        <v>34.299999999999997</v>
      </c>
      <c r="H113" s="33">
        <v>3</v>
      </c>
      <c r="I113" s="133">
        <v>5465.909090909091</v>
      </c>
      <c r="J113" s="137">
        <v>650</v>
      </c>
      <c r="K113" s="138">
        <v>2150</v>
      </c>
      <c r="L113" s="136">
        <v>1250</v>
      </c>
      <c r="M113" s="138">
        <v>4000</v>
      </c>
      <c r="N113" s="136">
        <f t="shared" si="22"/>
        <v>6115.909090909091</v>
      </c>
      <c r="O113" s="4">
        <f t="shared" si="23"/>
        <v>7615.909090909091</v>
      </c>
      <c r="P113" s="38"/>
      <c r="AI113" s="36"/>
    </row>
    <row r="114" spans="1:35" s="36" customFormat="1" ht="45" x14ac:dyDescent="0.25">
      <c r="A114" s="150">
        <f t="shared" si="17"/>
        <v>111</v>
      </c>
      <c r="B114" s="17" t="s">
        <v>1104</v>
      </c>
      <c r="C114" s="72" t="s">
        <v>1105</v>
      </c>
      <c r="D114" s="73" t="s">
        <v>1106</v>
      </c>
      <c r="E114" s="85" t="s">
        <v>35</v>
      </c>
      <c r="F114" s="33">
        <v>57</v>
      </c>
      <c r="G114" s="33">
        <v>24</v>
      </c>
      <c r="H114" s="33">
        <v>3.4583333333333335</v>
      </c>
      <c r="I114" s="133">
        <v>5284.090909090909</v>
      </c>
      <c r="J114" s="137">
        <v>650</v>
      </c>
      <c r="K114" s="138">
        <v>2150</v>
      </c>
      <c r="L114" s="136">
        <v>1250</v>
      </c>
      <c r="M114" s="138">
        <v>4000</v>
      </c>
      <c r="N114" s="136">
        <f t="shared" si="22"/>
        <v>5934.090909090909</v>
      </c>
      <c r="O114" s="4">
        <f t="shared" si="23"/>
        <v>7434.090909090909</v>
      </c>
      <c r="P114" s="38"/>
      <c r="AI114" s="58"/>
    </row>
    <row r="115" spans="1:35" s="36" customFormat="1" ht="45" x14ac:dyDescent="0.25">
      <c r="A115" s="150">
        <f t="shared" si="17"/>
        <v>112</v>
      </c>
      <c r="B115" s="17" t="s">
        <v>1107</v>
      </c>
      <c r="C115" s="72" t="s">
        <v>1108</v>
      </c>
      <c r="D115" s="73" t="s">
        <v>1109</v>
      </c>
      <c r="E115" s="85" t="s">
        <v>101</v>
      </c>
      <c r="F115" s="33">
        <v>58</v>
      </c>
      <c r="G115" s="33">
        <v>44</v>
      </c>
      <c r="H115" s="33">
        <f>283.5/24</f>
        <v>11.8125</v>
      </c>
      <c r="I115" s="133">
        <v>5500</v>
      </c>
      <c r="J115" s="137">
        <v>650</v>
      </c>
      <c r="K115" s="138">
        <v>2150</v>
      </c>
      <c r="L115" s="136">
        <v>1250</v>
      </c>
      <c r="M115" s="138">
        <v>4000</v>
      </c>
      <c r="N115" s="136">
        <v>5746.0000000000009</v>
      </c>
      <c r="O115" s="4">
        <v>7246.0000000000009</v>
      </c>
      <c r="P115" s="38"/>
    </row>
    <row r="116" spans="1:35" s="36" customFormat="1" ht="45" x14ac:dyDescent="0.25">
      <c r="A116" s="150">
        <f t="shared" si="17"/>
        <v>113</v>
      </c>
      <c r="B116" s="17" t="s">
        <v>1110</v>
      </c>
      <c r="C116" s="72" t="s">
        <v>1111</v>
      </c>
      <c r="D116" s="73" t="s">
        <v>1112</v>
      </c>
      <c r="E116" s="85" t="s">
        <v>46</v>
      </c>
      <c r="F116" s="33">
        <v>70</v>
      </c>
      <c r="G116" s="33">
        <v>42</v>
      </c>
      <c r="H116" s="33">
        <v>3.0791666666666671</v>
      </c>
      <c r="I116" s="133">
        <v>10298.863636363636</v>
      </c>
      <c r="J116" s="137">
        <v>650</v>
      </c>
      <c r="K116" s="138">
        <v>2150</v>
      </c>
      <c r="L116" s="136">
        <v>1250</v>
      </c>
      <c r="M116" s="138">
        <v>4000</v>
      </c>
      <c r="N116" s="136">
        <f>I116+J116</f>
        <v>10948.863636363636</v>
      </c>
      <c r="O116" s="4">
        <f>I116+K116</f>
        <v>12448.863636363636</v>
      </c>
      <c r="P116" s="38"/>
    </row>
    <row r="117" spans="1:35" ht="45" x14ac:dyDescent="0.25">
      <c r="A117" s="150">
        <f t="shared" si="17"/>
        <v>114</v>
      </c>
      <c r="B117" s="17" t="s">
        <v>1113</v>
      </c>
      <c r="C117" s="72" t="s">
        <v>1114</v>
      </c>
      <c r="D117" s="73" t="s">
        <v>1115</v>
      </c>
      <c r="E117" s="85" t="s">
        <v>80</v>
      </c>
      <c r="F117" s="33">
        <v>100</v>
      </c>
      <c r="G117" s="33">
        <v>40</v>
      </c>
      <c r="H117" s="33">
        <v>5.0604166666666668</v>
      </c>
      <c r="I117" s="133">
        <v>5750</v>
      </c>
      <c r="J117" s="137">
        <v>650</v>
      </c>
      <c r="K117" s="138">
        <v>2150</v>
      </c>
      <c r="L117" s="136">
        <v>1250</v>
      </c>
      <c r="M117" s="138">
        <v>4000</v>
      </c>
      <c r="N117" s="136">
        <f>I117+J117</f>
        <v>6400</v>
      </c>
      <c r="O117" s="4">
        <f>I117+K117</f>
        <v>7900</v>
      </c>
      <c r="P117" s="38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I117" s="36"/>
    </row>
    <row r="118" spans="1:35" ht="45" x14ac:dyDescent="0.25">
      <c r="A118" s="150">
        <f t="shared" si="17"/>
        <v>115</v>
      </c>
      <c r="B118" s="17" t="s">
        <v>1116</v>
      </c>
      <c r="C118" s="72" t="s">
        <v>1117</v>
      </c>
      <c r="D118" s="73" t="s">
        <v>1118</v>
      </c>
      <c r="E118" s="85" t="s">
        <v>47</v>
      </c>
      <c r="F118" s="33">
        <v>102</v>
      </c>
      <c r="G118" s="33">
        <v>42.9</v>
      </c>
      <c r="H118" s="33">
        <v>3.2495833333333333</v>
      </c>
      <c r="I118" s="133">
        <v>6250</v>
      </c>
      <c r="J118" s="137">
        <v>650</v>
      </c>
      <c r="K118" s="138">
        <v>2150</v>
      </c>
      <c r="L118" s="136">
        <v>1250</v>
      </c>
      <c r="M118" s="138">
        <v>4000</v>
      </c>
      <c r="N118" s="136">
        <f>I118+J118</f>
        <v>6900</v>
      </c>
      <c r="O118" s="4">
        <f>I118+K118</f>
        <v>8400</v>
      </c>
      <c r="P118" s="38"/>
    </row>
    <row r="119" spans="1:35" x14ac:dyDescent="0.25">
      <c r="A119" s="150">
        <f t="shared" si="17"/>
        <v>116</v>
      </c>
      <c r="B119" s="18" t="s">
        <v>1119</v>
      </c>
      <c r="C119" s="72" t="s">
        <v>1120</v>
      </c>
      <c r="D119" s="73" t="s">
        <v>1121</v>
      </c>
      <c r="E119" s="85" t="s">
        <v>104</v>
      </c>
      <c r="F119" s="33" t="s">
        <v>1122</v>
      </c>
      <c r="G119" s="33">
        <v>34.299999999999997</v>
      </c>
      <c r="H119" s="33"/>
      <c r="I119" s="133">
        <v>2965.909090909091</v>
      </c>
      <c r="J119" s="137">
        <v>650</v>
      </c>
      <c r="K119" s="138">
        <v>2150</v>
      </c>
      <c r="L119" s="136">
        <v>1250</v>
      </c>
      <c r="M119" s="138">
        <v>4000</v>
      </c>
      <c r="N119" s="136">
        <f>I119+J119</f>
        <v>3615.909090909091</v>
      </c>
      <c r="O119" s="4">
        <f>I119+K119</f>
        <v>5115.909090909091</v>
      </c>
      <c r="P119" s="38"/>
    </row>
    <row r="120" spans="1:35" x14ac:dyDescent="0.25">
      <c r="A120" s="150">
        <f t="shared" si="17"/>
        <v>117</v>
      </c>
      <c r="B120" s="18" t="s">
        <v>1123</v>
      </c>
      <c r="C120" s="72" t="s">
        <v>1124</v>
      </c>
      <c r="D120" s="73" t="s">
        <v>1125</v>
      </c>
      <c r="E120" s="85" t="s">
        <v>94</v>
      </c>
      <c r="F120" s="33" t="s">
        <v>1126</v>
      </c>
      <c r="G120" s="33">
        <v>48</v>
      </c>
      <c r="H120" s="33">
        <v>5</v>
      </c>
      <c r="I120" s="133">
        <v>2250</v>
      </c>
      <c r="J120" s="137">
        <v>650</v>
      </c>
      <c r="K120" s="138">
        <v>2150</v>
      </c>
      <c r="L120" s="136">
        <v>1250</v>
      </c>
      <c r="M120" s="138">
        <v>4000</v>
      </c>
      <c r="N120" s="136">
        <f>I120+J120</f>
        <v>2900</v>
      </c>
      <c r="O120" s="4">
        <f>I120+K120</f>
        <v>4400</v>
      </c>
      <c r="P120" s="38"/>
    </row>
    <row r="121" spans="1:35" x14ac:dyDescent="0.25">
      <c r="A121" s="150">
        <f t="shared" si="17"/>
        <v>118</v>
      </c>
      <c r="B121" s="18" t="s">
        <v>1127</v>
      </c>
      <c r="C121" s="72" t="s">
        <v>1128</v>
      </c>
      <c r="D121" s="73" t="s">
        <v>1129</v>
      </c>
      <c r="E121" s="85" t="s">
        <v>48</v>
      </c>
      <c r="F121" s="33" t="s">
        <v>1130</v>
      </c>
      <c r="G121" s="33">
        <v>64</v>
      </c>
      <c r="H121" s="33">
        <v>5</v>
      </c>
      <c r="I121" s="133">
        <v>5402.272727272727</v>
      </c>
      <c r="J121" s="137">
        <v>650</v>
      </c>
      <c r="K121" s="138">
        <v>2150</v>
      </c>
      <c r="L121" s="136">
        <v>1250</v>
      </c>
      <c r="M121" s="138">
        <v>4000</v>
      </c>
      <c r="N121" s="136">
        <f>I121+J121</f>
        <v>6052.272727272727</v>
      </c>
      <c r="O121" s="4">
        <f>I121+K121</f>
        <v>7552.272727272727</v>
      </c>
      <c r="P121" s="38"/>
    </row>
    <row r="122" spans="1:35" ht="30" x14ac:dyDescent="0.25">
      <c r="A122" s="150">
        <f t="shared" si="17"/>
        <v>119</v>
      </c>
      <c r="B122" s="19" t="s">
        <v>1131</v>
      </c>
      <c r="C122" s="72" t="s">
        <v>1132</v>
      </c>
      <c r="D122" s="73" t="s">
        <v>1133</v>
      </c>
      <c r="E122" s="85" t="s">
        <v>88</v>
      </c>
      <c r="F122" s="33" t="s">
        <v>1134</v>
      </c>
      <c r="G122" s="33" t="s">
        <v>1135</v>
      </c>
      <c r="H122" s="33" t="s">
        <v>1136</v>
      </c>
      <c r="I122" s="133">
        <v>23</v>
      </c>
      <c r="J122" s="139">
        <v>0</v>
      </c>
      <c r="K122" s="138">
        <v>0</v>
      </c>
      <c r="L122" s="136" t="s">
        <v>1137</v>
      </c>
      <c r="M122" s="138" t="s">
        <v>1138</v>
      </c>
      <c r="N122" s="136">
        <f>I122+J122</f>
        <v>23</v>
      </c>
      <c r="O122" s="4">
        <f>I122+K122</f>
        <v>23</v>
      </c>
    </row>
    <row r="123" spans="1:35" ht="30" x14ac:dyDescent="0.25">
      <c r="A123" s="150">
        <f t="shared" si="17"/>
        <v>120</v>
      </c>
      <c r="B123" s="19" t="s">
        <v>1139</v>
      </c>
      <c r="C123" s="72" t="s">
        <v>1140</v>
      </c>
      <c r="D123" s="73" t="s">
        <v>83</v>
      </c>
      <c r="E123" s="85" t="s">
        <v>84</v>
      </c>
      <c r="F123" s="33" t="s">
        <v>1141</v>
      </c>
      <c r="G123" s="33" t="s">
        <v>1142</v>
      </c>
      <c r="H123" s="33" t="s">
        <v>1143</v>
      </c>
      <c r="I123" s="133">
        <v>40.799999999999997</v>
      </c>
      <c r="J123" s="139">
        <v>0</v>
      </c>
      <c r="K123" s="138">
        <v>0</v>
      </c>
      <c r="L123" s="136" t="s">
        <v>1144</v>
      </c>
      <c r="M123" s="138" t="s">
        <v>1145</v>
      </c>
      <c r="N123" s="136">
        <f>I123+J123</f>
        <v>40.799999999999997</v>
      </c>
      <c r="O123" s="4">
        <f>I123+K123</f>
        <v>40.799999999999997</v>
      </c>
    </row>
    <row r="124" spans="1:35" ht="30" x14ac:dyDescent="0.25">
      <c r="A124" s="150">
        <f t="shared" si="17"/>
        <v>121</v>
      </c>
      <c r="B124" s="19" t="s">
        <v>1146</v>
      </c>
      <c r="C124" s="72" t="s">
        <v>1147</v>
      </c>
      <c r="D124" s="73" t="s">
        <v>71</v>
      </c>
      <c r="E124" s="85" t="s">
        <v>85</v>
      </c>
      <c r="F124" s="33" t="s">
        <v>1148</v>
      </c>
      <c r="G124" s="33" t="s">
        <v>1149</v>
      </c>
      <c r="H124" s="33" t="s">
        <v>1150</v>
      </c>
      <c r="I124" s="133">
        <v>44</v>
      </c>
      <c r="J124" s="139">
        <v>0</v>
      </c>
      <c r="K124" s="138">
        <v>0</v>
      </c>
      <c r="L124" s="136" t="s">
        <v>1151</v>
      </c>
      <c r="M124" s="138" t="s">
        <v>1152</v>
      </c>
      <c r="N124" s="136">
        <f>I124+J124</f>
        <v>44</v>
      </c>
      <c r="O124" s="4">
        <f>I124+K124</f>
        <v>44</v>
      </c>
    </row>
    <row r="125" spans="1:35" s="3" customFormat="1" ht="27" customHeight="1" x14ac:dyDescent="0.25">
      <c r="A125" s="150">
        <f t="shared" si="17"/>
        <v>122</v>
      </c>
      <c r="B125" s="19" t="s">
        <v>1153</v>
      </c>
      <c r="C125" s="72" t="s">
        <v>1154</v>
      </c>
      <c r="D125" s="73" t="s">
        <v>1155</v>
      </c>
      <c r="E125" s="85" t="s">
        <v>72</v>
      </c>
      <c r="F125" s="33" t="s">
        <v>1156</v>
      </c>
      <c r="G125" s="33" t="s">
        <v>1157</v>
      </c>
      <c r="H125" s="33" t="s">
        <v>1158</v>
      </c>
      <c r="I125" s="133">
        <v>73</v>
      </c>
      <c r="J125" s="139">
        <v>0</v>
      </c>
      <c r="K125" s="138">
        <v>0</v>
      </c>
      <c r="L125" s="136" t="s">
        <v>1159</v>
      </c>
      <c r="M125" s="138" t="s">
        <v>1160</v>
      </c>
      <c r="N125" s="136">
        <f>I125+J125</f>
        <v>73</v>
      </c>
      <c r="O125" s="4">
        <f>I125+K125</f>
        <v>73</v>
      </c>
      <c r="P125" s="38"/>
      <c r="Q125" s="340"/>
      <c r="R125" s="340"/>
      <c r="S125" s="340"/>
      <c r="T125" s="340"/>
      <c r="U125" s="340"/>
      <c r="V125" s="340"/>
      <c r="W125" s="340"/>
      <c r="X125" s="340"/>
      <c r="Y125" s="340"/>
      <c r="Z125" s="340"/>
      <c r="AI125"/>
    </row>
    <row r="126" spans="1:35" s="3" customFormat="1" ht="27" customHeight="1" x14ac:dyDescent="0.25">
      <c r="A126" s="150">
        <f t="shared" si="17"/>
        <v>123</v>
      </c>
      <c r="B126" s="19" t="s">
        <v>1161</v>
      </c>
      <c r="C126" s="72" t="s">
        <v>1162</v>
      </c>
      <c r="D126" s="73" t="s">
        <v>116</v>
      </c>
      <c r="E126" s="85" t="s">
        <v>117</v>
      </c>
      <c r="F126" s="33" t="s">
        <v>1163</v>
      </c>
      <c r="G126" s="33" t="s">
        <v>1164</v>
      </c>
      <c r="H126" s="33" t="s">
        <v>1165</v>
      </c>
      <c r="I126" s="133">
        <v>130</v>
      </c>
      <c r="J126" s="139">
        <v>0</v>
      </c>
      <c r="K126" s="138">
        <v>0</v>
      </c>
      <c r="L126" s="136" t="s">
        <v>1166</v>
      </c>
      <c r="M126" s="138" t="s">
        <v>1167</v>
      </c>
      <c r="N126" s="136">
        <f>I126+J126</f>
        <v>130</v>
      </c>
      <c r="O126" s="4">
        <f>I126+K126</f>
        <v>130</v>
      </c>
      <c r="P126" s="38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</row>
    <row r="127" spans="1:35" s="3" customFormat="1" ht="27" customHeight="1" x14ac:dyDescent="0.25">
      <c r="A127" s="150">
        <f t="shared" si="17"/>
        <v>124</v>
      </c>
      <c r="B127" s="341" t="s">
        <v>1168</v>
      </c>
      <c r="C127" s="342" t="s">
        <v>1169</v>
      </c>
      <c r="D127" s="85" t="s">
        <v>73</v>
      </c>
      <c r="E127" s="85" t="s">
        <v>2103</v>
      </c>
      <c r="F127" s="343" t="s">
        <v>1170</v>
      </c>
      <c r="G127" s="343" t="s">
        <v>1171</v>
      </c>
      <c r="H127" s="343" t="s">
        <v>1172</v>
      </c>
      <c r="I127" s="344">
        <v>1595</v>
      </c>
      <c r="J127" s="345">
        <v>200</v>
      </c>
      <c r="K127" s="346">
        <v>400</v>
      </c>
      <c r="L127" s="347" t="s">
        <v>1173</v>
      </c>
      <c r="M127" s="346" t="s">
        <v>1174</v>
      </c>
      <c r="N127" s="347">
        <f>I127+J127</f>
        <v>1795</v>
      </c>
      <c r="O127" s="348">
        <f>I127+K127</f>
        <v>1995</v>
      </c>
      <c r="P127" s="38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</row>
    <row r="128" spans="1:35" s="3" customFormat="1" ht="27" customHeight="1" x14ac:dyDescent="0.25">
      <c r="A128" s="150">
        <f t="shared" si="17"/>
        <v>125</v>
      </c>
      <c r="B128" s="341" t="s">
        <v>570</v>
      </c>
      <c r="C128" s="342" t="s">
        <v>773</v>
      </c>
      <c r="D128" s="85" t="s">
        <v>2092</v>
      </c>
      <c r="E128" s="85" t="s">
        <v>2093</v>
      </c>
      <c r="F128" s="343" t="s">
        <v>773</v>
      </c>
      <c r="G128" s="343" t="s">
        <v>773</v>
      </c>
      <c r="H128" s="343" t="s">
        <v>773</v>
      </c>
      <c r="I128" s="344">
        <v>1699.5</v>
      </c>
      <c r="J128" s="345">
        <v>200</v>
      </c>
      <c r="K128" s="346">
        <v>400</v>
      </c>
      <c r="L128" s="347" t="s">
        <v>232</v>
      </c>
      <c r="M128" s="346" t="s">
        <v>232</v>
      </c>
      <c r="N128" s="347">
        <f>I128+J128</f>
        <v>1899.5</v>
      </c>
      <c r="O128" s="348">
        <f>I128+K128</f>
        <v>2099.5</v>
      </c>
      <c r="P128" s="38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</row>
    <row r="129" spans="1:26" s="3" customFormat="1" ht="27" customHeight="1" x14ac:dyDescent="0.25">
      <c r="A129" s="150">
        <f t="shared" si="17"/>
        <v>126</v>
      </c>
      <c r="B129" s="341" t="s">
        <v>570</v>
      </c>
      <c r="C129" s="342" t="s">
        <v>773</v>
      </c>
      <c r="D129" s="85" t="s">
        <v>2094</v>
      </c>
      <c r="E129" s="85" t="s">
        <v>2095</v>
      </c>
      <c r="F129" s="343" t="s">
        <v>773</v>
      </c>
      <c r="G129" s="343" t="s">
        <v>773</v>
      </c>
      <c r="H129" s="343" t="s">
        <v>773</v>
      </c>
      <c r="I129" s="344">
        <v>1196.8800000000001</v>
      </c>
      <c r="J129" s="345">
        <v>200</v>
      </c>
      <c r="K129" s="346">
        <v>400</v>
      </c>
      <c r="L129" s="347" t="s">
        <v>232</v>
      </c>
      <c r="M129" s="346" t="s">
        <v>232</v>
      </c>
      <c r="N129" s="347">
        <f>I129+J129</f>
        <v>1396.88</v>
      </c>
      <c r="O129" s="348">
        <f>I129+K129</f>
        <v>1596.88</v>
      </c>
      <c r="P129" s="38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</row>
    <row r="130" spans="1:26" s="3" customFormat="1" ht="27" customHeight="1" x14ac:dyDescent="0.25">
      <c r="A130" s="150">
        <f t="shared" si="17"/>
        <v>127</v>
      </c>
      <c r="B130" s="341" t="s">
        <v>570</v>
      </c>
      <c r="C130" s="342" t="s">
        <v>773</v>
      </c>
      <c r="D130" s="85" t="s">
        <v>73</v>
      </c>
      <c r="E130" s="85" t="s">
        <v>2096</v>
      </c>
      <c r="F130" s="343" t="s">
        <v>773</v>
      </c>
      <c r="G130" s="343" t="s">
        <v>773</v>
      </c>
      <c r="H130" s="343" t="s">
        <v>773</v>
      </c>
      <c r="I130" s="344">
        <v>2250</v>
      </c>
      <c r="J130" s="345">
        <v>200</v>
      </c>
      <c r="K130" s="346">
        <v>400</v>
      </c>
      <c r="L130" s="347" t="s">
        <v>232</v>
      </c>
      <c r="M130" s="346" t="s">
        <v>232</v>
      </c>
      <c r="N130" s="347">
        <f>I130+J130</f>
        <v>2450</v>
      </c>
      <c r="O130" s="348">
        <f>I130+K130</f>
        <v>2650</v>
      </c>
      <c r="P130" s="38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</row>
    <row r="131" spans="1:26" s="3" customFormat="1" ht="27" customHeight="1" x14ac:dyDescent="0.25">
      <c r="A131" s="150">
        <f t="shared" si="17"/>
        <v>128</v>
      </c>
      <c r="B131" s="341" t="s">
        <v>570</v>
      </c>
      <c r="C131" s="342" t="s">
        <v>773</v>
      </c>
      <c r="D131" s="85" t="s">
        <v>2092</v>
      </c>
      <c r="E131" s="85" t="s">
        <v>2097</v>
      </c>
      <c r="F131" s="343" t="s">
        <v>773</v>
      </c>
      <c r="G131" s="343" t="s">
        <v>773</v>
      </c>
      <c r="H131" s="343" t="s">
        <v>773</v>
      </c>
      <c r="I131" s="344">
        <v>2158.5</v>
      </c>
      <c r="J131" s="345">
        <v>200</v>
      </c>
      <c r="K131" s="346">
        <v>400</v>
      </c>
      <c r="L131" s="347" t="s">
        <v>232</v>
      </c>
      <c r="M131" s="346" t="s">
        <v>232</v>
      </c>
      <c r="N131" s="347">
        <f>I131+J131</f>
        <v>2358.5</v>
      </c>
      <c r="O131" s="348">
        <f>I131+K131</f>
        <v>2558.5</v>
      </c>
      <c r="P131" s="38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</row>
    <row r="132" spans="1:26" s="3" customFormat="1" ht="27" customHeight="1" x14ac:dyDescent="0.25">
      <c r="A132" s="150">
        <f t="shared" si="17"/>
        <v>129</v>
      </c>
      <c r="B132" s="341" t="s">
        <v>570</v>
      </c>
      <c r="C132" s="342" t="s">
        <v>773</v>
      </c>
      <c r="D132" s="85" t="s">
        <v>2094</v>
      </c>
      <c r="E132" s="85" t="s">
        <v>2098</v>
      </c>
      <c r="F132" s="343" t="s">
        <v>773</v>
      </c>
      <c r="G132" s="343" t="s">
        <v>773</v>
      </c>
      <c r="H132" s="343" t="s">
        <v>773</v>
      </c>
      <c r="I132" s="344">
        <v>1696.88</v>
      </c>
      <c r="J132" s="345">
        <v>200</v>
      </c>
      <c r="K132" s="346">
        <v>400</v>
      </c>
      <c r="L132" s="347" t="s">
        <v>232</v>
      </c>
      <c r="M132" s="346" t="s">
        <v>232</v>
      </c>
      <c r="N132" s="347">
        <f>I132+J132</f>
        <v>1896.88</v>
      </c>
      <c r="O132" s="348">
        <f>I132+K132</f>
        <v>2096.88</v>
      </c>
      <c r="P132" s="38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</row>
    <row r="133" spans="1:26" s="3" customFormat="1" ht="27" customHeight="1" x14ac:dyDescent="0.25">
      <c r="A133" s="150">
        <f t="shared" si="17"/>
        <v>130</v>
      </c>
      <c r="B133" s="341" t="s">
        <v>570</v>
      </c>
      <c r="C133" s="342" t="s">
        <v>773</v>
      </c>
      <c r="D133" s="85" t="s">
        <v>73</v>
      </c>
      <c r="E133" s="85" t="s">
        <v>2099</v>
      </c>
      <c r="F133" s="343" t="s">
        <v>773</v>
      </c>
      <c r="G133" s="343" t="s">
        <v>773</v>
      </c>
      <c r="H133" s="343" t="s">
        <v>773</v>
      </c>
      <c r="I133" s="344">
        <v>2805</v>
      </c>
      <c r="J133" s="345">
        <v>200</v>
      </c>
      <c r="K133" s="346">
        <v>400</v>
      </c>
      <c r="L133" s="347" t="s">
        <v>232</v>
      </c>
      <c r="M133" s="346" t="s">
        <v>232</v>
      </c>
      <c r="N133" s="347">
        <f>I133+J133</f>
        <v>3005</v>
      </c>
      <c r="O133" s="348">
        <f>I133+K133</f>
        <v>3205</v>
      </c>
      <c r="P133" s="38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</row>
    <row r="134" spans="1:26" s="3" customFormat="1" ht="27" customHeight="1" x14ac:dyDescent="0.25">
      <c r="A134" s="150">
        <f t="shared" ref="A134:A197" si="24">A133+1</f>
        <v>131</v>
      </c>
      <c r="B134" s="341" t="s">
        <v>570</v>
      </c>
      <c r="C134" s="342" t="s">
        <v>773</v>
      </c>
      <c r="D134" s="85" t="s">
        <v>2092</v>
      </c>
      <c r="E134" s="85" t="s">
        <v>2100</v>
      </c>
      <c r="F134" s="343" t="s">
        <v>773</v>
      </c>
      <c r="G134" s="343" t="s">
        <v>773</v>
      </c>
      <c r="H134" s="343" t="s">
        <v>773</v>
      </c>
      <c r="I134" s="344">
        <v>2616.5</v>
      </c>
      <c r="J134" s="345">
        <v>200</v>
      </c>
      <c r="K134" s="346">
        <v>400</v>
      </c>
      <c r="L134" s="347" t="s">
        <v>232</v>
      </c>
      <c r="M134" s="346" t="s">
        <v>232</v>
      </c>
      <c r="N134" s="347">
        <f>I134+J134</f>
        <v>2816.5</v>
      </c>
      <c r="O134" s="348">
        <f>I134+K134</f>
        <v>3016.5</v>
      </c>
      <c r="P134" s="38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</row>
    <row r="135" spans="1:26" s="3" customFormat="1" ht="27" customHeight="1" x14ac:dyDescent="0.25">
      <c r="A135" s="150">
        <f t="shared" si="24"/>
        <v>132</v>
      </c>
      <c r="B135" s="341" t="s">
        <v>570</v>
      </c>
      <c r="C135" s="342" t="s">
        <v>773</v>
      </c>
      <c r="D135" s="85" t="s">
        <v>2094</v>
      </c>
      <c r="E135" s="85" t="s">
        <v>2101</v>
      </c>
      <c r="F135" s="343" t="s">
        <v>773</v>
      </c>
      <c r="G135" s="343" t="s">
        <v>773</v>
      </c>
      <c r="H135" s="343" t="s">
        <v>773</v>
      </c>
      <c r="I135" s="344">
        <v>1117.8800000000001</v>
      </c>
      <c r="J135" s="345">
        <v>200</v>
      </c>
      <c r="K135" s="346">
        <v>400</v>
      </c>
      <c r="L135" s="347" t="s">
        <v>232</v>
      </c>
      <c r="M135" s="346" t="s">
        <v>232</v>
      </c>
      <c r="N135" s="347">
        <f>I135+J135</f>
        <v>1317.88</v>
      </c>
      <c r="O135" s="348">
        <f>I135+K135</f>
        <v>1517.88</v>
      </c>
      <c r="P135" s="38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</row>
    <row r="136" spans="1:26" s="3" customFormat="1" ht="27" customHeight="1" x14ac:dyDescent="0.25">
      <c r="A136" s="150">
        <f t="shared" si="24"/>
        <v>133</v>
      </c>
      <c r="B136" s="341" t="s">
        <v>570</v>
      </c>
      <c r="C136" s="342" t="s">
        <v>773</v>
      </c>
      <c r="D136" s="85" t="s">
        <v>2092</v>
      </c>
      <c r="E136" s="85" t="s">
        <v>2102</v>
      </c>
      <c r="F136" s="343" t="s">
        <v>773</v>
      </c>
      <c r="G136" s="343" t="s">
        <v>773</v>
      </c>
      <c r="H136" s="343" t="s">
        <v>773</v>
      </c>
      <c r="I136" s="344">
        <v>1203.5</v>
      </c>
      <c r="J136" s="345">
        <v>200</v>
      </c>
      <c r="K136" s="346">
        <v>400</v>
      </c>
      <c r="L136" s="347" t="s">
        <v>232</v>
      </c>
      <c r="M136" s="346" t="s">
        <v>232</v>
      </c>
      <c r="N136" s="347">
        <f>I136+J136</f>
        <v>1403.5</v>
      </c>
      <c r="O136" s="348">
        <f>I136+K136</f>
        <v>1603.5</v>
      </c>
      <c r="P136" s="38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</row>
    <row r="137" spans="1:26" s="3" customFormat="1" ht="27" customHeight="1" x14ac:dyDescent="0.25">
      <c r="A137" s="150">
        <f t="shared" si="24"/>
        <v>134</v>
      </c>
      <c r="B137" s="341" t="s">
        <v>1175</v>
      </c>
      <c r="C137" s="342" t="s">
        <v>1176</v>
      </c>
      <c r="D137" s="85" t="s">
        <v>87</v>
      </c>
      <c r="E137" s="85" t="s">
        <v>2104</v>
      </c>
      <c r="F137" s="343" t="s">
        <v>1177</v>
      </c>
      <c r="G137" s="343" t="s">
        <v>1178</v>
      </c>
      <c r="H137" s="343" t="s">
        <v>1179</v>
      </c>
      <c r="I137" s="344">
        <v>531</v>
      </c>
      <c r="J137" s="345">
        <v>200</v>
      </c>
      <c r="K137" s="346">
        <v>400</v>
      </c>
      <c r="L137" s="347" t="s">
        <v>1180</v>
      </c>
      <c r="M137" s="346" t="s">
        <v>1181</v>
      </c>
      <c r="N137" s="347">
        <f>I137+J137</f>
        <v>731</v>
      </c>
      <c r="O137" s="348">
        <f>I137+K137</f>
        <v>931</v>
      </c>
      <c r="P137" s="38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s="3" customFormat="1" ht="27" customHeight="1" x14ac:dyDescent="0.25">
      <c r="A138" s="150">
        <f t="shared" si="24"/>
        <v>135</v>
      </c>
      <c r="B138" s="341" t="s">
        <v>1182</v>
      </c>
      <c r="C138" s="342" t="s">
        <v>1183</v>
      </c>
      <c r="D138" s="85" t="s">
        <v>1184</v>
      </c>
      <c r="E138" s="85" t="s">
        <v>2105</v>
      </c>
      <c r="F138" s="343" t="s">
        <v>1185</v>
      </c>
      <c r="G138" s="343" t="s">
        <v>1186</v>
      </c>
      <c r="H138" s="343" t="s">
        <v>1187</v>
      </c>
      <c r="I138" s="344">
        <v>1077.27</v>
      </c>
      <c r="J138" s="345">
        <v>200</v>
      </c>
      <c r="K138" s="346">
        <v>400</v>
      </c>
      <c r="L138" s="347" t="s">
        <v>1188</v>
      </c>
      <c r="M138" s="346" t="s">
        <v>1189</v>
      </c>
      <c r="N138" s="347">
        <f>I138+J138</f>
        <v>1277.27</v>
      </c>
      <c r="O138" s="348">
        <f>I138+K138</f>
        <v>1477.27</v>
      </c>
      <c r="P138" s="38"/>
      <c r="Q138" s="212"/>
      <c r="R138" s="212"/>
      <c r="S138" s="212"/>
      <c r="T138" s="212"/>
      <c r="U138" s="212"/>
      <c r="V138" s="212"/>
      <c r="W138" s="212"/>
      <c r="X138" s="212"/>
      <c r="Y138" s="212"/>
      <c r="Z138" s="212"/>
    </row>
    <row r="139" spans="1:26" s="3" customFormat="1" ht="27" customHeight="1" x14ac:dyDescent="0.25">
      <c r="A139" s="150">
        <f t="shared" si="24"/>
        <v>136</v>
      </c>
      <c r="B139" s="341" t="s">
        <v>1190</v>
      </c>
      <c r="C139" s="342" t="s">
        <v>1191</v>
      </c>
      <c r="D139" s="85" t="s">
        <v>1192</v>
      </c>
      <c r="E139" s="85" t="s">
        <v>2106</v>
      </c>
      <c r="F139" s="343" t="s">
        <v>1193</v>
      </c>
      <c r="G139" s="343" t="s">
        <v>1194</v>
      </c>
      <c r="H139" s="343" t="s">
        <v>1195</v>
      </c>
      <c r="I139" s="344">
        <v>460.1</v>
      </c>
      <c r="J139" s="345">
        <v>200</v>
      </c>
      <c r="K139" s="346">
        <v>400</v>
      </c>
      <c r="L139" s="347" t="s">
        <v>1196</v>
      </c>
      <c r="M139" s="346" t="s">
        <v>1197</v>
      </c>
      <c r="N139" s="347">
        <f>I139+J139</f>
        <v>660.1</v>
      </c>
      <c r="O139" s="348">
        <f>I139+K139</f>
        <v>860.1</v>
      </c>
      <c r="P139" s="38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</row>
    <row r="140" spans="1:26" s="3" customFormat="1" ht="27" customHeight="1" x14ac:dyDescent="0.25">
      <c r="A140" s="150">
        <f t="shared" si="24"/>
        <v>137</v>
      </c>
      <c r="B140" s="341" t="s">
        <v>1198</v>
      </c>
      <c r="C140" s="342" t="s">
        <v>1199</v>
      </c>
      <c r="D140" s="85" t="s">
        <v>1200</v>
      </c>
      <c r="E140" s="85" t="s">
        <v>2107</v>
      </c>
      <c r="F140" s="343" t="s">
        <v>1201</v>
      </c>
      <c r="G140" s="343" t="s">
        <v>1202</v>
      </c>
      <c r="H140" s="343" t="s">
        <v>1203</v>
      </c>
      <c r="I140" s="344">
        <v>1210</v>
      </c>
      <c r="J140" s="345">
        <v>200</v>
      </c>
      <c r="K140" s="346">
        <v>400</v>
      </c>
      <c r="L140" s="347" t="s">
        <v>1204</v>
      </c>
      <c r="M140" s="346" t="s">
        <v>1205</v>
      </c>
      <c r="N140" s="347">
        <f>I140+J140</f>
        <v>1410</v>
      </c>
      <c r="O140" s="348">
        <f>I140+K140</f>
        <v>1610</v>
      </c>
      <c r="P140" s="38"/>
      <c r="Q140" s="212"/>
      <c r="R140" s="212"/>
      <c r="S140" s="212"/>
      <c r="T140" s="212"/>
      <c r="U140" s="212"/>
      <c r="V140" s="212"/>
      <c r="W140" s="212"/>
      <c r="X140" s="212"/>
      <c r="Y140" s="212"/>
      <c r="Z140" s="212"/>
    </row>
    <row r="141" spans="1:26" s="3" customFormat="1" ht="27" customHeight="1" x14ac:dyDescent="0.25">
      <c r="A141" s="150">
        <f t="shared" si="24"/>
        <v>138</v>
      </c>
      <c r="B141" s="20" t="s">
        <v>578</v>
      </c>
      <c r="C141" s="72" t="s">
        <v>76</v>
      </c>
      <c r="D141" s="73" t="s">
        <v>96</v>
      </c>
      <c r="E141" s="73" t="s">
        <v>2108</v>
      </c>
      <c r="F141" s="33">
        <v>0.8</v>
      </c>
      <c r="G141" s="33" t="s">
        <v>773</v>
      </c>
      <c r="H141" s="33">
        <f>20/24</f>
        <v>0.83333333333333337</v>
      </c>
      <c r="I141" s="133">
        <v>12.62</v>
      </c>
      <c r="J141" s="137">
        <v>0</v>
      </c>
      <c r="K141" s="138">
        <v>0</v>
      </c>
      <c r="L141" s="136" t="s">
        <v>232</v>
      </c>
      <c r="M141" s="138" t="s">
        <v>232</v>
      </c>
      <c r="N141" s="142">
        <v>8</v>
      </c>
      <c r="O141" s="33">
        <v>8</v>
      </c>
      <c r="P141" s="38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</row>
    <row r="142" spans="1:26" s="3" customFormat="1" ht="27" customHeight="1" x14ac:dyDescent="0.25">
      <c r="A142" s="150">
        <f t="shared" si="24"/>
        <v>139</v>
      </c>
      <c r="B142" s="20" t="s">
        <v>578</v>
      </c>
      <c r="C142" s="72" t="s">
        <v>76</v>
      </c>
      <c r="D142" s="73" t="s">
        <v>2109</v>
      </c>
      <c r="E142" s="73" t="s">
        <v>2110</v>
      </c>
      <c r="F142" s="33">
        <v>0.9</v>
      </c>
      <c r="G142" s="33" t="s">
        <v>773</v>
      </c>
      <c r="H142" s="33">
        <f>21/24</f>
        <v>0.875</v>
      </c>
      <c r="I142" s="133">
        <v>5.99</v>
      </c>
      <c r="J142" s="137">
        <v>0</v>
      </c>
      <c r="K142" s="138">
        <v>0</v>
      </c>
      <c r="L142" s="136" t="s">
        <v>232</v>
      </c>
      <c r="M142" s="138" t="s">
        <v>232</v>
      </c>
      <c r="N142" s="133">
        <v>7.5</v>
      </c>
      <c r="O142" s="4">
        <v>7.5</v>
      </c>
      <c r="P142" s="38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</row>
    <row r="143" spans="1:26" s="3" customFormat="1" ht="27" customHeight="1" x14ac:dyDescent="0.25">
      <c r="A143" s="150">
        <f t="shared" si="24"/>
        <v>140</v>
      </c>
      <c r="B143" s="20" t="s">
        <v>578</v>
      </c>
      <c r="C143" s="72" t="s">
        <v>76</v>
      </c>
      <c r="D143" s="73" t="s">
        <v>2111</v>
      </c>
      <c r="E143" s="73" t="s">
        <v>2112</v>
      </c>
      <c r="F143" s="33">
        <v>0.9</v>
      </c>
      <c r="G143" s="33" t="s">
        <v>773</v>
      </c>
      <c r="H143" s="33">
        <f>20/24</f>
        <v>0.83333333333333337</v>
      </c>
      <c r="I143" s="133">
        <v>6.4</v>
      </c>
      <c r="J143" s="137">
        <v>0</v>
      </c>
      <c r="K143" s="138">
        <v>0</v>
      </c>
      <c r="L143" s="136" t="s">
        <v>232</v>
      </c>
      <c r="M143" s="138" t="s">
        <v>232</v>
      </c>
      <c r="N143" s="133">
        <v>7.5</v>
      </c>
      <c r="O143" s="4">
        <v>7.5</v>
      </c>
      <c r="P143" s="38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</row>
    <row r="144" spans="1:26" s="3" customFormat="1" ht="27" customHeight="1" x14ac:dyDescent="0.25">
      <c r="A144" s="150">
        <f t="shared" si="24"/>
        <v>141</v>
      </c>
      <c r="B144" s="20" t="s">
        <v>578</v>
      </c>
      <c r="C144" s="72" t="s">
        <v>76</v>
      </c>
      <c r="D144" s="73" t="s">
        <v>2113</v>
      </c>
      <c r="E144" s="73" t="s">
        <v>2114</v>
      </c>
      <c r="F144" s="33">
        <v>0.91</v>
      </c>
      <c r="G144" s="33" t="s">
        <v>773</v>
      </c>
      <c r="H144" s="33">
        <f>17/24</f>
        <v>0.70833333333333337</v>
      </c>
      <c r="I144" s="133">
        <v>4.78</v>
      </c>
      <c r="J144" s="137">
        <v>0</v>
      </c>
      <c r="K144" s="138">
        <v>0</v>
      </c>
      <c r="L144" s="136" t="s">
        <v>232</v>
      </c>
      <c r="M144" s="138" t="s">
        <v>232</v>
      </c>
      <c r="N144" s="133">
        <v>9</v>
      </c>
      <c r="O144" s="4">
        <v>9</v>
      </c>
      <c r="P144" s="38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</row>
    <row r="145" spans="1:26" s="3" customFormat="1" ht="27" customHeight="1" x14ac:dyDescent="0.25">
      <c r="A145" s="150">
        <f t="shared" si="24"/>
        <v>142</v>
      </c>
      <c r="B145" s="20" t="s">
        <v>578</v>
      </c>
      <c r="C145" s="72" t="s">
        <v>76</v>
      </c>
      <c r="D145" s="73" t="s">
        <v>2109</v>
      </c>
      <c r="E145" s="73" t="s">
        <v>2115</v>
      </c>
      <c r="F145" s="33">
        <v>1.67</v>
      </c>
      <c r="G145" s="33" t="s">
        <v>773</v>
      </c>
      <c r="H145" s="33">
        <f>35/24</f>
        <v>1.4583333333333333</v>
      </c>
      <c r="I145" s="133">
        <v>9.4</v>
      </c>
      <c r="J145" s="137">
        <v>0</v>
      </c>
      <c r="K145" s="138">
        <v>0</v>
      </c>
      <c r="L145" s="136" t="s">
        <v>232</v>
      </c>
      <c r="M145" s="138" t="s">
        <v>232</v>
      </c>
      <c r="N145" s="133">
        <v>8.6999999999999993</v>
      </c>
      <c r="O145" s="4">
        <v>8.6999999999999993</v>
      </c>
      <c r="P145" s="38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</row>
    <row r="146" spans="1:26" s="3" customFormat="1" ht="27" customHeight="1" x14ac:dyDescent="0.25">
      <c r="A146" s="150">
        <f t="shared" si="24"/>
        <v>143</v>
      </c>
      <c r="B146" s="20" t="s">
        <v>578</v>
      </c>
      <c r="C146" s="72" t="s">
        <v>76</v>
      </c>
      <c r="D146" s="73" t="s">
        <v>2111</v>
      </c>
      <c r="E146" s="73" t="s">
        <v>2116</v>
      </c>
      <c r="F146" s="33">
        <v>1.7</v>
      </c>
      <c r="G146" s="33" t="s">
        <v>773</v>
      </c>
      <c r="H146" s="33">
        <f>38/24</f>
        <v>1.5833333333333333</v>
      </c>
      <c r="I146" s="133">
        <v>7.99</v>
      </c>
      <c r="J146" s="137">
        <v>0</v>
      </c>
      <c r="K146" s="138">
        <v>0</v>
      </c>
      <c r="L146" s="136" t="s">
        <v>232</v>
      </c>
      <c r="M146" s="138" t="s">
        <v>232</v>
      </c>
      <c r="N146" s="133">
        <v>11.5</v>
      </c>
      <c r="O146" s="4">
        <v>11.5</v>
      </c>
      <c r="P146" s="38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</row>
    <row r="147" spans="1:26" s="3" customFormat="1" ht="27" customHeight="1" x14ac:dyDescent="0.25">
      <c r="A147" s="150">
        <f t="shared" si="24"/>
        <v>144</v>
      </c>
      <c r="B147" s="20" t="s">
        <v>578</v>
      </c>
      <c r="C147" s="72" t="s">
        <v>76</v>
      </c>
      <c r="D147" s="73" t="s">
        <v>2113</v>
      </c>
      <c r="E147" s="73" t="s">
        <v>2117</v>
      </c>
      <c r="F147" s="33">
        <v>1.44</v>
      </c>
      <c r="G147" s="33" t="s">
        <v>773</v>
      </c>
      <c r="H147" s="33">
        <f>39/24</f>
        <v>1.625</v>
      </c>
      <c r="I147" s="133">
        <v>6.59</v>
      </c>
      <c r="J147" s="137">
        <v>0</v>
      </c>
      <c r="K147" s="138">
        <v>0</v>
      </c>
      <c r="L147" s="136" t="s">
        <v>232</v>
      </c>
      <c r="M147" s="138" t="s">
        <v>232</v>
      </c>
      <c r="N147" s="133">
        <v>14</v>
      </c>
      <c r="O147" s="4">
        <v>14</v>
      </c>
      <c r="P147" s="38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</row>
    <row r="148" spans="1:26" s="3" customFormat="1" ht="27" customHeight="1" x14ac:dyDescent="0.25">
      <c r="A148" s="150">
        <f t="shared" si="24"/>
        <v>145</v>
      </c>
      <c r="B148" s="20" t="s">
        <v>578</v>
      </c>
      <c r="C148" s="72" t="s">
        <v>76</v>
      </c>
      <c r="D148" s="73" t="s">
        <v>2118</v>
      </c>
      <c r="E148" s="73" t="s">
        <v>2119</v>
      </c>
      <c r="F148" s="33">
        <v>1.18</v>
      </c>
      <c r="G148" s="33" t="s">
        <v>773</v>
      </c>
      <c r="H148" s="33">
        <f>34/24</f>
        <v>1.4166666666666667</v>
      </c>
      <c r="I148" s="133">
        <v>125</v>
      </c>
      <c r="J148" s="137">
        <v>0</v>
      </c>
      <c r="K148" s="138">
        <v>0</v>
      </c>
      <c r="L148" s="136" t="s">
        <v>232</v>
      </c>
      <c r="M148" s="138" t="s">
        <v>232</v>
      </c>
      <c r="N148" s="133">
        <v>11.5</v>
      </c>
      <c r="O148" s="4">
        <v>11.5</v>
      </c>
      <c r="P148" s="38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</row>
    <row r="149" spans="1:26" s="3" customFormat="1" ht="27" customHeight="1" x14ac:dyDescent="0.25">
      <c r="A149" s="150">
        <f t="shared" si="24"/>
        <v>146</v>
      </c>
      <c r="B149" s="20" t="s">
        <v>578</v>
      </c>
      <c r="C149" s="72" t="s">
        <v>76</v>
      </c>
      <c r="D149" s="73" t="s">
        <v>96</v>
      </c>
      <c r="E149" s="73" t="s">
        <v>2120</v>
      </c>
      <c r="F149" s="33">
        <v>2.46</v>
      </c>
      <c r="G149" s="33" t="s">
        <v>773</v>
      </c>
      <c r="H149" s="33">
        <f>50/24</f>
        <v>2.0833333333333335</v>
      </c>
      <c r="I149" s="133">
        <v>16.8</v>
      </c>
      <c r="J149" s="137">
        <v>0</v>
      </c>
      <c r="K149" s="138">
        <v>0</v>
      </c>
      <c r="L149" s="136" t="s">
        <v>232</v>
      </c>
      <c r="M149" s="138" t="s">
        <v>232</v>
      </c>
      <c r="N149" s="133">
        <f>102/0.855</f>
        <v>119.2982456140351</v>
      </c>
      <c r="O149" s="4">
        <f>102/0.855</f>
        <v>119.2982456140351</v>
      </c>
      <c r="P149" s="38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</row>
    <row r="150" spans="1:26" s="3" customFormat="1" ht="27" customHeight="1" x14ac:dyDescent="0.25">
      <c r="A150" s="150">
        <f t="shared" si="24"/>
        <v>147</v>
      </c>
      <c r="B150" s="20" t="s">
        <v>578</v>
      </c>
      <c r="C150" s="72" t="s">
        <v>76</v>
      </c>
      <c r="D150" s="73" t="s">
        <v>2109</v>
      </c>
      <c r="E150" s="73" t="s">
        <v>2121</v>
      </c>
      <c r="F150" s="33">
        <v>2.9</v>
      </c>
      <c r="G150" s="33" t="s">
        <v>773</v>
      </c>
      <c r="H150" s="33">
        <f>51/24</f>
        <v>2.125</v>
      </c>
      <c r="I150" s="133">
        <v>12.05</v>
      </c>
      <c r="J150" s="137">
        <v>0</v>
      </c>
      <c r="K150" s="138">
        <v>0</v>
      </c>
      <c r="L150" s="136" t="s">
        <v>232</v>
      </c>
      <c r="M150" s="138" t="s">
        <v>232</v>
      </c>
      <c r="N150" s="133">
        <v>12</v>
      </c>
      <c r="O150" s="4">
        <v>12</v>
      </c>
      <c r="P150" s="38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</row>
    <row r="151" spans="1:26" s="3" customFormat="1" ht="27" customHeight="1" x14ac:dyDescent="0.25">
      <c r="A151" s="150">
        <f t="shared" si="24"/>
        <v>148</v>
      </c>
      <c r="B151" s="20" t="s">
        <v>578</v>
      </c>
      <c r="C151" s="72" t="s">
        <v>76</v>
      </c>
      <c r="D151" s="73" t="s">
        <v>2111</v>
      </c>
      <c r="E151" s="73" t="s">
        <v>2122</v>
      </c>
      <c r="F151" s="33">
        <v>2.6</v>
      </c>
      <c r="G151" s="33" t="s">
        <v>773</v>
      </c>
      <c r="H151" s="33">
        <f>43/24</f>
        <v>1.7916666666666667</v>
      </c>
      <c r="I151" s="133">
        <v>15</v>
      </c>
      <c r="J151" s="137">
        <v>0</v>
      </c>
      <c r="K151" s="138">
        <v>0</v>
      </c>
      <c r="L151" s="136" t="s">
        <v>232</v>
      </c>
      <c r="M151" s="138" t="s">
        <v>232</v>
      </c>
      <c r="N151" s="133">
        <v>12.05</v>
      </c>
      <c r="O151" s="4">
        <v>12.05</v>
      </c>
      <c r="P151" s="38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</row>
    <row r="152" spans="1:26" s="3" customFormat="1" ht="27" customHeight="1" x14ac:dyDescent="0.25">
      <c r="A152" s="150">
        <f t="shared" si="24"/>
        <v>149</v>
      </c>
      <c r="B152" s="20" t="s">
        <v>578</v>
      </c>
      <c r="C152" s="72" t="s">
        <v>76</v>
      </c>
      <c r="D152" s="73" t="s">
        <v>2113</v>
      </c>
      <c r="E152" s="73" t="s">
        <v>2123</v>
      </c>
      <c r="F152" s="33">
        <v>2.74</v>
      </c>
      <c r="G152" s="33" t="s">
        <v>773</v>
      </c>
      <c r="H152" s="33">
        <f>46/24</f>
        <v>1.9166666666666667</v>
      </c>
      <c r="I152" s="133">
        <v>8.7200000000000006</v>
      </c>
      <c r="J152" s="137">
        <v>0</v>
      </c>
      <c r="K152" s="138">
        <v>0</v>
      </c>
      <c r="L152" s="136" t="s">
        <v>232</v>
      </c>
      <c r="M152" s="138" t="s">
        <v>232</v>
      </c>
      <c r="N152" s="133">
        <v>16</v>
      </c>
      <c r="O152" s="4">
        <v>16</v>
      </c>
      <c r="P152" s="38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</row>
    <row r="153" spans="1:26" s="3" customFormat="1" ht="27" customHeight="1" x14ac:dyDescent="0.25">
      <c r="A153" s="150">
        <f t="shared" si="24"/>
        <v>150</v>
      </c>
      <c r="B153" s="20" t="s">
        <v>578</v>
      </c>
      <c r="C153" s="72" t="s">
        <v>76</v>
      </c>
      <c r="D153" s="73" t="s">
        <v>2118</v>
      </c>
      <c r="E153" s="73" t="s">
        <v>2124</v>
      </c>
      <c r="F153" s="33">
        <v>3</v>
      </c>
      <c r="G153" s="33" t="s">
        <v>773</v>
      </c>
      <c r="H153" s="33">
        <f>30/24</f>
        <v>1.25</v>
      </c>
      <c r="I153" s="133">
        <v>268</v>
      </c>
      <c r="J153" s="137">
        <v>0</v>
      </c>
      <c r="K153" s="138">
        <v>0</v>
      </c>
      <c r="L153" s="136" t="s">
        <v>232</v>
      </c>
      <c r="M153" s="138" t="s">
        <v>232</v>
      </c>
      <c r="N153" s="133">
        <v>15.8</v>
      </c>
      <c r="O153" s="4">
        <v>15.8</v>
      </c>
      <c r="P153" s="38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</row>
    <row r="154" spans="1:26" s="3" customFormat="1" ht="27" customHeight="1" x14ac:dyDescent="0.25">
      <c r="A154" s="150">
        <f t="shared" si="24"/>
        <v>151</v>
      </c>
      <c r="B154" s="20" t="s">
        <v>578</v>
      </c>
      <c r="C154" s="72" t="s">
        <v>76</v>
      </c>
      <c r="D154" s="73" t="s">
        <v>2111</v>
      </c>
      <c r="E154" s="73" t="s">
        <v>2125</v>
      </c>
      <c r="F154" s="33">
        <v>3.4</v>
      </c>
      <c r="G154" s="33" t="s">
        <v>773</v>
      </c>
      <c r="H154" s="33">
        <f>43/24</f>
        <v>1.7916666666666667</v>
      </c>
      <c r="I154" s="133">
        <v>15</v>
      </c>
      <c r="J154" s="137">
        <v>0</v>
      </c>
      <c r="K154" s="138">
        <v>0</v>
      </c>
      <c r="L154" s="136" t="s">
        <v>232</v>
      </c>
      <c r="M154" s="138" t="s">
        <v>232</v>
      </c>
      <c r="N154" s="133">
        <f>246/0.855</f>
        <v>287.71929824561403</v>
      </c>
      <c r="O154" s="4">
        <f>246/0.855</f>
        <v>287.71929824561403</v>
      </c>
      <c r="P154" s="38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</row>
    <row r="155" spans="1:26" s="3" customFormat="1" ht="27" customHeight="1" x14ac:dyDescent="0.25">
      <c r="A155" s="150">
        <f t="shared" si="24"/>
        <v>152</v>
      </c>
      <c r="B155" s="20" t="s">
        <v>1206</v>
      </c>
      <c r="C155" s="72" t="s">
        <v>76</v>
      </c>
      <c r="D155" s="73" t="s">
        <v>96</v>
      </c>
      <c r="E155" s="85" t="s">
        <v>97</v>
      </c>
      <c r="F155" s="33">
        <v>1.5</v>
      </c>
      <c r="G155" s="33" t="s">
        <v>1207</v>
      </c>
      <c r="H155" s="33">
        <v>1.4166666666666667</v>
      </c>
      <c r="I155" s="133">
        <v>51</v>
      </c>
      <c r="J155" s="139">
        <v>0</v>
      </c>
      <c r="K155" s="138">
        <v>0</v>
      </c>
      <c r="L155" s="136" t="s">
        <v>1208</v>
      </c>
      <c r="M155" s="138" t="s">
        <v>1209</v>
      </c>
      <c r="N155" s="136">
        <v>51</v>
      </c>
      <c r="O155" s="4">
        <v>51</v>
      </c>
      <c r="P155" s="38"/>
      <c r="Q155" s="212"/>
      <c r="R155" s="212"/>
      <c r="S155" s="212"/>
      <c r="T155" s="212"/>
      <c r="U155" s="212"/>
      <c r="V155" s="212"/>
      <c r="W155" s="212"/>
      <c r="X155" s="212"/>
      <c r="Y155" s="212"/>
      <c r="Z155" s="212"/>
    </row>
    <row r="156" spans="1:26" s="3" customFormat="1" ht="27" customHeight="1" x14ac:dyDescent="0.25">
      <c r="A156" s="150">
        <f t="shared" si="24"/>
        <v>153</v>
      </c>
      <c r="B156" s="20" t="s">
        <v>1210</v>
      </c>
      <c r="C156" s="72" t="s">
        <v>1211</v>
      </c>
      <c r="D156" s="73" t="s">
        <v>305</v>
      </c>
      <c r="E156" s="85" t="s">
        <v>306</v>
      </c>
      <c r="F156" s="33">
        <v>1.6</v>
      </c>
      <c r="G156" s="33" t="s">
        <v>1212</v>
      </c>
      <c r="H156" s="33">
        <v>1.25</v>
      </c>
      <c r="I156" s="133">
        <v>55</v>
      </c>
      <c r="J156" s="139">
        <v>0</v>
      </c>
      <c r="K156" s="138">
        <v>0</v>
      </c>
      <c r="L156" s="136" t="s">
        <v>1213</v>
      </c>
      <c r="M156" s="138" t="s">
        <v>1214</v>
      </c>
      <c r="N156" s="136">
        <v>51</v>
      </c>
      <c r="O156" s="4">
        <v>51</v>
      </c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s="3" customFormat="1" ht="27" customHeight="1" x14ac:dyDescent="0.25">
      <c r="A157" s="150">
        <f t="shared" si="24"/>
        <v>154</v>
      </c>
      <c r="B157" s="20" t="s">
        <v>1215</v>
      </c>
      <c r="C157" s="72" t="s">
        <v>1216</v>
      </c>
      <c r="D157" s="73" t="s">
        <v>103</v>
      </c>
      <c r="E157" s="85" t="s">
        <v>102</v>
      </c>
      <c r="F157" s="33">
        <v>1.7</v>
      </c>
      <c r="G157" s="33" t="s">
        <v>1217</v>
      </c>
      <c r="H157" s="33">
        <f>33.7/24</f>
        <v>1.4041666666666668</v>
      </c>
      <c r="I157" s="133">
        <v>45</v>
      </c>
      <c r="J157" s="139">
        <v>0</v>
      </c>
      <c r="K157" s="138">
        <v>0</v>
      </c>
      <c r="L157" s="136" t="s">
        <v>1218</v>
      </c>
      <c r="M157" s="138" t="s">
        <v>1219</v>
      </c>
      <c r="N157" s="136">
        <v>45</v>
      </c>
      <c r="O157" s="4">
        <v>45</v>
      </c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s="3" customFormat="1" ht="27" customHeight="1" x14ac:dyDescent="0.25">
      <c r="A158" s="150">
        <f t="shared" si="24"/>
        <v>155</v>
      </c>
      <c r="B158" s="197" t="s">
        <v>341</v>
      </c>
      <c r="C158" s="72" t="s">
        <v>2126</v>
      </c>
      <c r="D158" s="73" t="s">
        <v>2109</v>
      </c>
      <c r="E158" s="73" t="s">
        <v>2127</v>
      </c>
      <c r="F158" s="33">
        <v>8</v>
      </c>
      <c r="G158" s="33" t="s">
        <v>773</v>
      </c>
      <c r="H158" s="33">
        <f>84/24</f>
        <v>3.5</v>
      </c>
      <c r="I158" s="133">
        <v>74</v>
      </c>
      <c r="J158" s="137">
        <v>0</v>
      </c>
      <c r="K158" s="138">
        <v>0</v>
      </c>
      <c r="L158" s="136" t="s">
        <v>232</v>
      </c>
      <c r="M158" s="138" t="s">
        <v>232</v>
      </c>
      <c r="N158" s="133">
        <v>130</v>
      </c>
      <c r="O158" s="4">
        <v>130</v>
      </c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s="3" customFormat="1" ht="27" customHeight="1" x14ac:dyDescent="0.25">
      <c r="A159" s="150">
        <f t="shared" si="24"/>
        <v>156</v>
      </c>
      <c r="B159" s="197" t="s">
        <v>341</v>
      </c>
      <c r="C159" s="72" t="s">
        <v>2126</v>
      </c>
      <c r="D159" s="73" t="s">
        <v>2111</v>
      </c>
      <c r="E159" s="73" t="s">
        <v>2128</v>
      </c>
      <c r="F159" s="33">
        <v>7</v>
      </c>
      <c r="G159" s="33" t="s">
        <v>773</v>
      </c>
      <c r="H159" s="33">
        <f>89/24</f>
        <v>3.7083333333333335</v>
      </c>
      <c r="I159" s="133">
        <v>67</v>
      </c>
      <c r="J159" s="137">
        <v>0</v>
      </c>
      <c r="K159" s="138">
        <v>0</v>
      </c>
      <c r="L159" s="136" t="s">
        <v>232</v>
      </c>
      <c r="M159" s="138" t="s">
        <v>232</v>
      </c>
      <c r="N159" s="133">
        <v>100</v>
      </c>
      <c r="O159" s="4">
        <v>100</v>
      </c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s="3" customFormat="1" ht="27" customHeight="1" x14ac:dyDescent="0.25">
      <c r="A160" s="150">
        <f t="shared" si="24"/>
        <v>157</v>
      </c>
      <c r="B160" s="197" t="s">
        <v>341</v>
      </c>
      <c r="C160" s="72" t="s">
        <v>2126</v>
      </c>
      <c r="D160" s="73" t="s">
        <v>2113</v>
      </c>
      <c r="E160" s="73" t="s">
        <v>2129</v>
      </c>
      <c r="F160" s="33">
        <v>15</v>
      </c>
      <c r="G160" s="33" t="s">
        <v>773</v>
      </c>
      <c r="H160" s="33">
        <f>53/24</f>
        <v>2.2083333333333335</v>
      </c>
      <c r="I160" s="133">
        <v>48</v>
      </c>
      <c r="J160" s="137">
        <v>0</v>
      </c>
      <c r="K160" s="138">
        <v>0</v>
      </c>
      <c r="L160" s="136" t="s">
        <v>232</v>
      </c>
      <c r="M160" s="138" t="s">
        <v>232</v>
      </c>
      <c r="N160" s="133">
        <v>100</v>
      </c>
      <c r="O160" s="4">
        <v>100</v>
      </c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s="3" customFormat="1" ht="27" customHeight="1" x14ac:dyDescent="0.25">
      <c r="A161" s="150">
        <f t="shared" si="24"/>
        <v>158</v>
      </c>
      <c r="B161" s="197" t="s">
        <v>341</v>
      </c>
      <c r="C161" s="72" t="s">
        <v>2126</v>
      </c>
      <c r="D161" s="73" t="s">
        <v>2118</v>
      </c>
      <c r="E161" s="73" t="s">
        <v>2130</v>
      </c>
      <c r="F161" s="33">
        <v>6</v>
      </c>
      <c r="G161" s="33" t="s">
        <v>773</v>
      </c>
      <c r="H161" s="33">
        <f>57/24</f>
        <v>2.375</v>
      </c>
      <c r="I161" s="133">
        <v>336</v>
      </c>
      <c r="J161" s="137">
        <v>0</v>
      </c>
      <c r="K161" s="138">
        <v>0</v>
      </c>
      <c r="L161" s="136" t="s">
        <v>232</v>
      </c>
      <c r="M161" s="138" t="s">
        <v>232</v>
      </c>
      <c r="N161" s="133">
        <f>280/0.855</f>
        <v>327.48538011695905</v>
      </c>
      <c r="O161" s="4">
        <f>280/0.855</f>
        <v>327.48538011695905</v>
      </c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s="3" customFormat="1" ht="27" customHeight="1" x14ac:dyDescent="0.25">
      <c r="A162" s="150">
        <f t="shared" si="24"/>
        <v>159</v>
      </c>
      <c r="B162" s="197" t="s">
        <v>341</v>
      </c>
      <c r="C162" s="72" t="s">
        <v>2126</v>
      </c>
      <c r="D162" s="73" t="s">
        <v>96</v>
      </c>
      <c r="E162" s="73" t="s">
        <v>2131</v>
      </c>
      <c r="F162" s="33">
        <v>6</v>
      </c>
      <c r="G162" s="33" t="s">
        <v>773</v>
      </c>
      <c r="H162" s="33">
        <f>132/24</f>
        <v>5.5</v>
      </c>
      <c r="I162" s="133">
        <v>81</v>
      </c>
      <c r="J162" s="137">
        <v>0</v>
      </c>
      <c r="K162" s="138">
        <v>0</v>
      </c>
      <c r="L162" s="136" t="s">
        <v>232</v>
      </c>
      <c r="M162" s="138" t="s">
        <v>232</v>
      </c>
      <c r="N162" s="133">
        <v>85</v>
      </c>
      <c r="O162" s="4">
        <v>85</v>
      </c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s="3" customFormat="1" ht="27" customHeight="1" x14ac:dyDescent="0.25">
      <c r="A163" s="150">
        <f t="shared" si="24"/>
        <v>160</v>
      </c>
      <c r="B163" s="197" t="s">
        <v>341</v>
      </c>
      <c r="C163" s="72" t="s">
        <v>2126</v>
      </c>
      <c r="D163" s="73" t="s">
        <v>2109</v>
      </c>
      <c r="E163" s="73" t="s">
        <v>2132</v>
      </c>
      <c r="F163" s="33">
        <v>5.5</v>
      </c>
      <c r="G163" s="33" t="s">
        <v>773</v>
      </c>
      <c r="H163" s="33">
        <f>107/24</f>
        <v>4.458333333333333</v>
      </c>
      <c r="I163" s="133">
        <v>74</v>
      </c>
      <c r="J163" s="137">
        <v>0</v>
      </c>
      <c r="K163" s="138">
        <v>0</v>
      </c>
      <c r="L163" s="136" t="s">
        <v>232</v>
      </c>
      <c r="M163" s="138" t="s">
        <v>232</v>
      </c>
      <c r="N163" s="133">
        <v>130</v>
      </c>
      <c r="O163" s="4">
        <v>130</v>
      </c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s="3" customFormat="1" ht="27" customHeight="1" x14ac:dyDescent="0.25">
      <c r="A164" s="150">
        <f t="shared" si="24"/>
        <v>161</v>
      </c>
      <c r="B164" s="197" t="s">
        <v>341</v>
      </c>
      <c r="C164" s="72" t="s">
        <v>2126</v>
      </c>
      <c r="D164" s="73" t="s">
        <v>2111</v>
      </c>
      <c r="E164" s="73" t="s">
        <v>2133</v>
      </c>
      <c r="F164" s="33">
        <v>12</v>
      </c>
      <c r="G164" s="33" t="s">
        <v>773</v>
      </c>
      <c r="H164" s="33">
        <f>156/24</f>
        <v>6.5</v>
      </c>
      <c r="I164" s="133">
        <v>83</v>
      </c>
      <c r="J164" s="137">
        <v>0</v>
      </c>
      <c r="K164" s="138">
        <v>0</v>
      </c>
      <c r="L164" s="136" t="s">
        <v>232</v>
      </c>
      <c r="M164" s="138" t="s">
        <v>232</v>
      </c>
      <c r="N164" s="133">
        <v>120</v>
      </c>
      <c r="O164" s="4">
        <v>120</v>
      </c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s="3" customFormat="1" ht="27" customHeight="1" x14ac:dyDescent="0.25">
      <c r="A165" s="150">
        <f t="shared" si="24"/>
        <v>162</v>
      </c>
      <c r="B165" s="197" t="s">
        <v>341</v>
      </c>
      <c r="C165" s="72" t="s">
        <v>2126</v>
      </c>
      <c r="D165" s="73" t="s">
        <v>2113</v>
      </c>
      <c r="E165" s="73" t="s">
        <v>2134</v>
      </c>
      <c r="F165" s="33">
        <v>6</v>
      </c>
      <c r="G165" s="33" t="s">
        <v>773</v>
      </c>
      <c r="H165" s="33">
        <f>106/24</f>
        <v>4.416666666666667</v>
      </c>
      <c r="I165" s="133">
        <v>62</v>
      </c>
      <c r="J165" s="137">
        <v>0</v>
      </c>
      <c r="K165" s="138">
        <v>0</v>
      </c>
      <c r="L165" s="136" t="s">
        <v>232</v>
      </c>
      <c r="M165" s="138" t="s">
        <v>232</v>
      </c>
      <c r="N165" s="133">
        <v>99</v>
      </c>
      <c r="O165" s="4">
        <v>99</v>
      </c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s="3" customFormat="1" ht="27" customHeight="1" x14ac:dyDescent="0.25">
      <c r="A166" s="150">
        <f t="shared" si="24"/>
        <v>163</v>
      </c>
      <c r="B166" s="197" t="s">
        <v>341</v>
      </c>
      <c r="C166" s="72" t="s">
        <v>2126</v>
      </c>
      <c r="D166" s="73" t="s">
        <v>2118</v>
      </c>
      <c r="E166" s="73" t="s">
        <v>2135</v>
      </c>
      <c r="F166" s="33">
        <v>7</v>
      </c>
      <c r="G166" s="33" t="s">
        <v>773</v>
      </c>
      <c r="H166" s="33">
        <f>114/24</f>
        <v>4.75</v>
      </c>
      <c r="I166" s="133">
        <v>585</v>
      </c>
      <c r="J166" s="137">
        <v>0</v>
      </c>
      <c r="K166" s="138">
        <v>0</v>
      </c>
      <c r="L166" s="136" t="s">
        <v>232</v>
      </c>
      <c r="M166" s="138" t="s">
        <v>232</v>
      </c>
      <c r="N166" s="133">
        <f>539/0.855</f>
        <v>630.40935672514627</v>
      </c>
      <c r="O166" s="4">
        <f>539/0.855</f>
        <v>630.40935672514627</v>
      </c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s="3" customFormat="1" ht="27" customHeight="1" x14ac:dyDescent="0.25">
      <c r="A167" s="150">
        <f t="shared" si="24"/>
        <v>164</v>
      </c>
      <c r="B167" s="197" t="s">
        <v>341</v>
      </c>
      <c r="C167" s="72" t="s">
        <v>2136</v>
      </c>
      <c r="D167" s="73" t="s">
        <v>2109</v>
      </c>
      <c r="E167" s="73" t="s">
        <v>2137</v>
      </c>
      <c r="F167" s="33">
        <v>18</v>
      </c>
      <c r="G167" s="33" t="s">
        <v>773</v>
      </c>
      <c r="H167" s="33">
        <f>140/24</f>
        <v>5.833333333333333</v>
      </c>
      <c r="I167" s="133">
        <v>95</v>
      </c>
      <c r="J167" s="137">
        <v>0</v>
      </c>
      <c r="K167" s="138">
        <v>0</v>
      </c>
      <c r="L167" s="136" t="s">
        <v>232</v>
      </c>
      <c r="M167" s="138" t="s">
        <v>232</v>
      </c>
      <c r="N167" s="133">
        <v>122</v>
      </c>
      <c r="O167" s="4">
        <v>122</v>
      </c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s="3" customFormat="1" ht="27" customHeight="1" x14ac:dyDescent="0.25">
      <c r="A168" s="150">
        <f t="shared" si="24"/>
        <v>165</v>
      </c>
      <c r="B168" s="197" t="s">
        <v>341</v>
      </c>
      <c r="C168" s="72" t="s">
        <v>2136</v>
      </c>
      <c r="D168" s="73" t="s">
        <v>2113</v>
      </c>
      <c r="E168" s="73" t="s">
        <v>2138</v>
      </c>
      <c r="F168" s="33">
        <v>16</v>
      </c>
      <c r="G168" s="33" t="s">
        <v>773</v>
      </c>
      <c r="H168" s="33">
        <f>73/24</f>
        <v>3.0416666666666665</v>
      </c>
      <c r="I168" s="133">
        <v>62</v>
      </c>
      <c r="J168" s="137">
        <v>0</v>
      </c>
      <c r="K168" s="138">
        <v>0</v>
      </c>
      <c r="L168" s="136" t="s">
        <v>232</v>
      </c>
      <c r="M168" s="138" t="s">
        <v>232</v>
      </c>
      <c r="N168" s="133">
        <v>100</v>
      </c>
      <c r="O168" s="4">
        <v>100</v>
      </c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s="3" customFormat="1" ht="27" customHeight="1" x14ac:dyDescent="0.25">
      <c r="A169" s="150">
        <f t="shared" si="24"/>
        <v>166</v>
      </c>
      <c r="B169" s="197" t="s">
        <v>341</v>
      </c>
      <c r="C169" s="72" t="s">
        <v>2136</v>
      </c>
      <c r="D169" s="73" t="s">
        <v>96</v>
      </c>
      <c r="E169" s="73" t="s">
        <v>2139</v>
      </c>
      <c r="F169" s="33">
        <v>18</v>
      </c>
      <c r="G169" s="33" t="s">
        <v>773</v>
      </c>
      <c r="H169" s="33">
        <f>126/24</f>
        <v>5.25</v>
      </c>
      <c r="I169" s="133">
        <v>107</v>
      </c>
      <c r="J169" s="137">
        <v>0</v>
      </c>
      <c r="K169" s="138">
        <v>0</v>
      </c>
      <c r="L169" s="136" t="s">
        <v>232</v>
      </c>
      <c r="M169" s="138" t="s">
        <v>232</v>
      </c>
      <c r="N169" s="133">
        <v>115</v>
      </c>
      <c r="O169" s="4">
        <v>115</v>
      </c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s="3" customFormat="1" ht="27" customHeight="1" x14ac:dyDescent="0.25">
      <c r="A170" s="150">
        <f t="shared" si="24"/>
        <v>167</v>
      </c>
      <c r="B170" s="197" t="s">
        <v>341</v>
      </c>
      <c r="C170" s="72" t="s">
        <v>2136</v>
      </c>
      <c r="D170" s="73" t="s">
        <v>2109</v>
      </c>
      <c r="E170" s="73" t="s">
        <v>2140</v>
      </c>
      <c r="F170" s="33">
        <v>22.5</v>
      </c>
      <c r="G170" s="33" t="s">
        <v>773</v>
      </c>
      <c r="H170" s="33">
        <f>128/24</f>
        <v>5.333333333333333</v>
      </c>
      <c r="I170" s="133">
        <v>95</v>
      </c>
      <c r="J170" s="137">
        <v>0</v>
      </c>
      <c r="K170" s="138">
        <v>0</v>
      </c>
      <c r="L170" s="136" t="s">
        <v>232</v>
      </c>
      <c r="M170" s="138" t="s">
        <v>232</v>
      </c>
      <c r="N170" s="133">
        <v>115</v>
      </c>
      <c r="O170" s="4">
        <v>115</v>
      </c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s="3" customFormat="1" ht="27" customHeight="1" x14ac:dyDescent="0.25">
      <c r="A171" s="150">
        <f t="shared" si="24"/>
        <v>168</v>
      </c>
      <c r="B171" s="197" t="s">
        <v>341</v>
      </c>
      <c r="C171" s="72" t="s">
        <v>2136</v>
      </c>
      <c r="D171" s="73" t="s">
        <v>2111</v>
      </c>
      <c r="E171" s="73" t="s">
        <v>2141</v>
      </c>
      <c r="F171" s="33">
        <v>24</v>
      </c>
      <c r="G171" s="33" t="s">
        <v>773</v>
      </c>
      <c r="H171" s="33">
        <f>138/24</f>
        <v>5.75</v>
      </c>
      <c r="I171" s="133">
        <v>108</v>
      </c>
      <c r="J171" s="137">
        <v>0</v>
      </c>
      <c r="K171" s="138">
        <v>0</v>
      </c>
      <c r="L171" s="136" t="s">
        <v>232</v>
      </c>
      <c r="M171" s="138" t="s">
        <v>232</v>
      </c>
      <c r="N171" s="133">
        <v>160</v>
      </c>
      <c r="O171" s="4">
        <v>160</v>
      </c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s="3" customFormat="1" ht="27" customHeight="1" x14ac:dyDescent="0.25">
      <c r="A172" s="150">
        <f t="shared" si="24"/>
        <v>169</v>
      </c>
      <c r="B172" s="197" t="s">
        <v>341</v>
      </c>
      <c r="C172" s="72" t="s">
        <v>2136</v>
      </c>
      <c r="D172" s="73" t="s">
        <v>2113</v>
      </c>
      <c r="E172" s="73" t="s">
        <v>2142</v>
      </c>
      <c r="F172" s="33">
        <v>20.25</v>
      </c>
      <c r="G172" s="33" t="s">
        <v>773</v>
      </c>
      <c r="H172" s="33">
        <f>152/24</f>
        <v>6.333333333333333</v>
      </c>
      <c r="I172" s="133">
        <v>83</v>
      </c>
      <c r="J172" s="137">
        <v>0</v>
      </c>
      <c r="K172" s="138">
        <v>0</v>
      </c>
      <c r="L172" s="136" t="s">
        <v>232</v>
      </c>
      <c r="M172" s="138" t="s">
        <v>232</v>
      </c>
      <c r="N172" s="133">
        <v>130</v>
      </c>
      <c r="O172" s="4">
        <v>130</v>
      </c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s="3" customFormat="1" ht="27" customHeight="1" x14ac:dyDescent="0.25">
      <c r="A173" s="150">
        <f t="shared" si="24"/>
        <v>170</v>
      </c>
      <c r="B173" s="197" t="s">
        <v>341</v>
      </c>
      <c r="C173" s="72" t="s">
        <v>2136</v>
      </c>
      <c r="D173" s="73" t="s">
        <v>2118</v>
      </c>
      <c r="E173" s="73" t="s">
        <v>2143</v>
      </c>
      <c r="F173" s="33">
        <v>20</v>
      </c>
      <c r="G173" s="33" t="s">
        <v>773</v>
      </c>
      <c r="H173" s="33">
        <f>134/24</f>
        <v>5.583333333333333</v>
      </c>
      <c r="I173" s="133">
        <v>487</v>
      </c>
      <c r="J173" s="137">
        <v>0</v>
      </c>
      <c r="K173" s="138">
        <v>0</v>
      </c>
      <c r="L173" s="136" t="s">
        <v>232</v>
      </c>
      <c r="M173" s="138" t="s">
        <v>232</v>
      </c>
      <c r="N173" s="133">
        <f>703/0.855</f>
        <v>822.22222222222229</v>
      </c>
      <c r="O173" s="4">
        <f>703/0.855</f>
        <v>822.22222222222229</v>
      </c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s="3" customFormat="1" ht="27" customHeight="1" x14ac:dyDescent="0.25">
      <c r="A174" s="150">
        <f t="shared" si="24"/>
        <v>171</v>
      </c>
      <c r="B174" s="21" t="s">
        <v>1220</v>
      </c>
      <c r="C174" s="72" t="s">
        <v>77</v>
      </c>
      <c r="D174" s="73" t="s">
        <v>1221</v>
      </c>
      <c r="E174" s="73" t="s">
        <v>227</v>
      </c>
      <c r="F174" s="33">
        <v>15.4</v>
      </c>
      <c r="G174" s="33" t="s">
        <v>1222</v>
      </c>
      <c r="H174" s="33">
        <f>(106+(9/60))/24</f>
        <v>4.4229166666666666</v>
      </c>
      <c r="I174" s="133">
        <v>258</v>
      </c>
      <c r="J174" s="139">
        <v>0</v>
      </c>
      <c r="K174" s="138">
        <v>0</v>
      </c>
      <c r="L174" s="136" t="s">
        <v>1223</v>
      </c>
      <c r="M174" s="138" t="s">
        <v>1224</v>
      </c>
      <c r="N174" s="136">
        <f>I174+J174</f>
        <v>258</v>
      </c>
      <c r="O174" s="4">
        <f>I174+K174</f>
        <v>258</v>
      </c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s="3" customFormat="1" ht="27" customHeight="1" x14ac:dyDescent="0.25">
      <c r="A175" s="150">
        <f t="shared" si="24"/>
        <v>172</v>
      </c>
      <c r="B175" s="87" t="s">
        <v>1225</v>
      </c>
      <c r="C175" s="72" t="s">
        <v>1226</v>
      </c>
      <c r="D175" s="72" t="s">
        <v>291</v>
      </c>
      <c r="E175" s="73" t="s">
        <v>307</v>
      </c>
      <c r="F175" s="33" t="s">
        <v>1227</v>
      </c>
      <c r="G175" s="33" t="s">
        <v>1228</v>
      </c>
      <c r="H175" s="33" t="s">
        <v>1229</v>
      </c>
      <c r="I175" s="134">
        <v>95</v>
      </c>
      <c r="J175" s="139">
        <v>0</v>
      </c>
      <c r="K175" s="138">
        <v>0</v>
      </c>
      <c r="L175" s="136" t="s">
        <v>1230</v>
      </c>
      <c r="M175" s="138" t="s">
        <v>1231</v>
      </c>
      <c r="N175" s="136">
        <f>I175+J175</f>
        <v>95</v>
      </c>
      <c r="O175" s="4">
        <f>I175+K175</f>
        <v>95</v>
      </c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s="3" customFormat="1" ht="27" customHeight="1" x14ac:dyDescent="0.25">
      <c r="A176" s="150">
        <f t="shared" si="24"/>
        <v>173</v>
      </c>
      <c r="B176" s="87" t="s">
        <v>1232</v>
      </c>
      <c r="C176" s="72" t="s">
        <v>1233</v>
      </c>
      <c r="D176" s="72" t="s">
        <v>1234</v>
      </c>
      <c r="E176" s="73" t="s">
        <v>308</v>
      </c>
      <c r="F176" s="33" t="s">
        <v>1235</v>
      </c>
      <c r="G176" s="33" t="s">
        <v>1236</v>
      </c>
      <c r="H176" s="33" t="s">
        <v>1237</v>
      </c>
      <c r="I176" s="134">
        <v>65</v>
      </c>
      <c r="J176" s="139">
        <v>0</v>
      </c>
      <c r="K176" s="138">
        <v>0</v>
      </c>
      <c r="L176" s="136" t="s">
        <v>1238</v>
      </c>
      <c r="M176" s="138" t="s">
        <v>1239</v>
      </c>
      <c r="N176" s="136">
        <f>I176+J176</f>
        <v>65</v>
      </c>
      <c r="O176" s="4">
        <f>I176+K176</f>
        <v>65</v>
      </c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30" s="3" customFormat="1" ht="27" customHeight="1" x14ac:dyDescent="0.25">
      <c r="A177" s="150">
        <f t="shared" si="24"/>
        <v>174</v>
      </c>
      <c r="B177" s="87" t="s">
        <v>1240</v>
      </c>
      <c r="C177" s="72" t="s">
        <v>1241</v>
      </c>
      <c r="D177" s="72" t="s">
        <v>1242</v>
      </c>
      <c r="E177" s="73" t="s">
        <v>292</v>
      </c>
      <c r="F177" s="33" t="s">
        <v>1243</v>
      </c>
      <c r="G177" s="33" t="s">
        <v>1244</v>
      </c>
      <c r="H177" s="33" t="s">
        <v>1245</v>
      </c>
      <c r="I177" s="134">
        <v>68</v>
      </c>
      <c r="J177" s="139">
        <v>0</v>
      </c>
      <c r="K177" s="138">
        <v>0</v>
      </c>
      <c r="L177" s="136" t="s">
        <v>1246</v>
      </c>
      <c r="M177" s="138" t="s">
        <v>1247</v>
      </c>
      <c r="N177" s="136">
        <f>I177+J177</f>
        <v>68</v>
      </c>
      <c r="O177" s="4">
        <f>I177+K177</f>
        <v>68</v>
      </c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B177"/>
      <c r="AC177"/>
      <c r="AD177"/>
    </row>
    <row r="178" spans="1:30" s="3" customFormat="1" ht="27" customHeight="1" x14ac:dyDescent="0.25">
      <c r="A178" s="150">
        <f t="shared" si="24"/>
        <v>175</v>
      </c>
      <c r="B178" s="87" t="s">
        <v>1248</v>
      </c>
      <c r="C178" s="72" t="s">
        <v>1249</v>
      </c>
      <c r="D178" s="72" t="s">
        <v>304</v>
      </c>
      <c r="E178" s="73" t="s">
        <v>294</v>
      </c>
      <c r="F178" s="33" t="s">
        <v>1250</v>
      </c>
      <c r="G178" s="33" t="s">
        <v>1251</v>
      </c>
      <c r="H178" s="33" t="s">
        <v>1252</v>
      </c>
      <c r="I178" s="134">
        <v>550</v>
      </c>
      <c r="J178" s="139">
        <v>0</v>
      </c>
      <c r="K178" s="138">
        <v>0</v>
      </c>
      <c r="L178" s="136" t="s">
        <v>1253</v>
      </c>
      <c r="M178" s="138" t="s">
        <v>1254</v>
      </c>
      <c r="N178" s="136">
        <f>I178+J178</f>
        <v>550</v>
      </c>
      <c r="O178" s="4">
        <f>I178+K178</f>
        <v>550</v>
      </c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B178"/>
      <c r="AC178"/>
      <c r="AD178"/>
    </row>
    <row r="179" spans="1:30" s="3" customFormat="1" ht="27" customHeight="1" x14ac:dyDescent="0.25">
      <c r="A179" s="150">
        <f t="shared" si="24"/>
        <v>176</v>
      </c>
      <c r="B179" s="87" t="s">
        <v>1255</v>
      </c>
      <c r="C179" s="72" t="s">
        <v>1256</v>
      </c>
      <c r="D179" s="72" t="s">
        <v>1257</v>
      </c>
      <c r="E179" s="73" t="s">
        <v>295</v>
      </c>
      <c r="F179" s="33" t="s">
        <v>1258</v>
      </c>
      <c r="G179" s="33" t="s">
        <v>1259</v>
      </c>
      <c r="H179" s="33" t="s">
        <v>1260</v>
      </c>
      <c r="I179" s="134">
        <v>950</v>
      </c>
      <c r="J179" s="139">
        <v>0</v>
      </c>
      <c r="K179" s="138">
        <v>0</v>
      </c>
      <c r="L179" s="136" t="s">
        <v>1261</v>
      </c>
      <c r="M179" s="138" t="s">
        <v>1262</v>
      </c>
      <c r="N179" s="136">
        <f>I179+J179</f>
        <v>950</v>
      </c>
      <c r="O179" s="4">
        <f>I179+K179</f>
        <v>950</v>
      </c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B179"/>
      <c r="AC179"/>
      <c r="AD179"/>
    </row>
    <row r="180" spans="1:30" s="3" customFormat="1" ht="27" customHeight="1" x14ac:dyDescent="0.25">
      <c r="A180" s="150">
        <f t="shared" si="24"/>
        <v>177</v>
      </c>
      <c r="B180" s="87" t="s">
        <v>1263</v>
      </c>
      <c r="C180" s="72" t="s">
        <v>1264</v>
      </c>
      <c r="D180" s="72" t="s">
        <v>1265</v>
      </c>
      <c r="E180" s="73" t="s">
        <v>296</v>
      </c>
      <c r="F180" s="33" t="s">
        <v>1266</v>
      </c>
      <c r="G180" s="33" t="s">
        <v>1267</v>
      </c>
      <c r="H180" s="33" t="s">
        <v>1268</v>
      </c>
      <c r="I180" s="134">
        <v>1032</v>
      </c>
      <c r="J180" s="139">
        <v>0</v>
      </c>
      <c r="K180" s="138">
        <v>0</v>
      </c>
      <c r="L180" s="136" t="s">
        <v>1269</v>
      </c>
      <c r="M180" s="138" t="s">
        <v>1270</v>
      </c>
      <c r="N180" s="136">
        <f>I180+J180</f>
        <v>1032</v>
      </c>
      <c r="O180" s="4">
        <f>I180+K180</f>
        <v>1032</v>
      </c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B180"/>
      <c r="AC180"/>
      <c r="AD180"/>
    </row>
    <row r="181" spans="1:30" s="3" customFormat="1" ht="27" customHeight="1" x14ac:dyDescent="0.25">
      <c r="A181" s="150">
        <f t="shared" si="24"/>
        <v>178</v>
      </c>
      <c r="B181" s="87" t="s">
        <v>1271</v>
      </c>
      <c r="C181" s="72" t="s">
        <v>1272</v>
      </c>
      <c r="D181" s="72" t="s">
        <v>1273</v>
      </c>
      <c r="E181" s="73" t="s">
        <v>297</v>
      </c>
      <c r="F181" s="33" t="s">
        <v>1274</v>
      </c>
      <c r="G181" s="33" t="s">
        <v>1275</v>
      </c>
      <c r="H181" s="33" t="s">
        <v>1276</v>
      </c>
      <c r="I181" s="134">
        <v>1085</v>
      </c>
      <c r="J181" s="139">
        <v>0</v>
      </c>
      <c r="K181" s="138">
        <v>0</v>
      </c>
      <c r="L181" s="136" t="s">
        <v>1277</v>
      </c>
      <c r="M181" s="138" t="s">
        <v>1278</v>
      </c>
      <c r="N181" s="136">
        <f>I181+J181</f>
        <v>1085</v>
      </c>
      <c r="O181" s="4">
        <f>I181+K181</f>
        <v>1085</v>
      </c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B181"/>
      <c r="AC181"/>
      <c r="AD181"/>
    </row>
    <row r="182" spans="1:30" s="3" customFormat="1" ht="27" customHeight="1" x14ac:dyDescent="0.25">
      <c r="A182" s="150">
        <f t="shared" si="24"/>
        <v>179</v>
      </c>
      <c r="B182" s="87" t="s">
        <v>1279</v>
      </c>
      <c r="C182" s="72" t="s">
        <v>1280</v>
      </c>
      <c r="D182" s="72" t="s">
        <v>1281</v>
      </c>
      <c r="E182" s="73" t="s">
        <v>298</v>
      </c>
      <c r="F182" s="33" t="s">
        <v>1282</v>
      </c>
      <c r="G182" s="33" t="s">
        <v>1283</v>
      </c>
      <c r="H182" s="33" t="s">
        <v>1284</v>
      </c>
      <c r="I182" s="134">
        <v>1010.9</v>
      </c>
      <c r="J182" s="139">
        <v>0</v>
      </c>
      <c r="K182" s="138">
        <v>0</v>
      </c>
      <c r="L182" s="136" t="s">
        <v>1285</v>
      </c>
      <c r="M182" s="138" t="s">
        <v>1286</v>
      </c>
      <c r="N182" s="136">
        <f>I182+J182</f>
        <v>1010.9</v>
      </c>
      <c r="O182" s="4">
        <f>I182+K182</f>
        <v>1010.9</v>
      </c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B182"/>
      <c r="AC182"/>
      <c r="AD182"/>
    </row>
    <row r="183" spans="1:30" s="3" customFormat="1" ht="27" customHeight="1" x14ac:dyDescent="0.25">
      <c r="A183" s="150">
        <f t="shared" si="24"/>
        <v>180</v>
      </c>
      <c r="B183" s="87" t="s">
        <v>1287</v>
      </c>
      <c r="C183" s="72" t="s">
        <v>1288</v>
      </c>
      <c r="D183" s="72" t="s">
        <v>1289</v>
      </c>
      <c r="E183" s="73" t="s">
        <v>299</v>
      </c>
      <c r="F183" s="33" t="s">
        <v>1290</v>
      </c>
      <c r="G183" s="33" t="s">
        <v>1291</v>
      </c>
      <c r="H183" s="33" t="s">
        <v>1292</v>
      </c>
      <c r="I183" s="134">
        <v>1340</v>
      </c>
      <c r="J183" s="139">
        <v>0</v>
      </c>
      <c r="K183" s="138">
        <v>0</v>
      </c>
      <c r="L183" s="136" t="s">
        <v>1293</v>
      </c>
      <c r="M183" s="138" t="s">
        <v>1294</v>
      </c>
      <c r="N183" s="136">
        <f>I183+J183</f>
        <v>1340</v>
      </c>
      <c r="O183" s="4">
        <f>I183+K183</f>
        <v>1340</v>
      </c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B183"/>
      <c r="AC183"/>
      <c r="AD183"/>
    </row>
    <row r="184" spans="1:30" s="3" customFormat="1" ht="27" customHeight="1" x14ac:dyDescent="0.25">
      <c r="A184" s="150">
        <f t="shared" si="24"/>
        <v>181</v>
      </c>
      <c r="B184" s="87" t="s">
        <v>1295</v>
      </c>
      <c r="C184" s="72" t="s">
        <v>1296</v>
      </c>
      <c r="D184" s="72" t="s">
        <v>1297</v>
      </c>
      <c r="E184" s="73" t="s">
        <v>300</v>
      </c>
      <c r="F184" s="33" t="s">
        <v>1298</v>
      </c>
      <c r="G184" s="33" t="s">
        <v>1299</v>
      </c>
      <c r="H184" s="33" t="s">
        <v>1300</v>
      </c>
      <c r="I184" s="134">
        <v>1510</v>
      </c>
      <c r="J184" s="139">
        <v>0</v>
      </c>
      <c r="K184" s="138">
        <v>0</v>
      </c>
      <c r="L184" s="136" t="s">
        <v>1301</v>
      </c>
      <c r="M184" s="138" t="s">
        <v>1302</v>
      </c>
      <c r="N184" s="136">
        <f>I184+J184</f>
        <v>1510</v>
      </c>
      <c r="O184" s="4">
        <f>I184+K184</f>
        <v>1510</v>
      </c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B184"/>
      <c r="AC184"/>
      <c r="AD184"/>
    </row>
    <row r="185" spans="1:30" s="3" customFormat="1" ht="27" customHeight="1" x14ac:dyDescent="0.25">
      <c r="A185" s="150">
        <f t="shared" si="24"/>
        <v>182</v>
      </c>
      <c r="B185" s="87" t="s">
        <v>1303</v>
      </c>
      <c r="C185" s="72" t="s">
        <v>1304</v>
      </c>
      <c r="D185" s="72" t="s">
        <v>1305</v>
      </c>
      <c r="E185" s="73" t="s">
        <v>301</v>
      </c>
      <c r="F185" s="33" t="s">
        <v>1306</v>
      </c>
      <c r="G185" s="33" t="s">
        <v>1307</v>
      </c>
      <c r="H185" s="33" t="s">
        <v>1308</v>
      </c>
      <c r="I185" s="134">
        <v>1547.7</v>
      </c>
      <c r="J185" s="139">
        <v>0</v>
      </c>
      <c r="K185" s="138">
        <v>0</v>
      </c>
      <c r="L185" s="136" t="s">
        <v>1309</v>
      </c>
      <c r="M185" s="138" t="s">
        <v>1310</v>
      </c>
      <c r="N185" s="136">
        <f>I185+J185</f>
        <v>1547.7</v>
      </c>
      <c r="O185" s="4">
        <f>I185+K185</f>
        <v>1547.7</v>
      </c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B185"/>
      <c r="AC185"/>
      <c r="AD185"/>
    </row>
    <row r="186" spans="1:30" s="3" customFormat="1" ht="27" customHeight="1" x14ac:dyDescent="0.25">
      <c r="A186" s="150">
        <f t="shared" si="24"/>
        <v>183</v>
      </c>
      <c r="B186" s="87" t="s">
        <v>1311</v>
      </c>
      <c r="C186" s="72" t="s">
        <v>1312</v>
      </c>
      <c r="D186" s="72" t="s">
        <v>1313</v>
      </c>
      <c r="E186" s="73" t="s">
        <v>302</v>
      </c>
      <c r="F186" s="33" t="s">
        <v>1314</v>
      </c>
      <c r="G186" s="33" t="s">
        <v>1315</v>
      </c>
      <c r="H186" s="33" t="s">
        <v>1316</v>
      </c>
      <c r="I186" s="134">
        <v>1730</v>
      </c>
      <c r="J186" s="139">
        <v>0</v>
      </c>
      <c r="K186" s="138">
        <v>0</v>
      </c>
      <c r="L186" s="136" t="s">
        <v>1317</v>
      </c>
      <c r="M186" s="138" t="s">
        <v>1318</v>
      </c>
      <c r="N186" s="136">
        <f>I186+J186</f>
        <v>1730</v>
      </c>
      <c r="O186" s="4">
        <f>I186+K186</f>
        <v>1730</v>
      </c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B186"/>
      <c r="AC186"/>
      <c r="AD186"/>
    </row>
    <row r="187" spans="1:30" s="3" customFormat="1" ht="27" customHeight="1" x14ac:dyDescent="0.25">
      <c r="A187" s="150">
        <f t="shared" si="24"/>
        <v>184</v>
      </c>
      <c r="B187" s="87" t="s">
        <v>1319</v>
      </c>
      <c r="C187" s="72" t="s">
        <v>1320</v>
      </c>
      <c r="D187" s="72" t="s">
        <v>1321</v>
      </c>
      <c r="E187" s="73" t="s">
        <v>303</v>
      </c>
      <c r="F187" s="33" t="s">
        <v>1322</v>
      </c>
      <c r="G187" s="33" t="s">
        <v>1323</v>
      </c>
      <c r="H187" s="33" t="s">
        <v>1324</v>
      </c>
      <c r="I187" s="134">
        <v>2836.9</v>
      </c>
      <c r="J187" s="139">
        <v>0</v>
      </c>
      <c r="K187" s="138">
        <v>0</v>
      </c>
      <c r="L187" s="136" t="s">
        <v>1325</v>
      </c>
      <c r="M187" s="138" t="s">
        <v>1326</v>
      </c>
      <c r="N187" s="136">
        <f>I187+J187</f>
        <v>2836.9</v>
      </c>
      <c r="O187" s="4">
        <f>I187+K187</f>
        <v>2836.9</v>
      </c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B187"/>
      <c r="AC187"/>
      <c r="AD187"/>
    </row>
    <row r="188" spans="1:30" s="3" customFormat="1" ht="27" customHeight="1" x14ac:dyDescent="0.25">
      <c r="A188" s="150">
        <f t="shared" si="24"/>
        <v>185</v>
      </c>
      <c r="B188" s="198" t="s">
        <v>2144</v>
      </c>
      <c r="C188" s="72" t="s">
        <v>2145</v>
      </c>
      <c r="D188" s="73" t="s">
        <v>96</v>
      </c>
      <c r="E188" s="73" t="s">
        <v>2146</v>
      </c>
      <c r="F188" s="33" t="s">
        <v>773</v>
      </c>
      <c r="G188" s="72" t="s">
        <v>2145</v>
      </c>
      <c r="H188" s="33" t="s">
        <v>773</v>
      </c>
      <c r="I188" s="134">
        <v>0.87</v>
      </c>
      <c r="J188" s="137">
        <v>0</v>
      </c>
      <c r="K188" s="138">
        <v>0</v>
      </c>
      <c r="L188" s="136" t="s">
        <v>232</v>
      </c>
      <c r="M188" s="138" t="s">
        <v>232</v>
      </c>
      <c r="N188" s="134">
        <v>0.87</v>
      </c>
      <c r="O188" s="33">
        <v>0.87</v>
      </c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B188"/>
      <c r="AC188"/>
      <c r="AD188"/>
    </row>
    <row r="189" spans="1:30" s="3" customFormat="1" ht="27" customHeight="1" x14ac:dyDescent="0.25">
      <c r="A189" s="150">
        <f t="shared" si="24"/>
        <v>186</v>
      </c>
      <c r="B189" s="198" t="s">
        <v>2144</v>
      </c>
      <c r="C189" s="72" t="s">
        <v>2145</v>
      </c>
      <c r="D189" s="73" t="s">
        <v>2109</v>
      </c>
      <c r="E189" s="73" t="s">
        <v>2147</v>
      </c>
      <c r="F189" s="33" t="s">
        <v>773</v>
      </c>
      <c r="G189" s="72" t="s">
        <v>2145</v>
      </c>
      <c r="H189" s="33" t="s">
        <v>773</v>
      </c>
      <c r="I189" s="134">
        <v>0.3</v>
      </c>
      <c r="J189" s="137">
        <v>0</v>
      </c>
      <c r="K189" s="138">
        <v>0</v>
      </c>
      <c r="L189" s="136" t="s">
        <v>232</v>
      </c>
      <c r="M189" s="138" t="s">
        <v>232</v>
      </c>
      <c r="N189" s="134">
        <v>0.3</v>
      </c>
      <c r="O189" s="33">
        <v>0.3</v>
      </c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B189"/>
      <c r="AC189"/>
      <c r="AD189"/>
    </row>
    <row r="190" spans="1:30" s="3" customFormat="1" ht="27" customHeight="1" x14ac:dyDescent="0.25">
      <c r="A190" s="150">
        <f t="shared" si="24"/>
        <v>187</v>
      </c>
      <c r="B190" s="198" t="s">
        <v>2144</v>
      </c>
      <c r="C190" s="72" t="s">
        <v>2145</v>
      </c>
      <c r="D190" s="73" t="s">
        <v>2111</v>
      </c>
      <c r="E190" s="73" t="s">
        <v>2148</v>
      </c>
      <c r="F190" s="33" t="s">
        <v>773</v>
      </c>
      <c r="G190" s="72" t="s">
        <v>2145</v>
      </c>
      <c r="H190" s="33" t="s">
        <v>773</v>
      </c>
      <c r="I190" s="134">
        <v>0.3</v>
      </c>
      <c r="J190" s="137">
        <v>0</v>
      </c>
      <c r="K190" s="138">
        <v>0</v>
      </c>
      <c r="L190" s="136" t="s">
        <v>232</v>
      </c>
      <c r="M190" s="138" t="s">
        <v>232</v>
      </c>
      <c r="N190" s="134">
        <v>0.3</v>
      </c>
      <c r="O190" s="33">
        <v>0.3</v>
      </c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B190"/>
      <c r="AC190"/>
      <c r="AD190"/>
    </row>
    <row r="191" spans="1:30" s="3" customFormat="1" ht="27" customHeight="1" x14ac:dyDescent="0.25">
      <c r="A191" s="150">
        <f t="shared" si="24"/>
        <v>188</v>
      </c>
      <c r="B191" s="198" t="s">
        <v>2144</v>
      </c>
      <c r="C191" s="72" t="s">
        <v>2145</v>
      </c>
      <c r="D191" s="73" t="s">
        <v>2113</v>
      </c>
      <c r="E191" s="73" t="s">
        <v>2149</v>
      </c>
      <c r="F191" s="33" t="s">
        <v>773</v>
      </c>
      <c r="G191" s="72" t="s">
        <v>2145</v>
      </c>
      <c r="H191" s="33" t="s">
        <v>773</v>
      </c>
      <c r="I191" s="134">
        <v>0.2</v>
      </c>
      <c r="J191" s="137">
        <v>0</v>
      </c>
      <c r="K191" s="138">
        <v>0</v>
      </c>
      <c r="L191" s="136" t="s">
        <v>232</v>
      </c>
      <c r="M191" s="138" t="s">
        <v>232</v>
      </c>
      <c r="N191" s="134">
        <v>0.2</v>
      </c>
      <c r="O191" s="33">
        <v>0.2</v>
      </c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B191"/>
      <c r="AC191"/>
      <c r="AD191"/>
    </row>
    <row r="192" spans="1:30" s="3" customFormat="1" ht="27" customHeight="1" x14ac:dyDescent="0.25">
      <c r="A192" s="150">
        <f t="shared" si="24"/>
        <v>189</v>
      </c>
      <c r="B192" s="198" t="s">
        <v>2144</v>
      </c>
      <c r="C192" s="72" t="s">
        <v>2145</v>
      </c>
      <c r="D192" s="73" t="s">
        <v>2118</v>
      </c>
      <c r="E192" s="73" t="s">
        <v>2150</v>
      </c>
      <c r="F192" s="33" t="s">
        <v>773</v>
      </c>
      <c r="G192" s="72" t="s">
        <v>2145</v>
      </c>
      <c r="H192" s="33" t="s">
        <v>773</v>
      </c>
      <c r="I192" s="134">
        <v>46</v>
      </c>
      <c r="J192" s="137">
        <v>0</v>
      </c>
      <c r="K192" s="138">
        <v>0</v>
      </c>
      <c r="L192" s="136" t="s">
        <v>232</v>
      </c>
      <c r="M192" s="138" t="s">
        <v>232</v>
      </c>
      <c r="N192" s="134">
        <f>46/0.855</f>
        <v>53.801169590643276</v>
      </c>
      <c r="O192" s="33">
        <f>46/0.855</f>
        <v>53.801169590643276</v>
      </c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B192"/>
      <c r="AC192"/>
      <c r="AD192"/>
    </row>
    <row r="193" spans="1:35" s="3" customFormat="1" ht="27" customHeight="1" x14ac:dyDescent="0.25">
      <c r="A193" s="150">
        <f t="shared" si="24"/>
        <v>190</v>
      </c>
      <c r="B193" s="198" t="s">
        <v>2144</v>
      </c>
      <c r="C193" s="72" t="s">
        <v>2151</v>
      </c>
      <c r="D193" s="73" t="s">
        <v>96</v>
      </c>
      <c r="E193" s="73" t="s">
        <v>2152</v>
      </c>
      <c r="F193" s="33" t="s">
        <v>773</v>
      </c>
      <c r="G193" s="72" t="s">
        <v>2151</v>
      </c>
      <c r="H193" s="33" t="s">
        <v>773</v>
      </c>
      <c r="I193" s="134">
        <v>0.87</v>
      </c>
      <c r="J193" s="137">
        <v>0</v>
      </c>
      <c r="K193" s="138">
        <v>0</v>
      </c>
      <c r="L193" s="136" t="s">
        <v>232</v>
      </c>
      <c r="M193" s="138" t="s">
        <v>232</v>
      </c>
      <c r="N193" s="134">
        <v>0.87</v>
      </c>
      <c r="O193" s="33">
        <v>0.87</v>
      </c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B193"/>
      <c r="AC193"/>
      <c r="AD193"/>
    </row>
    <row r="194" spans="1:35" s="3" customFormat="1" ht="27" customHeight="1" x14ac:dyDescent="0.25">
      <c r="A194" s="150">
        <f t="shared" si="24"/>
        <v>191</v>
      </c>
      <c r="B194" s="198" t="s">
        <v>2144</v>
      </c>
      <c r="C194" s="72" t="s">
        <v>2151</v>
      </c>
      <c r="D194" s="73" t="s">
        <v>2109</v>
      </c>
      <c r="E194" s="73" t="s">
        <v>2153</v>
      </c>
      <c r="F194" s="33" t="s">
        <v>773</v>
      </c>
      <c r="G194" s="72" t="s">
        <v>2151</v>
      </c>
      <c r="H194" s="33" t="s">
        <v>773</v>
      </c>
      <c r="I194" s="134">
        <v>0.31</v>
      </c>
      <c r="J194" s="137">
        <v>0</v>
      </c>
      <c r="K194" s="138">
        <v>0</v>
      </c>
      <c r="L194" s="136" t="s">
        <v>232</v>
      </c>
      <c r="M194" s="138" t="s">
        <v>232</v>
      </c>
      <c r="N194" s="134">
        <v>0.31</v>
      </c>
      <c r="O194" s="33">
        <v>0.31</v>
      </c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B194"/>
      <c r="AC194"/>
      <c r="AD194"/>
    </row>
    <row r="195" spans="1:35" s="3" customFormat="1" ht="27" customHeight="1" x14ac:dyDescent="0.25">
      <c r="A195" s="150">
        <f t="shared" si="24"/>
        <v>192</v>
      </c>
      <c r="B195" s="198" t="s">
        <v>2144</v>
      </c>
      <c r="C195" s="72" t="s">
        <v>2151</v>
      </c>
      <c r="D195" s="73" t="s">
        <v>2111</v>
      </c>
      <c r="E195" s="73" t="s">
        <v>2154</v>
      </c>
      <c r="F195" s="33" t="s">
        <v>773</v>
      </c>
      <c r="G195" s="72" t="s">
        <v>2151</v>
      </c>
      <c r="H195" s="33" t="s">
        <v>773</v>
      </c>
      <c r="I195" s="134">
        <v>0.3</v>
      </c>
      <c r="J195" s="137">
        <v>0</v>
      </c>
      <c r="K195" s="138">
        <v>0</v>
      </c>
      <c r="L195" s="136" t="s">
        <v>232</v>
      </c>
      <c r="M195" s="138" t="s">
        <v>232</v>
      </c>
      <c r="N195" s="134">
        <v>0.3</v>
      </c>
      <c r="O195" s="33">
        <v>0.3</v>
      </c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B195"/>
      <c r="AC195"/>
      <c r="AD195"/>
    </row>
    <row r="196" spans="1:35" s="3" customFormat="1" ht="27" customHeight="1" x14ac:dyDescent="0.25">
      <c r="A196" s="150">
        <f t="shared" si="24"/>
        <v>193</v>
      </c>
      <c r="B196" s="198" t="s">
        <v>2144</v>
      </c>
      <c r="C196" s="72" t="s">
        <v>2151</v>
      </c>
      <c r="D196" s="73" t="s">
        <v>2113</v>
      </c>
      <c r="E196" s="73" t="s">
        <v>2155</v>
      </c>
      <c r="F196" s="33" t="s">
        <v>773</v>
      </c>
      <c r="G196" s="72" t="s">
        <v>2151</v>
      </c>
      <c r="H196" s="33" t="s">
        <v>773</v>
      </c>
      <c r="I196" s="134">
        <v>0.2</v>
      </c>
      <c r="J196" s="137">
        <v>0</v>
      </c>
      <c r="K196" s="138">
        <v>0</v>
      </c>
      <c r="L196" s="136" t="s">
        <v>232</v>
      </c>
      <c r="M196" s="138" t="s">
        <v>232</v>
      </c>
      <c r="N196" s="134">
        <v>0.2</v>
      </c>
      <c r="O196" s="33">
        <v>0.2</v>
      </c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B196"/>
      <c r="AC196"/>
      <c r="AD196"/>
    </row>
    <row r="197" spans="1:35" s="3" customFormat="1" ht="27" customHeight="1" x14ac:dyDescent="0.25">
      <c r="A197" s="150">
        <f t="shared" si="24"/>
        <v>194</v>
      </c>
      <c r="B197" s="198" t="s">
        <v>2144</v>
      </c>
      <c r="C197" s="72" t="s">
        <v>2156</v>
      </c>
      <c r="D197" s="73" t="s">
        <v>96</v>
      </c>
      <c r="E197" s="73" t="s">
        <v>2157</v>
      </c>
      <c r="F197" s="33" t="s">
        <v>773</v>
      </c>
      <c r="G197" s="72" t="s">
        <v>2156</v>
      </c>
      <c r="H197" s="33" t="s">
        <v>773</v>
      </c>
      <c r="I197" s="134">
        <v>1.23</v>
      </c>
      <c r="J197" s="137">
        <v>0</v>
      </c>
      <c r="K197" s="138">
        <v>0</v>
      </c>
      <c r="L197" s="136" t="s">
        <v>232</v>
      </c>
      <c r="M197" s="138" t="s">
        <v>232</v>
      </c>
      <c r="N197" s="134">
        <v>1.23</v>
      </c>
      <c r="O197" s="33">
        <v>1.23</v>
      </c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B197"/>
      <c r="AC197"/>
      <c r="AD197"/>
    </row>
    <row r="198" spans="1:35" s="3" customFormat="1" ht="27" customHeight="1" x14ac:dyDescent="0.25">
      <c r="A198" s="150">
        <f t="shared" ref="A198:A261" si="25">A197+1</f>
        <v>195</v>
      </c>
      <c r="B198" s="198" t="s">
        <v>2144</v>
      </c>
      <c r="C198" s="72" t="s">
        <v>2156</v>
      </c>
      <c r="D198" s="73" t="s">
        <v>2109</v>
      </c>
      <c r="E198" s="73" t="s">
        <v>2158</v>
      </c>
      <c r="F198" s="33" t="s">
        <v>773</v>
      </c>
      <c r="G198" s="72" t="s">
        <v>2156</v>
      </c>
      <c r="H198" s="33" t="s">
        <v>773</v>
      </c>
      <c r="I198" s="134">
        <v>0.42</v>
      </c>
      <c r="J198" s="137">
        <v>0</v>
      </c>
      <c r="K198" s="138">
        <v>0</v>
      </c>
      <c r="L198" s="136" t="s">
        <v>232</v>
      </c>
      <c r="M198" s="138" t="s">
        <v>232</v>
      </c>
      <c r="N198" s="134">
        <v>0.42</v>
      </c>
      <c r="O198" s="33">
        <v>0.42</v>
      </c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B198"/>
      <c r="AC198"/>
      <c r="AD198"/>
    </row>
    <row r="199" spans="1:35" s="3" customFormat="1" ht="27" customHeight="1" x14ac:dyDescent="0.25">
      <c r="A199" s="150">
        <f t="shared" si="25"/>
        <v>196</v>
      </c>
      <c r="B199" s="198" t="s">
        <v>2144</v>
      </c>
      <c r="C199" s="72" t="s">
        <v>2156</v>
      </c>
      <c r="D199" s="73" t="s">
        <v>2111</v>
      </c>
      <c r="E199" s="73" t="s">
        <v>2159</v>
      </c>
      <c r="F199" s="33" t="s">
        <v>773</v>
      </c>
      <c r="G199" s="72" t="s">
        <v>2156</v>
      </c>
      <c r="H199" s="33" t="s">
        <v>773</v>
      </c>
      <c r="I199" s="134">
        <v>0.49</v>
      </c>
      <c r="J199" s="137">
        <v>0</v>
      </c>
      <c r="K199" s="138">
        <v>0</v>
      </c>
      <c r="L199" s="136" t="s">
        <v>232</v>
      </c>
      <c r="M199" s="138" t="s">
        <v>232</v>
      </c>
      <c r="N199" s="134">
        <v>0.49</v>
      </c>
      <c r="O199" s="33">
        <v>0.49</v>
      </c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B199"/>
      <c r="AC199"/>
      <c r="AD199"/>
    </row>
    <row r="200" spans="1:35" s="3" customFormat="1" ht="27" customHeight="1" x14ac:dyDescent="0.25">
      <c r="A200" s="150">
        <f t="shared" si="25"/>
        <v>197</v>
      </c>
      <c r="B200" s="198" t="s">
        <v>2144</v>
      </c>
      <c r="C200" s="72" t="s">
        <v>2156</v>
      </c>
      <c r="D200" s="73" t="s">
        <v>2113</v>
      </c>
      <c r="E200" s="73" t="s">
        <v>2160</v>
      </c>
      <c r="F200" s="33" t="s">
        <v>773</v>
      </c>
      <c r="G200" s="72" t="s">
        <v>2156</v>
      </c>
      <c r="H200" s="33" t="s">
        <v>773</v>
      </c>
      <c r="I200" s="134">
        <v>0.3</v>
      </c>
      <c r="J200" s="137">
        <v>0</v>
      </c>
      <c r="K200" s="138">
        <v>0</v>
      </c>
      <c r="L200" s="136" t="s">
        <v>232</v>
      </c>
      <c r="M200" s="138" t="s">
        <v>232</v>
      </c>
      <c r="N200" s="134">
        <v>0.3</v>
      </c>
      <c r="O200" s="33">
        <v>0.3</v>
      </c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B200"/>
      <c r="AC200"/>
      <c r="AD200"/>
    </row>
    <row r="201" spans="1:35" s="3" customFormat="1" ht="27" customHeight="1" x14ac:dyDescent="0.25">
      <c r="A201" s="150">
        <f t="shared" si="25"/>
        <v>198</v>
      </c>
      <c r="B201" s="198" t="s">
        <v>2144</v>
      </c>
      <c r="C201" s="72" t="s">
        <v>2156</v>
      </c>
      <c r="D201" s="73" t="s">
        <v>2118</v>
      </c>
      <c r="E201" s="73" t="s">
        <v>2161</v>
      </c>
      <c r="F201" s="33" t="s">
        <v>773</v>
      </c>
      <c r="G201" s="72" t="s">
        <v>2156</v>
      </c>
      <c r="H201" s="33" t="s">
        <v>773</v>
      </c>
      <c r="I201" s="134">
        <v>34</v>
      </c>
      <c r="J201" s="137">
        <v>0</v>
      </c>
      <c r="K201" s="138">
        <v>0</v>
      </c>
      <c r="L201" s="136" t="s">
        <v>232</v>
      </c>
      <c r="M201" s="138" t="s">
        <v>232</v>
      </c>
      <c r="N201" s="134">
        <f>34/0.855</f>
        <v>39.76608187134503</v>
      </c>
      <c r="O201" s="33">
        <f>34/0.855</f>
        <v>39.76608187134503</v>
      </c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B201"/>
      <c r="AC201"/>
      <c r="AD201"/>
    </row>
    <row r="202" spans="1:35" s="3" customFormat="1" ht="46.5" customHeight="1" x14ac:dyDescent="0.25">
      <c r="A202" s="150">
        <f t="shared" si="25"/>
        <v>199</v>
      </c>
      <c r="B202" s="123" t="s">
        <v>2162</v>
      </c>
      <c r="C202" s="72" t="s">
        <v>1327</v>
      </c>
      <c r="D202" s="73" t="s">
        <v>1328</v>
      </c>
      <c r="E202" s="73" t="s">
        <v>150</v>
      </c>
      <c r="F202" s="33" t="s">
        <v>1329</v>
      </c>
      <c r="G202" s="33" t="s">
        <v>1330</v>
      </c>
      <c r="H202" s="33" t="s">
        <v>1331</v>
      </c>
      <c r="I202" s="134" t="s">
        <v>1332</v>
      </c>
      <c r="J202" s="139">
        <v>0</v>
      </c>
      <c r="K202" s="138">
        <v>0</v>
      </c>
      <c r="L202" s="136" t="s">
        <v>1333</v>
      </c>
      <c r="M202" s="138" t="s">
        <v>1334</v>
      </c>
      <c r="N202" s="142" t="s">
        <v>1335</v>
      </c>
      <c r="O202" s="33" t="s">
        <v>1336</v>
      </c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B202"/>
      <c r="AC202"/>
      <c r="AD202"/>
    </row>
    <row r="203" spans="1:35" ht="30" x14ac:dyDescent="0.25">
      <c r="A203" s="150">
        <f t="shared" si="25"/>
        <v>200</v>
      </c>
      <c r="B203" s="123" t="s">
        <v>2162</v>
      </c>
      <c r="C203" s="72" t="s">
        <v>1337</v>
      </c>
      <c r="D203" s="73" t="s">
        <v>1338</v>
      </c>
      <c r="E203" s="85" t="s">
        <v>151</v>
      </c>
      <c r="F203" s="33" t="s">
        <v>1339</v>
      </c>
      <c r="G203" s="33" t="s">
        <v>1340</v>
      </c>
      <c r="H203" s="33" t="s">
        <v>1341</v>
      </c>
      <c r="I203" s="134" t="s">
        <v>1342</v>
      </c>
      <c r="J203" s="139">
        <v>0</v>
      </c>
      <c r="K203" s="138">
        <v>0</v>
      </c>
      <c r="L203" s="136" t="s">
        <v>1343</v>
      </c>
      <c r="M203" s="138" t="s">
        <v>1344</v>
      </c>
      <c r="N203" s="142" t="s">
        <v>1345</v>
      </c>
      <c r="O203" s="33" t="s">
        <v>1346</v>
      </c>
      <c r="P203" s="38"/>
      <c r="AI203" s="3"/>
    </row>
    <row r="204" spans="1:35" ht="30" x14ac:dyDescent="0.25">
      <c r="A204" s="150">
        <f t="shared" si="25"/>
        <v>201</v>
      </c>
      <c r="B204" s="123" t="s">
        <v>2162</v>
      </c>
      <c r="C204" s="72" t="s">
        <v>1347</v>
      </c>
      <c r="D204" s="73" t="s">
        <v>1348</v>
      </c>
      <c r="E204" s="85" t="s">
        <v>152</v>
      </c>
      <c r="F204" s="33" t="s">
        <v>1349</v>
      </c>
      <c r="G204" s="33" t="s">
        <v>1350</v>
      </c>
      <c r="H204" s="33" t="s">
        <v>1351</v>
      </c>
      <c r="I204" s="134" t="s">
        <v>1352</v>
      </c>
      <c r="J204" s="139">
        <v>0</v>
      </c>
      <c r="K204" s="138">
        <v>0</v>
      </c>
      <c r="L204" s="136" t="s">
        <v>1353</v>
      </c>
      <c r="M204" s="138" t="s">
        <v>1354</v>
      </c>
      <c r="N204" s="142" t="s">
        <v>1355</v>
      </c>
      <c r="O204" s="33" t="s">
        <v>1356</v>
      </c>
      <c r="P204" s="38"/>
    </row>
    <row r="205" spans="1:35" ht="30" x14ac:dyDescent="0.25">
      <c r="A205" s="150">
        <f t="shared" si="25"/>
        <v>202</v>
      </c>
      <c r="B205" s="123" t="s">
        <v>2162</v>
      </c>
      <c r="C205" s="72" t="s">
        <v>1357</v>
      </c>
      <c r="D205" s="73" t="s">
        <v>1358</v>
      </c>
      <c r="E205" s="73" t="s">
        <v>153</v>
      </c>
      <c r="F205" s="33" t="s">
        <v>1359</v>
      </c>
      <c r="G205" s="33" t="s">
        <v>1360</v>
      </c>
      <c r="H205" s="33" t="s">
        <v>1361</v>
      </c>
      <c r="I205" s="134" t="s">
        <v>1362</v>
      </c>
      <c r="J205" s="139">
        <v>0</v>
      </c>
      <c r="K205" s="138">
        <v>0</v>
      </c>
      <c r="L205" s="136" t="s">
        <v>1363</v>
      </c>
      <c r="M205" s="138" t="s">
        <v>1364</v>
      </c>
      <c r="N205" s="142" t="s">
        <v>1365</v>
      </c>
      <c r="O205" s="33" t="s">
        <v>1366</v>
      </c>
      <c r="P205" s="38"/>
    </row>
    <row r="206" spans="1:35" ht="30" x14ac:dyDescent="0.25">
      <c r="A206" s="150">
        <f t="shared" si="25"/>
        <v>203</v>
      </c>
      <c r="B206" s="123" t="s">
        <v>2162</v>
      </c>
      <c r="C206" s="72" t="s">
        <v>1367</v>
      </c>
      <c r="D206" s="73" t="s">
        <v>1368</v>
      </c>
      <c r="E206" s="73" t="s">
        <v>154</v>
      </c>
      <c r="F206" s="33" t="s">
        <v>1369</v>
      </c>
      <c r="G206" s="33" t="s">
        <v>1370</v>
      </c>
      <c r="H206" s="33" t="s">
        <v>1371</v>
      </c>
      <c r="I206" s="134" t="s">
        <v>1372</v>
      </c>
      <c r="J206" s="139">
        <v>0</v>
      </c>
      <c r="K206" s="138">
        <v>0</v>
      </c>
      <c r="L206" s="136" t="s">
        <v>1373</v>
      </c>
      <c r="M206" s="138" t="s">
        <v>1374</v>
      </c>
      <c r="N206" s="142" t="s">
        <v>1375</v>
      </c>
      <c r="O206" s="33" t="s">
        <v>1376</v>
      </c>
      <c r="P206" s="38"/>
    </row>
    <row r="207" spans="1:35" ht="30" x14ac:dyDescent="0.25">
      <c r="A207" s="150">
        <f t="shared" si="25"/>
        <v>204</v>
      </c>
      <c r="B207" s="123" t="s">
        <v>2162</v>
      </c>
      <c r="C207" s="72" t="s">
        <v>1377</v>
      </c>
      <c r="D207" s="73" t="s">
        <v>1378</v>
      </c>
      <c r="E207" s="73" t="s">
        <v>155</v>
      </c>
      <c r="F207" s="33" t="s">
        <v>1379</v>
      </c>
      <c r="G207" s="33" t="s">
        <v>1380</v>
      </c>
      <c r="H207" s="33" t="s">
        <v>1381</v>
      </c>
      <c r="I207" s="134" t="s">
        <v>1382</v>
      </c>
      <c r="J207" s="139">
        <v>0</v>
      </c>
      <c r="K207" s="138">
        <v>0</v>
      </c>
      <c r="L207" s="136" t="s">
        <v>1383</v>
      </c>
      <c r="M207" s="138" t="s">
        <v>1384</v>
      </c>
      <c r="N207" s="142" t="s">
        <v>1385</v>
      </c>
      <c r="O207" s="33" t="s">
        <v>1386</v>
      </c>
      <c r="P207" s="38"/>
    </row>
    <row r="208" spans="1:35" ht="30" x14ac:dyDescent="0.25">
      <c r="A208" s="150">
        <f t="shared" si="25"/>
        <v>205</v>
      </c>
      <c r="B208" s="123" t="s">
        <v>2162</v>
      </c>
      <c r="C208" s="72" t="s">
        <v>1387</v>
      </c>
      <c r="D208" s="73" t="s">
        <v>1388</v>
      </c>
      <c r="E208" s="73" t="s">
        <v>156</v>
      </c>
      <c r="F208" s="33" t="s">
        <v>1389</v>
      </c>
      <c r="G208" s="33" t="s">
        <v>1390</v>
      </c>
      <c r="H208" s="33" t="s">
        <v>1391</v>
      </c>
      <c r="I208" s="134" t="s">
        <v>1392</v>
      </c>
      <c r="J208" s="139">
        <v>0</v>
      </c>
      <c r="K208" s="138">
        <v>0</v>
      </c>
      <c r="L208" s="136" t="s">
        <v>1393</v>
      </c>
      <c r="M208" s="138" t="s">
        <v>1394</v>
      </c>
      <c r="N208" s="142" t="s">
        <v>1395</v>
      </c>
      <c r="O208" s="33" t="s">
        <v>1396</v>
      </c>
      <c r="P208" s="38"/>
    </row>
    <row r="209" spans="1:16" ht="30" x14ac:dyDescent="0.25">
      <c r="A209" s="150">
        <f t="shared" si="25"/>
        <v>206</v>
      </c>
      <c r="B209" s="123" t="s">
        <v>2162</v>
      </c>
      <c r="C209" s="72" t="s">
        <v>1397</v>
      </c>
      <c r="D209" s="73" t="s">
        <v>1398</v>
      </c>
      <c r="E209" s="73" t="s">
        <v>157</v>
      </c>
      <c r="F209" s="33" t="s">
        <v>1399</v>
      </c>
      <c r="G209" s="33" t="s">
        <v>1400</v>
      </c>
      <c r="H209" s="33" t="s">
        <v>1401</v>
      </c>
      <c r="I209" s="134" t="s">
        <v>1402</v>
      </c>
      <c r="J209" s="139">
        <v>0</v>
      </c>
      <c r="K209" s="138">
        <v>0</v>
      </c>
      <c r="L209" s="136" t="s">
        <v>1403</v>
      </c>
      <c r="M209" s="138" t="s">
        <v>1404</v>
      </c>
      <c r="N209" s="142" t="s">
        <v>1405</v>
      </c>
      <c r="O209" s="33" t="s">
        <v>1406</v>
      </c>
      <c r="P209" s="38"/>
    </row>
    <row r="210" spans="1:16" ht="30" x14ac:dyDescent="0.25">
      <c r="A210" s="150">
        <f t="shared" si="25"/>
        <v>207</v>
      </c>
      <c r="B210" s="123" t="s">
        <v>2162</v>
      </c>
      <c r="C210" s="72" t="s">
        <v>1407</v>
      </c>
      <c r="D210" s="73" t="s">
        <v>1408</v>
      </c>
      <c r="E210" s="73" t="s">
        <v>158</v>
      </c>
      <c r="F210" s="33" t="s">
        <v>1409</v>
      </c>
      <c r="G210" s="33" t="s">
        <v>1410</v>
      </c>
      <c r="H210" s="33" t="s">
        <v>1411</v>
      </c>
      <c r="I210" s="134" t="s">
        <v>1412</v>
      </c>
      <c r="J210" s="139">
        <v>0</v>
      </c>
      <c r="K210" s="138">
        <v>0</v>
      </c>
      <c r="L210" s="136" t="s">
        <v>1413</v>
      </c>
      <c r="M210" s="138" t="s">
        <v>1414</v>
      </c>
      <c r="N210" s="142" t="s">
        <v>1415</v>
      </c>
      <c r="O210" s="33" t="s">
        <v>1416</v>
      </c>
      <c r="P210" s="38"/>
    </row>
    <row r="211" spans="1:16" ht="30" x14ac:dyDescent="0.25">
      <c r="A211" s="150">
        <f t="shared" si="25"/>
        <v>208</v>
      </c>
      <c r="B211" s="123" t="s">
        <v>2162</v>
      </c>
      <c r="C211" s="72" t="s">
        <v>1417</v>
      </c>
      <c r="D211" s="73" t="s">
        <v>1418</v>
      </c>
      <c r="E211" s="85" t="s">
        <v>159</v>
      </c>
      <c r="F211" s="33" t="s">
        <v>1419</v>
      </c>
      <c r="G211" s="33" t="s">
        <v>1420</v>
      </c>
      <c r="H211" s="33" t="s">
        <v>1421</v>
      </c>
      <c r="I211" s="134" t="s">
        <v>1422</v>
      </c>
      <c r="J211" s="139">
        <v>0</v>
      </c>
      <c r="K211" s="138">
        <v>0</v>
      </c>
      <c r="L211" s="136" t="s">
        <v>1423</v>
      </c>
      <c r="M211" s="138" t="s">
        <v>1424</v>
      </c>
      <c r="N211" s="142" t="s">
        <v>1425</v>
      </c>
      <c r="O211" s="33" t="s">
        <v>1426</v>
      </c>
      <c r="P211" s="38"/>
    </row>
    <row r="212" spans="1:16" ht="30" x14ac:dyDescent="0.25">
      <c r="A212" s="150">
        <f t="shared" si="25"/>
        <v>209</v>
      </c>
      <c r="B212" s="123" t="s">
        <v>2162</v>
      </c>
      <c r="C212" s="72" t="s">
        <v>1427</v>
      </c>
      <c r="D212" s="73" t="s">
        <v>1428</v>
      </c>
      <c r="E212" s="85" t="s">
        <v>160</v>
      </c>
      <c r="F212" s="33" t="s">
        <v>1429</v>
      </c>
      <c r="G212" s="33" t="s">
        <v>1430</v>
      </c>
      <c r="H212" s="33" t="s">
        <v>1431</v>
      </c>
      <c r="I212" s="134" t="s">
        <v>1432</v>
      </c>
      <c r="J212" s="139">
        <v>0</v>
      </c>
      <c r="K212" s="138">
        <v>0</v>
      </c>
      <c r="L212" s="136" t="s">
        <v>1433</v>
      </c>
      <c r="M212" s="138" t="s">
        <v>1434</v>
      </c>
      <c r="N212" s="142" t="s">
        <v>1435</v>
      </c>
      <c r="O212" s="33" t="s">
        <v>1436</v>
      </c>
      <c r="P212" s="38"/>
    </row>
    <row r="213" spans="1:16" ht="30" x14ac:dyDescent="0.25">
      <c r="A213" s="150">
        <f t="shared" si="25"/>
        <v>210</v>
      </c>
      <c r="B213" s="123" t="s">
        <v>2162</v>
      </c>
      <c r="C213" s="72" t="s">
        <v>1437</v>
      </c>
      <c r="D213" s="73" t="s">
        <v>1438</v>
      </c>
      <c r="E213" s="85" t="s">
        <v>161</v>
      </c>
      <c r="F213" s="33" t="s">
        <v>1439</v>
      </c>
      <c r="G213" s="33" t="s">
        <v>1440</v>
      </c>
      <c r="H213" s="33" t="s">
        <v>1441</v>
      </c>
      <c r="I213" s="134" t="s">
        <v>1442</v>
      </c>
      <c r="J213" s="139">
        <v>0</v>
      </c>
      <c r="K213" s="138">
        <v>0</v>
      </c>
      <c r="L213" s="136" t="s">
        <v>1443</v>
      </c>
      <c r="M213" s="138" t="s">
        <v>1444</v>
      </c>
      <c r="N213" s="142" t="s">
        <v>1445</v>
      </c>
      <c r="O213" s="33" t="s">
        <v>1446</v>
      </c>
      <c r="P213" s="38"/>
    </row>
    <row r="214" spans="1:16" ht="30" x14ac:dyDescent="0.25">
      <c r="A214" s="150">
        <f t="shared" si="25"/>
        <v>211</v>
      </c>
      <c r="B214" s="123" t="s">
        <v>2162</v>
      </c>
      <c r="C214" s="72" t="s">
        <v>1447</v>
      </c>
      <c r="D214" s="73" t="s">
        <v>1448</v>
      </c>
      <c r="E214" s="73" t="s">
        <v>162</v>
      </c>
      <c r="F214" s="33" t="s">
        <v>1449</v>
      </c>
      <c r="G214" s="33" t="s">
        <v>1450</v>
      </c>
      <c r="H214" s="33" t="s">
        <v>1451</v>
      </c>
      <c r="I214" s="134" t="s">
        <v>1452</v>
      </c>
      <c r="J214" s="139">
        <v>0</v>
      </c>
      <c r="K214" s="138">
        <v>0</v>
      </c>
      <c r="L214" s="136" t="s">
        <v>1453</v>
      </c>
      <c r="M214" s="138" t="s">
        <v>1454</v>
      </c>
      <c r="N214" s="142" t="s">
        <v>1455</v>
      </c>
      <c r="O214" s="33" t="s">
        <v>1456</v>
      </c>
      <c r="P214" s="38"/>
    </row>
    <row r="215" spans="1:16" ht="30" x14ac:dyDescent="0.25">
      <c r="A215" s="150">
        <f t="shared" si="25"/>
        <v>212</v>
      </c>
      <c r="B215" s="123" t="s">
        <v>2162</v>
      </c>
      <c r="C215" s="72" t="s">
        <v>1457</v>
      </c>
      <c r="D215" s="73" t="s">
        <v>1458</v>
      </c>
      <c r="E215" s="73" t="s">
        <v>163</v>
      </c>
      <c r="F215" s="33" t="s">
        <v>1459</v>
      </c>
      <c r="G215" s="33" t="s">
        <v>1460</v>
      </c>
      <c r="H215" s="33" t="s">
        <v>1461</v>
      </c>
      <c r="I215" s="134" t="s">
        <v>1462</v>
      </c>
      <c r="J215" s="139">
        <v>0</v>
      </c>
      <c r="K215" s="138">
        <v>0</v>
      </c>
      <c r="L215" s="136" t="s">
        <v>1463</v>
      </c>
      <c r="M215" s="138" t="s">
        <v>1464</v>
      </c>
      <c r="N215" s="142" t="s">
        <v>1465</v>
      </c>
      <c r="O215" s="33" t="s">
        <v>1466</v>
      </c>
      <c r="P215" s="38"/>
    </row>
    <row r="216" spans="1:16" ht="30" x14ac:dyDescent="0.25">
      <c r="A216" s="150">
        <f t="shared" si="25"/>
        <v>213</v>
      </c>
      <c r="B216" s="123" t="s">
        <v>2162</v>
      </c>
      <c r="C216" s="72" t="s">
        <v>1467</v>
      </c>
      <c r="D216" s="73" t="s">
        <v>1468</v>
      </c>
      <c r="E216" s="73" t="s">
        <v>164</v>
      </c>
      <c r="F216" s="33" t="s">
        <v>1469</v>
      </c>
      <c r="G216" s="33" t="s">
        <v>1470</v>
      </c>
      <c r="H216" s="33" t="s">
        <v>1471</v>
      </c>
      <c r="I216" s="134" t="s">
        <v>1472</v>
      </c>
      <c r="J216" s="139">
        <v>0</v>
      </c>
      <c r="K216" s="138">
        <v>0</v>
      </c>
      <c r="L216" s="136" t="s">
        <v>1473</v>
      </c>
      <c r="M216" s="138" t="s">
        <v>1474</v>
      </c>
      <c r="N216" s="142" t="s">
        <v>1475</v>
      </c>
      <c r="O216" s="33" t="s">
        <v>1476</v>
      </c>
      <c r="P216" s="38"/>
    </row>
    <row r="217" spans="1:16" ht="30" x14ac:dyDescent="0.25">
      <c r="A217" s="150">
        <f t="shared" si="25"/>
        <v>214</v>
      </c>
      <c r="B217" s="123" t="s">
        <v>2162</v>
      </c>
      <c r="C217" s="72" t="s">
        <v>1477</v>
      </c>
      <c r="D217" s="73" t="s">
        <v>1478</v>
      </c>
      <c r="E217" s="73" t="s">
        <v>228</v>
      </c>
      <c r="F217" s="33"/>
      <c r="G217" s="33"/>
      <c r="H217" s="33"/>
      <c r="I217" s="134"/>
      <c r="J217" s="139"/>
      <c r="K217" s="138"/>
      <c r="L217" s="136" t="s">
        <v>1479</v>
      </c>
      <c r="M217" s="138" t="s">
        <v>1480</v>
      </c>
      <c r="N217" s="142"/>
      <c r="O217" s="33"/>
      <c r="P217" s="38"/>
    </row>
    <row r="218" spans="1:16" ht="30" x14ac:dyDescent="0.25">
      <c r="A218" s="150">
        <f t="shared" si="25"/>
        <v>215</v>
      </c>
      <c r="B218" s="123" t="s">
        <v>2162</v>
      </c>
      <c r="C218" s="72" t="s">
        <v>1481</v>
      </c>
      <c r="D218" s="73" t="s">
        <v>1482</v>
      </c>
      <c r="E218" s="73" t="s">
        <v>165</v>
      </c>
      <c r="F218" s="33" t="s">
        <v>1483</v>
      </c>
      <c r="G218" s="33" t="s">
        <v>1484</v>
      </c>
      <c r="H218" s="33" t="s">
        <v>1485</v>
      </c>
      <c r="I218" s="134" t="s">
        <v>1486</v>
      </c>
      <c r="J218" s="139">
        <v>0</v>
      </c>
      <c r="K218" s="138">
        <v>0</v>
      </c>
      <c r="L218" s="136" t="s">
        <v>1487</v>
      </c>
      <c r="M218" s="138" t="s">
        <v>1488</v>
      </c>
      <c r="N218" s="142" t="s">
        <v>1489</v>
      </c>
      <c r="O218" s="33" t="s">
        <v>1490</v>
      </c>
      <c r="P218" s="38"/>
    </row>
    <row r="219" spans="1:16" ht="30" x14ac:dyDescent="0.25">
      <c r="A219" s="150">
        <f t="shared" si="25"/>
        <v>216</v>
      </c>
      <c r="B219" s="123" t="s">
        <v>2162</v>
      </c>
      <c r="C219" s="72" t="s">
        <v>1491</v>
      </c>
      <c r="D219" s="73" t="s">
        <v>1492</v>
      </c>
      <c r="E219" s="73" t="s">
        <v>166</v>
      </c>
      <c r="F219" s="33" t="s">
        <v>1493</v>
      </c>
      <c r="G219" s="33" t="s">
        <v>1494</v>
      </c>
      <c r="H219" s="33" t="s">
        <v>1495</v>
      </c>
      <c r="I219" s="134" t="s">
        <v>1496</v>
      </c>
      <c r="J219" s="139">
        <v>0</v>
      </c>
      <c r="K219" s="138">
        <v>0</v>
      </c>
      <c r="L219" s="136" t="s">
        <v>1497</v>
      </c>
      <c r="M219" s="138" t="s">
        <v>1498</v>
      </c>
      <c r="N219" s="142" t="s">
        <v>1499</v>
      </c>
      <c r="O219" s="33" t="s">
        <v>1500</v>
      </c>
      <c r="P219" s="38"/>
    </row>
    <row r="220" spans="1:16" ht="30" x14ac:dyDescent="0.25">
      <c r="A220" s="150">
        <f t="shared" si="25"/>
        <v>217</v>
      </c>
      <c r="B220" s="123" t="s">
        <v>2162</v>
      </c>
      <c r="C220" s="72" t="s">
        <v>1501</v>
      </c>
      <c r="D220" s="73" t="s">
        <v>1502</v>
      </c>
      <c r="E220" s="73" t="s">
        <v>167</v>
      </c>
      <c r="F220" s="33" t="s">
        <v>1503</v>
      </c>
      <c r="G220" s="33" t="s">
        <v>1504</v>
      </c>
      <c r="H220" s="33" t="s">
        <v>1505</v>
      </c>
      <c r="I220" s="134" t="s">
        <v>1506</v>
      </c>
      <c r="J220" s="139">
        <v>0</v>
      </c>
      <c r="K220" s="138">
        <v>0</v>
      </c>
      <c r="L220" s="136" t="s">
        <v>1507</v>
      </c>
      <c r="M220" s="138" t="s">
        <v>1508</v>
      </c>
      <c r="N220" s="142" t="s">
        <v>1509</v>
      </c>
      <c r="O220" s="33" t="s">
        <v>1510</v>
      </c>
      <c r="P220" s="38"/>
    </row>
    <row r="221" spans="1:16" ht="30" x14ac:dyDescent="0.25">
      <c r="A221" s="150">
        <f t="shared" si="25"/>
        <v>218</v>
      </c>
      <c r="B221" s="123" t="s">
        <v>2162</v>
      </c>
      <c r="C221" s="72"/>
      <c r="D221" s="73" t="s">
        <v>1511</v>
      </c>
      <c r="E221" s="73" t="s">
        <v>229</v>
      </c>
      <c r="F221" s="33" t="s">
        <v>1512</v>
      </c>
      <c r="G221" s="33" t="s">
        <v>1513</v>
      </c>
      <c r="H221" s="33" t="s">
        <v>1514</v>
      </c>
      <c r="I221" s="134" t="s">
        <v>1515</v>
      </c>
      <c r="J221" s="139">
        <v>0</v>
      </c>
      <c r="K221" s="138">
        <v>0</v>
      </c>
      <c r="L221" s="136" t="s">
        <v>1516</v>
      </c>
      <c r="M221" s="138" t="s">
        <v>1517</v>
      </c>
      <c r="N221" s="142" t="s">
        <v>1518</v>
      </c>
      <c r="O221" s="33" t="s">
        <v>1519</v>
      </c>
      <c r="P221" s="38"/>
    </row>
    <row r="222" spans="1:16" ht="30" x14ac:dyDescent="0.25">
      <c r="A222" s="150">
        <f t="shared" si="25"/>
        <v>219</v>
      </c>
      <c r="B222" s="123" t="s">
        <v>2162</v>
      </c>
      <c r="C222" s="72" t="s">
        <v>1520</v>
      </c>
      <c r="D222" s="73" t="s">
        <v>1521</v>
      </c>
      <c r="E222" s="73" t="s">
        <v>168</v>
      </c>
      <c r="F222" s="33" t="s">
        <v>1522</v>
      </c>
      <c r="G222" s="33" t="s">
        <v>1523</v>
      </c>
      <c r="H222" s="33" t="s">
        <v>1524</v>
      </c>
      <c r="I222" s="134" t="s">
        <v>1525</v>
      </c>
      <c r="J222" s="139">
        <v>0</v>
      </c>
      <c r="K222" s="138">
        <v>0</v>
      </c>
      <c r="L222" s="136" t="s">
        <v>1526</v>
      </c>
      <c r="M222" s="138" t="s">
        <v>1527</v>
      </c>
      <c r="N222" s="142" t="s">
        <v>1528</v>
      </c>
      <c r="O222" s="33" t="s">
        <v>1529</v>
      </c>
      <c r="P222" s="38"/>
    </row>
    <row r="223" spans="1:16" ht="30" x14ac:dyDescent="0.25">
      <c r="A223" s="150">
        <f t="shared" si="25"/>
        <v>220</v>
      </c>
      <c r="B223" s="123" t="s">
        <v>2162</v>
      </c>
      <c r="C223" s="72" t="s">
        <v>1530</v>
      </c>
      <c r="D223" s="73" t="s">
        <v>1531</v>
      </c>
      <c r="E223" s="73" t="s">
        <v>169</v>
      </c>
      <c r="F223" s="33" t="s">
        <v>1532</v>
      </c>
      <c r="G223" s="33" t="s">
        <v>1533</v>
      </c>
      <c r="H223" s="33" t="s">
        <v>1534</v>
      </c>
      <c r="I223" s="134" t="s">
        <v>1535</v>
      </c>
      <c r="J223" s="139">
        <v>0</v>
      </c>
      <c r="K223" s="138">
        <v>0</v>
      </c>
      <c r="L223" s="136" t="s">
        <v>1536</v>
      </c>
      <c r="M223" s="138" t="s">
        <v>1537</v>
      </c>
      <c r="N223" s="142" t="s">
        <v>1538</v>
      </c>
      <c r="O223" s="33" t="s">
        <v>1539</v>
      </c>
      <c r="P223" s="38"/>
    </row>
    <row r="224" spans="1:16" ht="30" x14ac:dyDescent="0.25">
      <c r="A224" s="150">
        <f t="shared" si="25"/>
        <v>221</v>
      </c>
      <c r="B224" s="123" t="s">
        <v>2162</v>
      </c>
      <c r="C224" s="72" t="s">
        <v>1540</v>
      </c>
      <c r="D224" s="73" t="s">
        <v>1541</v>
      </c>
      <c r="E224" s="73" t="s">
        <v>170</v>
      </c>
      <c r="F224" s="33" t="s">
        <v>1542</v>
      </c>
      <c r="G224" s="33" t="s">
        <v>1543</v>
      </c>
      <c r="H224" s="33" t="s">
        <v>1544</v>
      </c>
      <c r="I224" s="134" t="s">
        <v>1545</v>
      </c>
      <c r="J224" s="139">
        <v>0</v>
      </c>
      <c r="K224" s="138">
        <v>0</v>
      </c>
      <c r="L224" s="136" t="s">
        <v>1546</v>
      </c>
      <c r="M224" s="138" t="s">
        <v>1547</v>
      </c>
      <c r="N224" s="142" t="s">
        <v>1548</v>
      </c>
      <c r="O224" s="33" t="s">
        <v>1549</v>
      </c>
      <c r="P224" s="38"/>
    </row>
    <row r="225" spans="1:16" ht="30" x14ac:dyDescent="0.25">
      <c r="A225" s="150">
        <f t="shared" si="25"/>
        <v>222</v>
      </c>
      <c r="B225" s="123" t="s">
        <v>2162</v>
      </c>
      <c r="C225" s="72" t="s">
        <v>1550</v>
      </c>
      <c r="D225" s="73" t="s">
        <v>1551</v>
      </c>
      <c r="E225" s="85" t="s">
        <v>171</v>
      </c>
      <c r="F225" s="33" t="s">
        <v>1552</v>
      </c>
      <c r="G225" s="33" t="s">
        <v>1553</v>
      </c>
      <c r="H225" s="33" t="s">
        <v>1554</v>
      </c>
      <c r="I225" s="134" t="s">
        <v>1555</v>
      </c>
      <c r="J225" s="139">
        <v>0</v>
      </c>
      <c r="K225" s="138">
        <v>0</v>
      </c>
      <c r="L225" s="136" t="s">
        <v>1556</v>
      </c>
      <c r="M225" s="138" t="s">
        <v>1557</v>
      </c>
      <c r="N225" s="142" t="s">
        <v>1558</v>
      </c>
      <c r="O225" s="33" t="s">
        <v>1559</v>
      </c>
      <c r="P225" s="38"/>
    </row>
    <row r="226" spans="1:16" ht="30" x14ac:dyDescent="0.25">
      <c r="A226" s="150">
        <f t="shared" si="25"/>
        <v>223</v>
      </c>
      <c r="B226" s="123" t="s">
        <v>2162</v>
      </c>
      <c r="C226" s="72" t="s">
        <v>1560</v>
      </c>
      <c r="D226" s="73" t="s">
        <v>1561</v>
      </c>
      <c r="E226" s="73" t="s">
        <v>172</v>
      </c>
      <c r="F226" s="33" t="s">
        <v>1562</v>
      </c>
      <c r="G226" s="33" t="s">
        <v>1563</v>
      </c>
      <c r="H226" s="33" t="s">
        <v>1564</v>
      </c>
      <c r="I226" s="134" t="s">
        <v>1565</v>
      </c>
      <c r="J226" s="139">
        <v>0</v>
      </c>
      <c r="K226" s="138">
        <v>0</v>
      </c>
      <c r="L226" s="136" t="s">
        <v>1566</v>
      </c>
      <c r="M226" s="138" t="s">
        <v>1567</v>
      </c>
      <c r="N226" s="142" t="s">
        <v>1568</v>
      </c>
      <c r="O226" s="33" t="s">
        <v>1569</v>
      </c>
      <c r="P226" s="38"/>
    </row>
    <row r="227" spans="1:16" ht="30" x14ac:dyDescent="0.25">
      <c r="A227" s="150">
        <f t="shared" si="25"/>
        <v>224</v>
      </c>
      <c r="B227" s="124" t="s">
        <v>2163</v>
      </c>
      <c r="C227" s="72" t="s">
        <v>1570</v>
      </c>
      <c r="D227" s="73" t="s">
        <v>1571</v>
      </c>
      <c r="E227" s="85" t="s">
        <v>173</v>
      </c>
      <c r="F227" s="33" t="s">
        <v>1572</v>
      </c>
      <c r="G227" s="33" t="s">
        <v>1573</v>
      </c>
      <c r="H227" s="33" t="s">
        <v>1574</v>
      </c>
      <c r="I227" s="134" t="s">
        <v>1575</v>
      </c>
      <c r="J227" s="139">
        <v>0</v>
      </c>
      <c r="K227" s="138">
        <v>0</v>
      </c>
      <c r="L227" s="136" t="s">
        <v>1576</v>
      </c>
      <c r="M227" s="138" t="s">
        <v>1577</v>
      </c>
      <c r="N227" s="142" t="s">
        <v>1578</v>
      </c>
      <c r="O227" s="33" t="s">
        <v>1579</v>
      </c>
      <c r="P227" s="38"/>
    </row>
    <row r="228" spans="1:16" ht="30" x14ac:dyDescent="0.25">
      <c r="A228" s="150">
        <f t="shared" si="25"/>
        <v>225</v>
      </c>
      <c r="B228" s="124" t="s">
        <v>2163</v>
      </c>
      <c r="C228" s="72" t="s">
        <v>1580</v>
      </c>
      <c r="D228" s="73" t="s">
        <v>1581</v>
      </c>
      <c r="E228" s="85" t="s">
        <v>174</v>
      </c>
      <c r="F228" s="33" t="s">
        <v>1582</v>
      </c>
      <c r="G228" s="33" t="s">
        <v>1583</v>
      </c>
      <c r="H228" s="33" t="s">
        <v>1584</v>
      </c>
      <c r="I228" s="134" t="s">
        <v>1585</v>
      </c>
      <c r="J228" s="139">
        <v>0</v>
      </c>
      <c r="K228" s="138">
        <v>0</v>
      </c>
      <c r="L228" s="136" t="s">
        <v>1586</v>
      </c>
      <c r="M228" s="138" t="s">
        <v>1587</v>
      </c>
      <c r="N228" s="142" t="s">
        <v>1588</v>
      </c>
      <c r="O228" s="33" t="s">
        <v>1589</v>
      </c>
      <c r="P228" s="38"/>
    </row>
    <row r="229" spans="1:16" ht="30" x14ac:dyDescent="0.25">
      <c r="A229" s="150">
        <f t="shared" si="25"/>
        <v>226</v>
      </c>
      <c r="B229" s="124" t="s">
        <v>2163</v>
      </c>
      <c r="C229" s="72" t="s">
        <v>1590</v>
      </c>
      <c r="D229" s="73" t="s">
        <v>1591</v>
      </c>
      <c r="E229" s="73" t="s">
        <v>175</v>
      </c>
      <c r="F229" s="33" t="s">
        <v>1592</v>
      </c>
      <c r="G229" s="33" t="s">
        <v>1593</v>
      </c>
      <c r="H229" s="33" t="s">
        <v>1594</v>
      </c>
      <c r="I229" s="134" t="s">
        <v>1595</v>
      </c>
      <c r="J229" s="139">
        <v>0</v>
      </c>
      <c r="K229" s="138">
        <v>0</v>
      </c>
      <c r="L229" s="136" t="s">
        <v>1596</v>
      </c>
      <c r="M229" s="138" t="s">
        <v>1597</v>
      </c>
      <c r="N229" s="142" t="s">
        <v>1598</v>
      </c>
      <c r="O229" s="33" t="s">
        <v>1599</v>
      </c>
      <c r="P229" s="38"/>
    </row>
    <row r="230" spans="1:16" ht="30" x14ac:dyDescent="0.25">
      <c r="A230" s="150">
        <f t="shared" si="25"/>
        <v>227</v>
      </c>
      <c r="B230" s="124" t="s">
        <v>2163</v>
      </c>
      <c r="C230" s="72" t="s">
        <v>1600</v>
      </c>
      <c r="D230" s="73" t="s">
        <v>1601</v>
      </c>
      <c r="E230" s="85" t="s">
        <v>176</v>
      </c>
      <c r="F230" s="33" t="s">
        <v>1602</v>
      </c>
      <c r="G230" s="33" t="s">
        <v>1603</v>
      </c>
      <c r="H230" s="33" t="s">
        <v>1604</v>
      </c>
      <c r="I230" s="134" t="s">
        <v>1605</v>
      </c>
      <c r="J230" s="139">
        <v>0</v>
      </c>
      <c r="K230" s="138">
        <v>0</v>
      </c>
      <c r="L230" s="136" t="s">
        <v>1606</v>
      </c>
      <c r="M230" s="138" t="s">
        <v>1607</v>
      </c>
      <c r="N230" s="142" t="s">
        <v>1608</v>
      </c>
      <c r="O230" s="33" t="s">
        <v>1609</v>
      </c>
      <c r="P230" s="38"/>
    </row>
    <row r="231" spans="1:16" ht="30" x14ac:dyDescent="0.25">
      <c r="A231" s="150">
        <f t="shared" si="25"/>
        <v>228</v>
      </c>
      <c r="B231" s="125" t="s">
        <v>2164</v>
      </c>
      <c r="C231" s="72" t="s">
        <v>1610</v>
      </c>
      <c r="D231" s="73" t="s">
        <v>1611</v>
      </c>
      <c r="E231" s="85" t="s">
        <v>177</v>
      </c>
      <c r="F231" s="33" t="s">
        <v>1612</v>
      </c>
      <c r="G231" s="33" t="s">
        <v>1613</v>
      </c>
      <c r="H231" s="33" t="s">
        <v>1614</v>
      </c>
      <c r="I231" s="134" t="s">
        <v>1615</v>
      </c>
      <c r="J231" s="139">
        <v>0</v>
      </c>
      <c r="K231" s="138">
        <v>0</v>
      </c>
      <c r="L231" s="136" t="s">
        <v>1616</v>
      </c>
      <c r="M231" s="138" t="s">
        <v>1617</v>
      </c>
      <c r="N231" s="142" t="s">
        <v>1618</v>
      </c>
      <c r="O231" s="33" t="s">
        <v>1619</v>
      </c>
      <c r="P231" s="38"/>
    </row>
    <row r="232" spans="1:16" ht="30" x14ac:dyDescent="0.25">
      <c r="A232" s="150">
        <f t="shared" si="25"/>
        <v>229</v>
      </c>
      <c r="B232" s="125" t="s">
        <v>2164</v>
      </c>
      <c r="C232" s="72" t="s">
        <v>1620</v>
      </c>
      <c r="D232" s="73" t="s">
        <v>1621</v>
      </c>
      <c r="E232" s="85" t="s">
        <v>178</v>
      </c>
      <c r="F232" s="33" t="s">
        <v>1622</v>
      </c>
      <c r="G232" s="33" t="s">
        <v>1623</v>
      </c>
      <c r="H232" s="33" t="s">
        <v>1624</v>
      </c>
      <c r="I232" s="134" t="s">
        <v>1625</v>
      </c>
      <c r="J232" s="139">
        <v>0</v>
      </c>
      <c r="K232" s="138">
        <v>0</v>
      </c>
      <c r="L232" s="136" t="s">
        <v>1626</v>
      </c>
      <c r="M232" s="138" t="s">
        <v>1627</v>
      </c>
      <c r="N232" s="142" t="s">
        <v>1628</v>
      </c>
      <c r="O232" s="33" t="s">
        <v>1629</v>
      </c>
      <c r="P232" s="38"/>
    </row>
    <row r="233" spans="1:16" ht="30" x14ac:dyDescent="0.25">
      <c r="A233" s="150">
        <f t="shared" si="25"/>
        <v>230</v>
      </c>
      <c r="B233" s="125" t="s">
        <v>2164</v>
      </c>
      <c r="C233" s="72" t="s">
        <v>1630</v>
      </c>
      <c r="D233" s="73" t="s">
        <v>1631</v>
      </c>
      <c r="E233" s="85" t="s">
        <v>179</v>
      </c>
      <c r="F233" s="33" t="s">
        <v>1632</v>
      </c>
      <c r="G233" s="33" t="s">
        <v>1633</v>
      </c>
      <c r="H233" s="33" t="s">
        <v>1634</v>
      </c>
      <c r="I233" s="134" t="s">
        <v>1635</v>
      </c>
      <c r="J233" s="139">
        <v>0</v>
      </c>
      <c r="K233" s="138">
        <v>0</v>
      </c>
      <c r="L233" s="136" t="s">
        <v>1636</v>
      </c>
      <c r="M233" s="138" t="s">
        <v>1637</v>
      </c>
      <c r="N233" s="142" t="s">
        <v>1638</v>
      </c>
      <c r="O233" s="33" t="s">
        <v>1639</v>
      </c>
      <c r="P233" s="38"/>
    </row>
    <row r="234" spans="1:16" ht="30" x14ac:dyDescent="0.25">
      <c r="A234" s="150">
        <f t="shared" si="25"/>
        <v>231</v>
      </c>
      <c r="B234" s="125" t="s">
        <v>2164</v>
      </c>
      <c r="C234" s="72" t="s">
        <v>1640</v>
      </c>
      <c r="D234" s="73" t="s">
        <v>1641</v>
      </c>
      <c r="E234" s="85" t="s">
        <v>180</v>
      </c>
      <c r="F234" s="33" t="s">
        <v>1642</v>
      </c>
      <c r="G234" s="33" t="s">
        <v>1643</v>
      </c>
      <c r="H234" s="33" t="s">
        <v>1644</v>
      </c>
      <c r="I234" s="134" t="s">
        <v>1645</v>
      </c>
      <c r="J234" s="139">
        <v>0</v>
      </c>
      <c r="K234" s="138">
        <v>0</v>
      </c>
      <c r="L234" s="136" t="s">
        <v>1646</v>
      </c>
      <c r="M234" s="138" t="s">
        <v>1647</v>
      </c>
      <c r="N234" s="142" t="s">
        <v>1648</v>
      </c>
      <c r="O234" s="33" t="s">
        <v>1649</v>
      </c>
      <c r="P234" s="38"/>
    </row>
    <row r="235" spans="1:16" ht="30" x14ac:dyDescent="0.25">
      <c r="A235" s="150">
        <f t="shared" si="25"/>
        <v>232</v>
      </c>
      <c r="B235" s="125" t="s">
        <v>2164</v>
      </c>
      <c r="C235" s="72" t="s">
        <v>1650</v>
      </c>
      <c r="D235" s="73" t="s">
        <v>1651</v>
      </c>
      <c r="E235" s="85" t="s">
        <v>181</v>
      </c>
      <c r="F235" s="33" t="s">
        <v>1652</v>
      </c>
      <c r="G235" s="33" t="s">
        <v>1653</v>
      </c>
      <c r="H235" s="33" t="s">
        <v>1654</v>
      </c>
      <c r="I235" s="134" t="s">
        <v>1655</v>
      </c>
      <c r="J235" s="139">
        <v>0</v>
      </c>
      <c r="K235" s="138">
        <v>0</v>
      </c>
      <c r="L235" s="136" t="s">
        <v>1656</v>
      </c>
      <c r="M235" s="138" t="s">
        <v>1657</v>
      </c>
      <c r="N235" s="142" t="s">
        <v>1658</v>
      </c>
      <c r="O235" s="33" t="s">
        <v>1659</v>
      </c>
      <c r="P235" s="38"/>
    </row>
    <row r="236" spans="1:16" ht="30" x14ac:dyDescent="0.25">
      <c r="A236" s="150">
        <f t="shared" si="25"/>
        <v>233</v>
      </c>
      <c r="B236" s="125" t="s">
        <v>2164</v>
      </c>
      <c r="C236" s="72" t="s">
        <v>1660</v>
      </c>
      <c r="D236" s="73" t="s">
        <v>1661</v>
      </c>
      <c r="E236" s="85" t="s">
        <v>182</v>
      </c>
      <c r="F236" s="33" t="s">
        <v>1662</v>
      </c>
      <c r="G236" s="33" t="s">
        <v>1663</v>
      </c>
      <c r="H236" s="33" t="s">
        <v>1664</v>
      </c>
      <c r="I236" s="134" t="s">
        <v>1665</v>
      </c>
      <c r="J236" s="139">
        <v>0</v>
      </c>
      <c r="K236" s="138">
        <v>0</v>
      </c>
      <c r="L236" s="136" t="s">
        <v>1666</v>
      </c>
      <c r="M236" s="138" t="s">
        <v>1667</v>
      </c>
      <c r="N236" s="142" t="s">
        <v>1668</v>
      </c>
      <c r="O236" s="33" t="s">
        <v>1669</v>
      </c>
      <c r="P236" s="38"/>
    </row>
    <row r="237" spans="1:16" ht="30" x14ac:dyDescent="0.25">
      <c r="A237" s="150">
        <f t="shared" si="25"/>
        <v>234</v>
      </c>
      <c r="B237" s="125" t="s">
        <v>2164</v>
      </c>
      <c r="C237" s="72" t="s">
        <v>1670</v>
      </c>
      <c r="D237" s="73" t="s">
        <v>1671</v>
      </c>
      <c r="E237" s="85" t="s">
        <v>183</v>
      </c>
      <c r="F237" s="33" t="s">
        <v>1672</v>
      </c>
      <c r="G237" s="33" t="s">
        <v>1673</v>
      </c>
      <c r="H237" s="33" t="s">
        <v>1674</v>
      </c>
      <c r="I237" s="134" t="s">
        <v>1675</v>
      </c>
      <c r="J237" s="139">
        <v>0</v>
      </c>
      <c r="K237" s="138">
        <v>0</v>
      </c>
      <c r="L237" s="136" t="s">
        <v>1676</v>
      </c>
      <c r="M237" s="138" t="s">
        <v>1677</v>
      </c>
      <c r="N237" s="142" t="s">
        <v>1678</v>
      </c>
      <c r="O237" s="33" t="s">
        <v>1679</v>
      </c>
      <c r="P237" s="38"/>
    </row>
    <row r="238" spans="1:16" ht="30" x14ac:dyDescent="0.25">
      <c r="A238" s="150">
        <f t="shared" si="25"/>
        <v>235</v>
      </c>
      <c r="B238" s="125" t="s">
        <v>2164</v>
      </c>
      <c r="C238" s="72" t="s">
        <v>1680</v>
      </c>
      <c r="D238" s="73" t="s">
        <v>1681</v>
      </c>
      <c r="E238" s="85" t="s">
        <v>184</v>
      </c>
      <c r="F238" s="33" t="s">
        <v>1682</v>
      </c>
      <c r="G238" s="33" t="s">
        <v>1683</v>
      </c>
      <c r="H238" s="33" t="s">
        <v>1684</v>
      </c>
      <c r="I238" s="134" t="s">
        <v>1685</v>
      </c>
      <c r="J238" s="139">
        <v>0</v>
      </c>
      <c r="K238" s="138">
        <v>0</v>
      </c>
      <c r="L238" s="136" t="s">
        <v>1686</v>
      </c>
      <c r="M238" s="138" t="s">
        <v>1687</v>
      </c>
      <c r="N238" s="142" t="s">
        <v>1688</v>
      </c>
      <c r="O238" s="33" t="s">
        <v>1689</v>
      </c>
      <c r="P238" s="38"/>
    </row>
    <row r="239" spans="1:16" ht="30" x14ac:dyDescent="0.25">
      <c r="A239" s="150">
        <f t="shared" si="25"/>
        <v>236</v>
      </c>
      <c r="B239" s="126" t="s">
        <v>2165</v>
      </c>
      <c r="C239" s="72" t="s">
        <v>1690</v>
      </c>
      <c r="D239" s="73" t="s">
        <v>1691</v>
      </c>
      <c r="E239" s="85" t="s">
        <v>185</v>
      </c>
      <c r="F239" s="33" t="s">
        <v>1692</v>
      </c>
      <c r="G239" s="33" t="s">
        <v>1693</v>
      </c>
      <c r="H239" s="33" t="s">
        <v>1694</v>
      </c>
      <c r="I239" s="134" t="s">
        <v>1695</v>
      </c>
      <c r="J239" s="139">
        <v>0</v>
      </c>
      <c r="K239" s="138">
        <v>0</v>
      </c>
      <c r="L239" s="136" t="s">
        <v>1696</v>
      </c>
      <c r="M239" s="138" t="s">
        <v>1697</v>
      </c>
      <c r="N239" s="142" t="s">
        <v>1698</v>
      </c>
      <c r="O239" s="33" t="s">
        <v>1699</v>
      </c>
      <c r="P239" s="38"/>
    </row>
    <row r="240" spans="1:16" ht="30" x14ac:dyDescent="0.25">
      <c r="A240" s="150">
        <f t="shared" si="25"/>
        <v>237</v>
      </c>
      <c r="B240" s="126" t="s">
        <v>2165</v>
      </c>
      <c r="C240" s="72" t="s">
        <v>1700</v>
      </c>
      <c r="D240" s="73" t="s">
        <v>1701</v>
      </c>
      <c r="E240" s="85" t="s">
        <v>186</v>
      </c>
      <c r="F240" s="33" t="s">
        <v>1702</v>
      </c>
      <c r="G240" s="33" t="s">
        <v>1703</v>
      </c>
      <c r="H240" s="33" t="s">
        <v>1704</v>
      </c>
      <c r="I240" s="134" t="s">
        <v>1705</v>
      </c>
      <c r="J240" s="139">
        <v>0</v>
      </c>
      <c r="K240" s="138">
        <v>0</v>
      </c>
      <c r="L240" s="136" t="s">
        <v>1706</v>
      </c>
      <c r="M240" s="138" t="s">
        <v>1707</v>
      </c>
      <c r="N240" s="142" t="s">
        <v>1708</v>
      </c>
      <c r="O240" s="33" t="s">
        <v>1709</v>
      </c>
      <c r="P240" s="38"/>
    </row>
    <row r="241" spans="1:16" ht="30" x14ac:dyDescent="0.25">
      <c r="A241" s="150">
        <f t="shared" si="25"/>
        <v>238</v>
      </c>
      <c r="B241" s="126" t="s">
        <v>2165</v>
      </c>
      <c r="C241" s="72" t="s">
        <v>1710</v>
      </c>
      <c r="D241" s="73" t="s">
        <v>1711</v>
      </c>
      <c r="E241" s="85" t="s">
        <v>187</v>
      </c>
      <c r="F241" s="33" t="s">
        <v>1712</v>
      </c>
      <c r="G241" s="33" t="s">
        <v>1713</v>
      </c>
      <c r="H241" s="33" t="s">
        <v>1714</v>
      </c>
      <c r="I241" s="134" t="s">
        <v>1715</v>
      </c>
      <c r="J241" s="139">
        <v>0</v>
      </c>
      <c r="K241" s="138">
        <v>0</v>
      </c>
      <c r="L241" s="136" t="s">
        <v>1716</v>
      </c>
      <c r="M241" s="138" t="s">
        <v>1717</v>
      </c>
      <c r="N241" s="142" t="s">
        <v>1718</v>
      </c>
      <c r="O241" s="33" t="s">
        <v>1719</v>
      </c>
      <c r="P241" s="38"/>
    </row>
    <row r="242" spans="1:16" ht="30" x14ac:dyDescent="0.25">
      <c r="A242" s="150">
        <f t="shared" si="25"/>
        <v>239</v>
      </c>
      <c r="B242" s="126" t="s">
        <v>2165</v>
      </c>
      <c r="C242" s="72" t="s">
        <v>1720</v>
      </c>
      <c r="D242" s="73" t="s">
        <v>1721</v>
      </c>
      <c r="E242" s="85" t="s">
        <v>188</v>
      </c>
      <c r="F242" s="33" t="s">
        <v>1722</v>
      </c>
      <c r="G242" s="33" t="s">
        <v>1723</v>
      </c>
      <c r="H242" s="33" t="s">
        <v>1724</v>
      </c>
      <c r="I242" s="134" t="s">
        <v>1725</v>
      </c>
      <c r="J242" s="139">
        <v>0</v>
      </c>
      <c r="K242" s="138">
        <v>0</v>
      </c>
      <c r="L242" s="136" t="s">
        <v>1726</v>
      </c>
      <c r="M242" s="138" t="s">
        <v>1727</v>
      </c>
      <c r="N242" s="142" t="s">
        <v>1728</v>
      </c>
      <c r="O242" s="33" t="s">
        <v>1729</v>
      </c>
      <c r="P242" s="38"/>
    </row>
    <row r="243" spans="1:16" ht="30" x14ac:dyDescent="0.25">
      <c r="A243" s="150">
        <f t="shared" si="25"/>
        <v>240</v>
      </c>
      <c r="B243" s="126" t="s">
        <v>2165</v>
      </c>
      <c r="C243" s="72" t="s">
        <v>1730</v>
      </c>
      <c r="D243" s="73" t="s">
        <v>1731</v>
      </c>
      <c r="E243" s="85" t="s">
        <v>189</v>
      </c>
      <c r="F243" s="33" t="s">
        <v>1732</v>
      </c>
      <c r="G243" s="33" t="s">
        <v>1733</v>
      </c>
      <c r="H243" s="33" t="s">
        <v>1734</v>
      </c>
      <c r="I243" s="134" t="s">
        <v>1735</v>
      </c>
      <c r="J243" s="139">
        <v>0</v>
      </c>
      <c r="K243" s="138">
        <v>0</v>
      </c>
      <c r="L243" s="136" t="s">
        <v>1736</v>
      </c>
      <c r="M243" s="138" t="s">
        <v>1737</v>
      </c>
      <c r="N243" s="142" t="s">
        <v>1738</v>
      </c>
      <c r="O243" s="33" t="s">
        <v>1739</v>
      </c>
      <c r="P243" s="38"/>
    </row>
    <row r="244" spans="1:16" ht="30" x14ac:dyDescent="0.25">
      <c r="A244" s="150">
        <f t="shared" si="25"/>
        <v>241</v>
      </c>
      <c r="B244" s="126" t="s">
        <v>2165</v>
      </c>
      <c r="C244" s="72" t="s">
        <v>1740</v>
      </c>
      <c r="D244" s="73" t="s">
        <v>1741</v>
      </c>
      <c r="E244" s="85" t="s">
        <v>190</v>
      </c>
      <c r="F244" s="33" t="s">
        <v>1742</v>
      </c>
      <c r="G244" s="33" t="s">
        <v>1743</v>
      </c>
      <c r="H244" s="33" t="s">
        <v>1744</v>
      </c>
      <c r="I244" s="134" t="s">
        <v>1745</v>
      </c>
      <c r="J244" s="139">
        <v>0</v>
      </c>
      <c r="K244" s="138">
        <v>0</v>
      </c>
      <c r="L244" s="136" t="s">
        <v>1746</v>
      </c>
      <c r="M244" s="138" t="s">
        <v>1747</v>
      </c>
      <c r="N244" s="142" t="s">
        <v>1748</v>
      </c>
      <c r="O244" s="33" t="s">
        <v>1749</v>
      </c>
      <c r="P244" s="38"/>
    </row>
    <row r="245" spans="1:16" ht="30" x14ac:dyDescent="0.25">
      <c r="A245" s="150">
        <f t="shared" si="25"/>
        <v>242</v>
      </c>
      <c r="B245" s="126" t="s">
        <v>2165</v>
      </c>
      <c r="C245" s="72" t="s">
        <v>1750</v>
      </c>
      <c r="D245" s="73" t="s">
        <v>1751</v>
      </c>
      <c r="E245" s="85" t="s">
        <v>191</v>
      </c>
      <c r="F245" s="33" t="s">
        <v>1752</v>
      </c>
      <c r="G245" s="33" t="s">
        <v>1753</v>
      </c>
      <c r="H245" s="33" t="s">
        <v>1754</v>
      </c>
      <c r="I245" s="134" t="s">
        <v>1755</v>
      </c>
      <c r="J245" s="139">
        <v>0</v>
      </c>
      <c r="K245" s="138">
        <v>0</v>
      </c>
      <c r="L245" s="136" t="s">
        <v>1756</v>
      </c>
      <c r="M245" s="138" t="s">
        <v>1757</v>
      </c>
      <c r="N245" s="142" t="s">
        <v>1758</v>
      </c>
      <c r="O245" s="33" t="s">
        <v>1759</v>
      </c>
      <c r="P245" s="38"/>
    </row>
    <row r="246" spans="1:16" ht="30" x14ac:dyDescent="0.25">
      <c r="A246" s="150">
        <f t="shared" si="25"/>
        <v>243</v>
      </c>
      <c r="B246" s="126" t="s">
        <v>2165</v>
      </c>
      <c r="C246" s="72" t="s">
        <v>1760</v>
      </c>
      <c r="D246" s="73" t="s">
        <v>1761</v>
      </c>
      <c r="E246" s="85" t="s">
        <v>192</v>
      </c>
      <c r="F246" s="33" t="s">
        <v>1762</v>
      </c>
      <c r="G246" s="33" t="s">
        <v>1763</v>
      </c>
      <c r="H246" s="33" t="s">
        <v>1764</v>
      </c>
      <c r="I246" s="134" t="s">
        <v>1765</v>
      </c>
      <c r="J246" s="139">
        <v>0</v>
      </c>
      <c r="K246" s="138">
        <v>0</v>
      </c>
      <c r="L246" s="136" t="s">
        <v>1766</v>
      </c>
      <c r="M246" s="138" t="s">
        <v>1767</v>
      </c>
      <c r="N246" s="142" t="s">
        <v>1768</v>
      </c>
      <c r="O246" s="33" t="s">
        <v>1769</v>
      </c>
      <c r="P246" s="38"/>
    </row>
    <row r="247" spans="1:16" ht="30" x14ac:dyDescent="0.25">
      <c r="A247" s="150">
        <f t="shared" si="25"/>
        <v>244</v>
      </c>
      <c r="B247" s="126" t="s">
        <v>2165</v>
      </c>
      <c r="C247" s="72" t="s">
        <v>1770</v>
      </c>
      <c r="D247" s="73" t="s">
        <v>1771</v>
      </c>
      <c r="E247" s="85" t="s">
        <v>193</v>
      </c>
      <c r="F247" s="33" t="s">
        <v>1772</v>
      </c>
      <c r="G247" s="33" t="s">
        <v>1773</v>
      </c>
      <c r="H247" s="33" t="s">
        <v>1774</v>
      </c>
      <c r="I247" s="134" t="s">
        <v>1775</v>
      </c>
      <c r="J247" s="139">
        <v>0</v>
      </c>
      <c r="K247" s="138">
        <v>0</v>
      </c>
      <c r="L247" s="136" t="s">
        <v>1776</v>
      </c>
      <c r="M247" s="138" t="s">
        <v>1777</v>
      </c>
      <c r="N247" s="142" t="s">
        <v>1778</v>
      </c>
      <c r="O247" s="33" t="s">
        <v>1779</v>
      </c>
      <c r="P247" s="38"/>
    </row>
    <row r="248" spans="1:16" ht="30" x14ac:dyDescent="0.25">
      <c r="A248" s="150">
        <f t="shared" si="25"/>
        <v>245</v>
      </c>
      <c r="B248" s="126" t="s">
        <v>2165</v>
      </c>
      <c r="C248" s="72" t="s">
        <v>1780</v>
      </c>
      <c r="D248" s="73" t="s">
        <v>1781</v>
      </c>
      <c r="E248" s="85" t="s">
        <v>194</v>
      </c>
      <c r="F248" s="33" t="s">
        <v>1782</v>
      </c>
      <c r="G248" s="33" t="s">
        <v>1783</v>
      </c>
      <c r="H248" s="33" t="s">
        <v>1784</v>
      </c>
      <c r="I248" s="134" t="s">
        <v>1785</v>
      </c>
      <c r="J248" s="139">
        <v>0</v>
      </c>
      <c r="K248" s="138">
        <v>0</v>
      </c>
      <c r="L248" s="136" t="s">
        <v>1786</v>
      </c>
      <c r="M248" s="138" t="s">
        <v>1787</v>
      </c>
      <c r="N248" s="142" t="s">
        <v>1788</v>
      </c>
      <c r="O248" s="33" t="s">
        <v>1789</v>
      </c>
      <c r="P248" s="38"/>
    </row>
    <row r="249" spans="1:16" ht="30" x14ac:dyDescent="0.25">
      <c r="A249" s="150">
        <f t="shared" si="25"/>
        <v>246</v>
      </c>
      <c r="B249" s="126" t="s">
        <v>2165</v>
      </c>
      <c r="C249" s="72" t="s">
        <v>1790</v>
      </c>
      <c r="D249" s="73" t="s">
        <v>1791</v>
      </c>
      <c r="E249" s="85" t="s">
        <v>195</v>
      </c>
      <c r="F249" s="33" t="s">
        <v>1792</v>
      </c>
      <c r="G249" s="33" t="s">
        <v>1793</v>
      </c>
      <c r="H249" s="33" t="s">
        <v>1794</v>
      </c>
      <c r="I249" s="134" t="s">
        <v>1795</v>
      </c>
      <c r="J249" s="139">
        <v>0</v>
      </c>
      <c r="K249" s="138">
        <v>0</v>
      </c>
      <c r="L249" s="136" t="s">
        <v>1796</v>
      </c>
      <c r="M249" s="138" t="s">
        <v>1797</v>
      </c>
      <c r="N249" s="142" t="s">
        <v>1798</v>
      </c>
      <c r="O249" s="33" t="s">
        <v>1799</v>
      </c>
      <c r="P249" s="38"/>
    </row>
    <row r="250" spans="1:16" ht="30" x14ac:dyDescent="0.25">
      <c r="A250" s="150">
        <f t="shared" si="25"/>
        <v>247</v>
      </c>
      <c r="B250" s="126" t="s">
        <v>2165</v>
      </c>
      <c r="C250" s="72" t="s">
        <v>1800</v>
      </c>
      <c r="D250" s="73" t="s">
        <v>1801</v>
      </c>
      <c r="E250" s="85" t="s">
        <v>196</v>
      </c>
      <c r="F250" s="33" t="s">
        <v>1802</v>
      </c>
      <c r="G250" s="33" t="s">
        <v>1803</v>
      </c>
      <c r="H250" s="33" t="s">
        <v>1804</v>
      </c>
      <c r="I250" s="134" t="s">
        <v>1805</v>
      </c>
      <c r="J250" s="139">
        <v>0</v>
      </c>
      <c r="K250" s="138">
        <v>0</v>
      </c>
      <c r="L250" s="136" t="s">
        <v>1806</v>
      </c>
      <c r="M250" s="138" t="s">
        <v>1807</v>
      </c>
      <c r="N250" s="142" t="s">
        <v>1808</v>
      </c>
      <c r="O250" s="33" t="s">
        <v>1809</v>
      </c>
      <c r="P250" s="38"/>
    </row>
    <row r="251" spans="1:16" ht="30" x14ac:dyDescent="0.25">
      <c r="A251" s="150">
        <f t="shared" si="25"/>
        <v>248</v>
      </c>
      <c r="B251" s="126" t="s">
        <v>2165</v>
      </c>
      <c r="C251" s="72" t="s">
        <v>1810</v>
      </c>
      <c r="D251" s="73" t="s">
        <v>1811</v>
      </c>
      <c r="E251" s="85" t="s">
        <v>197</v>
      </c>
      <c r="F251" s="33" t="s">
        <v>1812</v>
      </c>
      <c r="G251" s="33" t="s">
        <v>1813</v>
      </c>
      <c r="H251" s="33" t="s">
        <v>1814</v>
      </c>
      <c r="I251" s="134" t="s">
        <v>1815</v>
      </c>
      <c r="J251" s="139">
        <v>0</v>
      </c>
      <c r="K251" s="138">
        <v>0</v>
      </c>
      <c r="L251" s="136" t="s">
        <v>1816</v>
      </c>
      <c r="M251" s="138" t="s">
        <v>1817</v>
      </c>
      <c r="N251" s="142" t="s">
        <v>1818</v>
      </c>
      <c r="O251" s="33" t="s">
        <v>1819</v>
      </c>
      <c r="P251" s="38"/>
    </row>
    <row r="252" spans="1:16" ht="30" x14ac:dyDescent="0.25">
      <c r="A252" s="150">
        <f t="shared" si="25"/>
        <v>249</v>
      </c>
      <c r="B252" s="126" t="s">
        <v>2165</v>
      </c>
      <c r="C252" s="72" t="s">
        <v>1820</v>
      </c>
      <c r="D252" s="73" t="s">
        <v>1821</v>
      </c>
      <c r="E252" s="85" t="s">
        <v>198</v>
      </c>
      <c r="F252" s="33" t="s">
        <v>1822</v>
      </c>
      <c r="G252" s="33" t="s">
        <v>1823</v>
      </c>
      <c r="H252" s="33" t="s">
        <v>1824</v>
      </c>
      <c r="I252" s="134" t="s">
        <v>1825</v>
      </c>
      <c r="J252" s="139">
        <v>0</v>
      </c>
      <c r="K252" s="138">
        <v>0</v>
      </c>
      <c r="L252" s="136" t="s">
        <v>1826</v>
      </c>
      <c r="M252" s="138" t="s">
        <v>1827</v>
      </c>
      <c r="N252" s="142" t="s">
        <v>1828</v>
      </c>
      <c r="O252" s="33" t="s">
        <v>1829</v>
      </c>
      <c r="P252" s="38"/>
    </row>
    <row r="253" spans="1:16" ht="30" x14ac:dyDescent="0.25">
      <c r="A253" s="150">
        <f t="shared" si="25"/>
        <v>250</v>
      </c>
      <c r="B253" s="126" t="s">
        <v>2165</v>
      </c>
      <c r="C253" s="72" t="s">
        <v>1830</v>
      </c>
      <c r="D253" s="73" t="s">
        <v>1831</v>
      </c>
      <c r="E253" s="85" t="s">
        <v>199</v>
      </c>
      <c r="F253" s="33" t="s">
        <v>1832</v>
      </c>
      <c r="G253" s="33" t="s">
        <v>1833</v>
      </c>
      <c r="H253" s="33" t="s">
        <v>1834</v>
      </c>
      <c r="I253" s="134" t="s">
        <v>1835</v>
      </c>
      <c r="J253" s="139">
        <v>0</v>
      </c>
      <c r="K253" s="138">
        <v>0</v>
      </c>
      <c r="L253" s="136" t="s">
        <v>1836</v>
      </c>
      <c r="M253" s="138" t="s">
        <v>1837</v>
      </c>
      <c r="N253" s="142" t="s">
        <v>1838</v>
      </c>
      <c r="O253" s="33" t="s">
        <v>1839</v>
      </c>
      <c r="P253" s="38"/>
    </row>
    <row r="254" spans="1:16" ht="30" x14ac:dyDescent="0.25">
      <c r="A254" s="150">
        <f t="shared" si="25"/>
        <v>251</v>
      </c>
      <c r="B254" s="126" t="s">
        <v>2165</v>
      </c>
      <c r="C254" s="72" t="s">
        <v>1840</v>
      </c>
      <c r="D254" s="73" t="s">
        <v>1841</v>
      </c>
      <c r="E254" s="85" t="s">
        <v>200</v>
      </c>
      <c r="F254" s="33" t="s">
        <v>1842</v>
      </c>
      <c r="G254" s="33" t="s">
        <v>1843</v>
      </c>
      <c r="H254" s="33" t="s">
        <v>1844</v>
      </c>
      <c r="I254" s="134" t="s">
        <v>1845</v>
      </c>
      <c r="J254" s="139">
        <v>0</v>
      </c>
      <c r="K254" s="138">
        <v>0</v>
      </c>
      <c r="L254" s="136" t="s">
        <v>1846</v>
      </c>
      <c r="M254" s="138" t="s">
        <v>1847</v>
      </c>
      <c r="N254" s="142" t="s">
        <v>1848</v>
      </c>
      <c r="O254" s="33" t="s">
        <v>1849</v>
      </c>
      <c r="P254" s="38"/>
    </row>
    <row r="255" spans="1:16" ht="30" x14ac:dyDescent="0.25">
      <c r="A255" s="150">
        <f t="shared" si="25"/>
        <v>252</v>
      </c>
      <c r="B255" s="126" t="s">
        <v>2165</v>
      </c>
      <c r="C255" s="72" t="s">
        <v>1850</v>
      </c>
      <c r="D255" s="73" t="s">
        <v>1851</v>
      </c>
      <c r="E255" s="85" t="s">
        <v>201</v>
      </c>
      <c r="F255" s="33" t="s">
        <v>1852</v>
      </c>
      <c r="G255" s="33" t="s">
        <v>1853</v>
      </c>
      <c r="H255" s="33" t="s">
        <v>1854</v>
      </c>
      <c r="I255" s="134" t="s">
        <v>1855</v>
      </c>
      <c r="J255" s="139">
        <v>0</v>
      </c>
      <c r="K255" s="138">
        <v>0</v>
      </c>
      <c r="L255" s="136" t="s">
        <v>1856</v>
      </c>
      <c r="M255" s="138" t="s">
        <v>1857</v>
      </c>
      <c r="N255" s="142" t="s">
        <v>1858</v>
      </c>
      <c r="O255" s="33" t="s">
        <v>1859</v>
      </c>
      <c r="P255" s="38"/>
    </row>
    <row r="256" spans="1:16" ht="30" x14ac:dyDescent="0.25">
      <c r="A256" s="150">
        <f t="shared" si="25"/>
        <v>253</v>
      </c>
      <c r="B256" s="126" t="s">
        <v>2165</v>
      </c>
      <c r="C256" s="72" t="s">
        <v>1860</v>
      </c>
      <c r="D256" s="73" t="s">
        <v>1861</v>
      </c>
      <c r="E256" s="85" t="s">
        <v>202</v>
      </c>
      <c r="F256" s="33" t="s">
        <v>1862</v>
      </c>
      <c r="G256" s="33" t="s">
        <v>1863</v>
      </c>
      <c r="H256" s="33" t="s">
        <v>1864</v>
      </c>
      <c r="I256" s="134" t="s">
        <v>1865</v>
      </c>
      <c r="J256" s="139">
        <v>0</v>
      </c>
      <c r="K256" s="138">
        <v>0</v>
      </c>
      <c r="L256" s="136" t="s">
        <v>1866</v>
      </c>
      <c r="M256" s="138" t="s">
        <v>1867</v>
      </c>
      <c r="N256" s="142" t="s">
        <v>1868</v>
      </c>
      <c r="O256" s="33" t="s">
        <v>1869</v>
      </c>
      <c r="P256" s="38"/>
    </row>
    <row r="257" spans="1:16" ht="30" x14ac:dyDescent="0.25">
      <c r="A257" s="150">
        <f t="shared" si="25"/>
        <v>254</v>
      </c>
      <c r="B257" s="126" t="s">
        <v>2165</v>
      </c>
      <c r="C257" s="72" t="s">
        <v>1870</v>
      </c>
      <c r="D257" s="73" t="s">
        <v>1871</v>
      </c>
      <c r="E257" s="85" t="s">
        <v>203</v>
      </c>
      <c r="F257" s="33" t="s">
        <v>1872</v>
      </c>
      <c r="G257" s="33" t="s">
        <v>1873</v>
      </c>
      <c r="H257" s="33" t="s">
        <v>1874</v>
      </c>
      <c r="I257" s="134" t="s">
        <v>1875</v>
      </c>
      <c r="J257" s="139">
        <v>0</v>
      </c>
      <c r="K257" s="138">
        <v>0</v>
      </c>
      <c r="L257" s="136" t="s">
        <v>1876</v>
      </c>
      <c r="M257" s="138" t="s">
        <v>1877</v>
      </c>
      <c r="N257" s="142" t="s">
        <v>1878</v>
      </c>
      <c r="O257" s="33" t="s">
        <v>1879</v>
      </c>
      <c r="P257" s="38"/>
    </row>
    <row r="258" spans="1:16" ht="30" x14ac:dyDescent="0.25">
      <c r="A258" s="150">
        <f t="shared" si="25"/>
        <v>255</v>
      </c>
      <c r="B258" s="126" t="s">
        <v>2165</v>
      </c>
      <c r="C258" s="72" t="s">
        <v>1880</v>
      </c>
      <c r="D258" s="73" t="s">
        <v>1881</v>
      </c>
      <c r="E258" s="85" t="s">
        <v>204</v>
      </c>
      <c r="F258" s="33" t="s">
        <v>1882</v>
      </c>
      <c r="G258" s="33" t="s">
        <v>1883</v>
      </c>
      <c r="H258" s="33" t="s">
        <v>1884</v>
      </c>
      <c r="I258" s="134" t="s">
        <v>1885</v>
      </c>
      <c r="J258" s="139">
        <v>0</v>
      </c>
      <c r="K258" s="138">
        <v>0</v>
      </c>
      <c r="L258" s="136" t="s">
        <v>1886</v>
      </c>
      <c r="M258" s="138" t="s">
        <v>1887</v>
      </c>
      <c r="N258" s="142" t="s">
        <v>1888</v>
      </c>
      <c r="O258" s="33" t="s">
        <v>1889</v>
      </c>
      <c r="P258" s="38"/>
    </row>
    <row r="259" spans="1:16" ht="30" x14ac:dyDescent="0.25">
      <c r="A259" s="150">
        <f t="shared" si="25"/>
        <v>256</v>
      </c>
      <c r="B259" s="126" t="s">
        <v>2165</v>
      </c>
      <c r="C259" s="72" t="s">
        <v>1890</v>
      </c>
      <c r="D259" s="73" t="s">
        <v>1891</v>
      </c>
      <c r="E259" s="85" t="s">
        <v>230</v>
      </c>
      <c r="F259" s="33" t="s">
        <v>1892</v>
      </c>
      <c r="G259" s="33" t="s">
        <v>1893</v>
      </c>
      <c r="H259" s="33" t="s">
        <v>1894</v>
      </c>
      <c r="I259" s="134" t="s">
        <v>1895</v>
      </c>
      <c r="J259" s="139">
        <v>0</v>
      </c>
      <c r="K259" s="138">
        <v>0</v>
      </c>
      <c r="L259" s="136" t="s">
        <v>1896</v>
      </c>
      <c r="M259" s="138" t="s">
        <v>1897</v>
      </c>
      <c r="N259" s="142" t="s">
        <v>1898</v>
      </c>
      <c r="O259" s="33" t="s">
        <v>1899</v>
      </c>
      <c r="P259" s="38"/>
    </row>
    <row r="260" spans="1:16" ht="30" x14ac:dyDescent="0.25">
      <c r="A260" s="150">
        <f t="shared" si="25"/>
        <v>257</v>
      </c>
      <c r="B260" s="126" t="s">
        <v>2165</v>
      </c>
      <c r="C260" s="72" t="s">
        <v>1900</v>
      </c>
      <c r="D260" s="73" t="s">
        <v>1901</v>
      </c>
      <c r="E260" s="85" t="s">
        <v>205</v>
      </c>
      <c r="F260" s="33" t="s">
        <v>1902</v>
      </c>
      <c r="G260" s="33" t="s">
        <v>1903</v>
      </c>
      <c r="H260" s="33" t="s">
        <v>1904</v>
      </c>
      <c r="I260" s="134" t="s">
        <v>1905</v>
      </c>
      <c r="J260" s="139">
        <v>0</v>
      </c>
      <c r="K260" s="138">
        <v>0</v>
      </c>
      <c r="L260" s="136" t="s">
        <v>1906</v>
      </c>
      <c r="M260" s="138" t="s">
        <v>1907</v>
      </c>
      <c r="N260" s="142" t="s">
        <v>1908</v>
      </c>
      <c r="O260" s="33" t="s">
        <v>1909</v>
      </c>
      <c r="P260" s="38"/>
    </row>
    <row r="261" spans="1:16" ht="30" x14ac:dyDescent="0.25">
      <c r="A261" s="150">
        <f t="shared" si="25"/>
        <v>258</v>
      </c>
      <c r="B261" s="126" t="s">
        <v>2165</v>
      </c>
      <c r="C261" s="72" t="s">
        <v>1910</v>
      </c>
      <c r="D261" s="73" t="s">
        <v>1911</v>
      </c>
      <c r="E261" s="85" t="s">
        <v>206</v>
      </c>
      <c r="F261" s="33" t="s">
        <v>1912</v>
      </c>
      <c r="G261" s="33" t="s">
        <v>1913</v>
      </c>
      <c r="H261" s="33" t="s">
        <v>1914</v>
      </c>
      <c r="I261" s="134" t="s">
        <v>1915</v>
      </c>
      <c r="J261" s="139">
        <v>0</v>
      </c>
      <c r="K261" s="138">
        <v>0</v>
      </c>
      <c r="L261" s="136" t="s">
        <v>1916</v>
      </c>
      <c r="M261" s="138" t="s">
        <v>1917</v>
      </c>
      <c r="N261" s="142" t="s">
        <v>1918</v>
      </c>
      <c r="O261" s="33" t="s">
        <v>1919</v>
      </c>
      <c r="P261" s="38"/>
    </row>
    <row r="262" spans="1:16" ht="30" x14ac:dyDescent="0.25">
      <c r="A262" s="150">
        <f t="shared" ref="A262:A278" si="26">A261+1</f>
        <v>259</v>
      </c>
      <c r="B262" s="126" t="s">
        <v>2165</v>
      </c>
      <c r="C262" s="72" t="s">
        <v>1920</v>
      </c>
      <c r="D262" s="73" t="s">
        <v>1921</v>
      </c>
      <c r="E262" s="85" t="s">
        <v>207</v>
      </c>
      <c r="F262" s="33" t="s">
        <v>1922</v>
      </c>
      <c r="G262" s="33" t="s">
        <v>1923</v>
      </c>
      <c r="H262" s="33" t="s">
        <v>1924</v>
      </c>
      <c r="I262" s="134" t="s">
        <v>1925</v>
      </c>
      <c r="J262" s="139">
        <v>0</v>
      </c>
      <c r="K262" s="138">
        <v>0</v>
      </c>
      <c r="L262" s="136" t="s">
        <v>1926</v>
      </c>
      <c r="M262" s="138" t="s">
        <v>1927</v>
      </c>
      <c r="N262" s="142" t="s">
        <v>1928</v>
      </c>
      <c r="O262" s="33" t="s">
        <v>1929</v>
      </c>
      <c r="P262" s="38"/>
    </row>
    <row r="263" spans="1:16" ht="30" x14ac:dyDescent="0.25">
      <c r="A263" s="150">
        <f t="shared" si="26"/>
        <v>260</v>
      </c>
      <c r="B263" s="126" t="s">
        <v>2165</v>
      </c>
      <c r="C263" s="72" t="s">
        <v>1930</v>
      </c>
      <c r="D263" s="73" t="s">
        <v>1931</v>
      </c>
      <c r="E263" s="85" t="s">
        <v>208</v>
      </c>
      <c r="F263" s="33" t="s">
        <v>1932</v>
      </c>
      <c r="G263" s="33" t="s">
        <v>1933</v>
      </c>
      <c r="H263" s="33" t="s">
        <v>1934</v>
      </c>
      <c r="I263" s="134" t="s">
        <v>1935</v>
      </c>
      <c r="J263" s="139">
        <v>0</v>
      </c>
      <c r="K263" s="138">
        <v>0</v>
      </c>
      <c r="L263" s="136" t="s">
        <v>1936</v>
      </c>
      <c r="M263" s="138" t="s">
        <v>1937</v>
      </c>
      <c r="N263" s="142" t="s">
        <v>1938</v>
      </c>
      <c r="O263" s="33" t="s">
        <v>1939</v>
      </c>
      <c r="P263" s="38"/>
    </row>
    <row r="264" spans="1:16" ht="30" x14ac:dyDescent="0.25">
      <c r="A264" s="150">
        <f t="shared" si="26"/>
        <v>261</v>
      </c>
      <c r="B264" s="126" t="s">
        <v>2165</v>
      </c>
      <c r="C264" s="72" t="s">
        <v>1940</v>
      </c>
      <c r="D264" s="73" t="s">
        <v>1941</v>
      </c>
      <c r="E264" s="85" t="s">
        <v>231</v>
      </c>
      <c r="F264" s="33" t="s">
        <v>1942</v>
      </c>
      <c r="G264" s="33" t="s">
        <v>1943</v>
      </c>
      <c r="H264" s="33" t="s">
        <v>1944</v>
      </c>
      <c r="I264" s="134" t="s">
        <v>1945</v>
      </c>
      <c r="J264" s="139">
        <v>0</v>
      </c>
      <c r="K264" s="138">
        <v>0</v>
      </c>
      <c r="L264" s="136" t="s">
        <v>1946</v>
      </c>
      <c r="M264" s="138" t="s">
        <v>1947</v>
      </c>
      <c r="N264" s="142" t="s">
        <v>1948</v>
      </c>
      <c r="O264" s="33" t="s">
        <v>1949</v>
      </c>
      <c r="P264" s="38"/>
    </row>
    <row r="265" spans="1:16" ht="30" x14ac:dyDescent="0.25">
      <c r="A265" s="150">
        <f t="shared" si="26"/>
        <v>262</v>
      </c>
      <c r="B265" s="126" t="s">
        <v>2165</v>
      </c>
      <c r="C265" s="72" t="s">
        <v>1950</v>
      </c>
      <c r="D265" s="73" t="s">
        <v>1951</v>
      </c>
      <c r="E265" s="85" t="s">
        <v>209</v>
      </c>
      <c r="F265" s="33" t="s">
        <v>1952</v>
      </c>
      <c r="G265" s="33" t="s">
        <v>1953</v>
      </c>
      <c r="H265" s="33" t="s">
        <v>1954</v>
      </c>
      <c r="I265" s="134" t="s">
        <v>1955</v>
      </c>
      <c r="J265" s="139">
        <v>0</v>
      </c>
      <c r="K265" s="138">
        <v>0</v>
      </c>
      <c r="L265" s="136" t="s">
        <v>1956</v>
      </c>
      <c r="M265" s="138" t="s">
        <v>1957</v>
      </c>
      <c r="N265" s="142" t="s">
        <v>1958</v>
      </c>
      <c r="O265" s="33" t="s">
        <v>1959</v>
      </c>
      <c r="P265" s="38"/>
    </row>
    <row r="266" spans="1:16" ht="30" x14ac:dyDescent="0.25">
      <c r="A266" s="150">
        <f t="shared" si="26"/>
        <v>263</v>
      </c>
      <c r="B266" s="127" t="s">
        <v>2166</v>
      </c>
      <c r="C266" s="72" t="s">
        <v>1960</v>
      </c>
      <c r="D266" s="73" t="s">
        <v>1961</v>
      </c>
      <c r="E266" s="85" t="s">
        <v>210</v>
      </c>
      <c r="F266" s="33" t="s">
        <v>1962</v>
      </c>
      <c r="G266" s="33" t="s">
        <v>1963</v>
      </c>
      <c r="H266" s="33" t="s">
        <v>1964</v>
      </c>
      <c r="I266" s="134" t="s">
        <v>1965</v>
      </c>
      <c r="J266" s="139">
        <v>0</v>
      </c>
      <c r="K266" s="138">
        <v>0</v>
      </c>
      <c r="L266" s="136" t="s">
        <v>1966</v>
      </c>
      <c r="M266" s="138" t="s">
        <v>1967</v>
      </c>
      <c r="N266" s="142" t="s">
        <v>1968</v>
      </c>
      <c r="O266" s="33" t="s">
        <v>1969</v>
      </c>
      <c r="P266" s="38"/>
    </row>
    <row r="267" spans="1:16" ht="30" x14ac:dyDescent="0.25">
      <c r="A267" s="150">
        <f t="shared" si="26"/>
        <v>264</v>
      </c>
      <c r="B267" s="127" t="s">
        <v>2166</v>
      </c>
      <c r="C267" s="72" t="s">
        <v>1970</v>
      </c>
      <c r="D267" s="73" t="s">
        <v>1971</v>
      </c>
      <c r="E267" s="85" t="s">
        <v>211</v>
      </c>
      <c r="F267" s="33" t="s">
        <v>1972</v>
      </c>
      <c r="G267" s="33" t="s">
        <v>1973</v>
      </c>
      <c r="H267" s="33" t="s">
        <v>1974</v>
      </c>
      <c r="I267" s="134" t="s">
        <v>1975</v>
      </c>
      <c r="J267" s="139">
        <v>0</v>
      </c>
      <c r="K267" s="138">
        <v>0</v>
      </c>
      <c r="L267" s="136" t="s">
        <v>1976</v>
      </c>
      <c r="M267" s="138" t="s">
        <v>1977</v>
      </c>
      <c r="N267" s="142" t="s">
        <v>1978</v>
      </c>
      <c r="O267" s="33" t="s">
        <v>1979</v>
      </c>
      <c r="P267" s="38"/>
    </row>
    <row r="268" spans="1:16" ht="30" x14ac:dyDescent="0.25">
      <c r="A268" s="150">
        <f t="shared" si="26"/>
        <v>265</v>
      </c>
      <c r="B268" s="127" t="s">
        <v>2166</v>
      </c>
      <c r="C268" s="72" t="s">
        <v>1980</v>
      </c>
      <c r="D268" s="73" t="s">
        <v>1981</v>
      </c>
      <c r="E268" s="73" t="s">
        <v>212</v>
      </c>
      <c r="F268" s="33" t="s">
        <v>1982</v>
      </c>
      <c r="G268" s="33" t="s">
        <v>1983</v>
      </c>
      <c r="H268" s="33" t="s">
        <v>1984</v>
      </c>
      <c r="I268" s="134" t="s">
        <v>1985</v>
      </c>
      <c r="J268" s="139">
        <v>0</v>
      </c>
      <c r="K268" s="138">
        <v>0</v>
      </c>
      <c r="L268" s="136" t="s">
        <v>1986</v>
      </c>
      <c r="M268" s="138" t="s">
        <v>1987</v>
      </c>
      <c r="N268" s="142" t="s">
        <v>1988</v>
      </c>
      <c r="O268" s="33" t="s">
        <v>1989</v>
      </c>
      <c r="P268" s="38"/>
    </row>
    <row r="269" spans="1:16" ht="30" x14ac:dyDescent="0.25">
      <c r="A269" s="150">
        <f t="shared" si="26"/>
        <v>266</v>
      </c>
      <c r="B269" s="127" t="s">
        <v>2166</v>
      </c>
      <c r="C269" s="72" t="s">
        <v>1990</v>
      </c>
      <c r="D269" s="73" t="s">
        <v>1991</v>
      </c>
      <c r="E269" s="85" t="s">
        <v>213</v>
      </c>
      <c r="F269" s="33" t="s">
        <v>1992</v>
      </c>
      <c r="G269" s="33" t="s">
        <v>1993</v>
      </c>
      <c r="H269" s="33" t="s">
        <v>1994</v>
      </c>
      <c r="I269" s="134" t="s">
        <v>1995</v>
      </c>
      <c r="J269" s="139">
        <v>0</v>
      </c>
      <c r="K269" s="138">
        <v>0</v>
      </c>
      <c r="L269" s="136" t="s">
        <v>1996</v>
      </c>
      <c r="M269" s="138" t="s">
        <v>1997</v>
      </c>
      <c r="N269" s="142" t="s">
        <v>1998</v>
      </c>
      <c r="O269" s="33" t="s">
        <v>1999</v>
      </c>
      <c r="P269" s="38"/>
    </row>
    <row r="270" spans="1:16" ht="30" x14ac:dyDescent="0.25">
      <c r="A270" s="150">
        <f t="shared" si="26"/>
        <v>267</v>
      </c>
      <c r="B270" s="127" t="s">
        <v>2166</v>
      </c>
      <c r="C270" s="72" t="s">
        <v>2000</v>
      </c>
      <c r="D270" s="73" t="s">
        <v>2001</v>
      </c>
      <c r="E270" s="73" t="s">
        <v>214</v>
      </c>
      <c r="F270" s="33" t="s">
        <v>2002</v>
      </c>
      <c r="G270" s="33" t="s">
        <v>2003</v>
      </c>
      <c r="H270" s="33" t="s">
        <v>2004</v>
      </c>
      <c r="I270" s="134" t="s">
        <v>2005</v>
      </c>
      <c r="J270" s="139">
        <v>0</v>
      </c>
      <c r="K270" s="138">
        <v>0</v>
      </c>
      <c r="L270" s="136" t="s">
        <v>2006</v>
      </c>
      <c r="M270" s="138" t="s">
        <v>2007</v>
      </c>
      <c r="N270" s="142" t="s">
        <v>2008</v>
      </c>
      <c r="O270" s="33" t="s">
        <v>2009</v>
      </c>
      <c r="P270" s="38"/>
    </row>
    <row r="271" spans="1:16" ht="30" x14ac:dyDescent="0.25">
      <c r="A271" s="150">
        <f t="shared" si="26"/>
        <v>268</v>
      </c>
      <c r="B271" s="127" t="s">
        <v>2166</v>
      </c>
      <c r="C271" s="72" t="s">
        <v>2010</v>
      </c>
      <c r="D271" s="73" t="s">
        <v>2011</v>
      </c>
      <c r="E271" s="85" t="s">
        <v>215</v>
      </c>
      <c r="F271" s="33" t="s">
        <v>2012</v>
      </c>
      <c r="G271" s="33" t="s">
        <v>2013</v>
      </c>
      <c r="H271" s="33" t="s">
        <v>2014</v>
      </c>
      <c r="I271" s="134" t="s">
        <v>2015</v>
      </c>
      <c r="J271" s="139">
        <v>0</v>
      </c>
      <c r="K271" s="138">
        <v>0</v>
      </c>
      <c r="L271" s="136" t="s">
        <v>2016</v>
      </c>
      <c r="M271" s="138" t="s">
        <v>2017</v>
      </c>
      <c r="N271" s="142" t="s">
        <v>2018</v>
      </c>
      <c r="O271" s="33" t="s">
        <v>2019</v>
      </c>
      <c r="P271" s="38"/>
    </row>
    <row r="272" spans="1:16" ht="30" x14ac:dyDescent="0.25">
      <c r="A272" s="150">
        <f t="shared" si="26"/>
        <v>269</v>
      </c>
      <c r="B272" s="127" t="s">
        <v>2166</v>
      </c>
      <c r="C272" s="72" t="s">
        <v>2020</v>
      </c>
      <c r="D272" s="73" t="s">
        <v>2021</v>
      </c>
      <c r="E272" s="85" t="s">
        <v>216</v>
      </c>
      <c r="F272" s="33" t="s">
        <v>2022</v>
      </c>
      <c r="G272" s="33" t="s">
        <v>2023</v>
      </c>
      <c r="H272" s="33" t="s">
        <v>2024</v>
      </c>
      <c r="I272" s="134" t="s">
        <v>2025</v>
      </c>
      <c r="J272" s="139">
        <v>0</v>
      </c>
      <c r="K272" s="138">
        <v>0</v>
      </c>
      <c r="L272" s="136" t="s">
        <v>2026</v>
      </c>
      <c r="M272" s="138" t="s">
        <v>2027</v>
      </c>
      <c r="N272" s="142" t="s">
        <v>2028</v>
      </c>
      <c r="O272" s="33" t="s">
        <v>2029</v>
      </c>
      <c r="P272" s="38"/>
    </row>
    <row r="273" spans="1:16" ht="30" x14ac:dyDescent="0.25">
      <c r="A273" s="150">
        <f t="shared" si="26"/>
        <v>270</v>
      </c>
      <c r="B273" s="127" t="s">
        <v>2166</v>
      </c>
      <c r="C273" s="72" t="s">
        <v>2030</v>
      </c>
      <c r="D273" s="73" t="s">
        <v>2031</v>
      </c>
      <c r="E273" s="85" t="s">
        <v>217</v>
      </c>
      <c r="F273" s="33" t="s">
        <v>2032</v>
      </c>
      <c r="G273" s="33" t="s">
        <v>2033</v>
      </c>
      <c r="H273" s="33" t="s">
        <v>2034</v>
      </c>
      <c r="I273" s="134" t="s">
        <v>2035</v>
      </c>
      <c r="J273" s="139">
        <v>0</v>
      </c>
      <c r="K273" s="138">
        <v>0</v>
      </c>
      <c r="L273" s="136" t="s">
        <v>2036</v>
      </c>
      <c r="M273" s="138" t="s">
        <v>2037</v>
      </c>
      <c r="N273" s="142" t="s">
        <v>2038</v>
      </c>
      <c r="O273" s="33" t="s">
        <v>2039</v>
      </c>
      <c r="P273" s="38"/>
    </row>
    <row r="274" spans="1:16" ht="30" x14ac:dyDescent="0.25">
      <c r="A274" s="150">
        <f t="shared" si="26"/>
        <v>271</v>
      </c>
      <c r="B274" s="127" t="s">
        <v>2166</v>
      </c>
      <c r="C274" s="72" t="s">
        <v>2040</v>
      </c>
      <c r="D274" s="73" t="s">
        <v>2041</v>
      </c>
      <c r="E274" s="85" t="s">
        <v>218</v>
      </c>
      <c r="F274" s="33" t="s">
        <v>2042</v>
      </c>
      <c r="G274" s="33" t="s">
        <v>2043</v>
      </c>
      <c r="H274" s="33" t="s">
        <v>2044</v>
      </c>
      <c r="I274" s="134" t="s">
        <v>2045</v>
      </c>
      <c r="J274" s="139">
        <v>0</v>
      </c>
      <c r="K274" s="138">
        <v>0</v>
      </c>
      <c r="L274" s="136" t="s">
        <v>2046</v>
      </c>
      <c r="M274" s="138" t="s">
        <v>2047</v>
      </c>
      <c r="N274" s="142" t="s">
        <v>2048</v>
      </c>
      <c r="O274" s="33" t="s">
        <v>2049</v>
      </c>
      <c r="P274" s="38"/>
    </row>
    <row r="275" spans="1:16" ht="30" x14ac:dyDescent="0.25">
      <c r="A275" s="150">
        <f t="shared" si="26"/>
        <v>272</v>
      </c>
      <c r="B275" s="127" t="s">
        <v>2166</v>
      </c>
      <c r="C275" s="72" t="s">
        <v>2050</v>
      </c>
      <c r="D275" s="73" t="s">
        <v>2051</v>
      </c>
      <c r="E275" s="85" t="s">
        <v>219</v>
      </c>
      <c r="F275" s="33" t="s">
        <v>2052</v>
      </c>
      <c r="G275" s="33" t="s">
        <v>2053</v>
      </c>
      <c r="H275" s="33" t="s">
        <v>2054</v>
      </c>
      <c r="I275" s="134" t="s">
        <v>2055</v>
      </c>
      <c r="J275" s="139">
        <v>0</v>
      </c>
      <c r="K275" s="138">
        <v>0</v>
      </c>
      <c r="L275" s="136" t="s">
        <v>2056</v>
      </c>
      <c r="M275" s="138" t="s">
        <v>2057</v>
      </c>
      <c r="N275" s="142" t="s">
        <v>2058</v>
      </c>
      <c r="O275" s="33" t="s">
        <v>2059</v>
      </c>
      <c r="P275" s="38"/>
    </row>
    <row r="276" spans="1:16" ht="30" x14ac:dyDescent="0.25">
      <c r="A276" s="150">
        <f t="shared" si="26"/>
        <v>273</v>
      </c>
      <c r="B276" s="128" t="s">
        <v>2167</v>
      </c>
      <c r="C276" s="72" t="s">
        <v>2060</v>
      </c>
      <c r="D276" s="73" t="s">
        <v>2061</v>
      </c>
      <c r="E276" s="85" t="s">
        <v>2062</v>
      </c>
      <c r="F276" s="33" t="s">
        <v>2063</v>
      </c>
      <c r="G276" s="33" t="s">
        <v>2064</v>
      </c>
      <c r="H276" s="33" t="s">
        <v>2065</v>
      </c>
      <c r="I276" s="134" t="s">
        <v>2066</v>
      </c>
      <c r="J276" s="139">
        <v>0</v>
      </c>
      <c r="K276" s="138">
        <v>0</v>
      </c>
      <c r="L276" s="136" t="s">
        <v>2067</v>
      </c>
      <c r="M276" s="138" t="s">
        <v>2068</v>
      </c>
      <c r="N276" s="142" t="s">
        <v>2069</v>
      </c>
      <c r="O276" s="33" t="s">
        <v>2070</v>
      </c>
      <c r="P276" s="38"/>
    </row>
    <row r="277" spans="1:16" ht="30" x14ac:dyDescent="0.25">
      <c r="A277" s="150">
        <f t="shared" si="26"/>
        <v>274</v>
      </c>
      <c r="B277" s="128" t="s">
        <v>2167</v>
      </c>
      <c r="C277" s="72" t="s">
        <v>2071</v>
      </c>
      <c r="D277" s="73" t="s">
        <v>2072</v>
      </c>
      <c r="E277" s="85" t="s">
        <v>220</v>
      </c>
      <c r="F277" s="33" t="s">
        <v>2073</v>
      </c>
      <c r="G277" s="33" t="s">
        <v>2074</v>
      </c>
      <c r="H277" s="33" t="s">
        <v>2075</v>
      </c>
      <c r="I277" s="134" t="s">
        <v>2076</v>
      </c>
      <c r="J277" s="139">
        <v>0</v>
      </c>
      <c r="K277" s="138">
        <v>0</v>
      </c>
      <c r="L277" s="136" t="s">
        <v>2077</v>
      </c>
      <c r="M277" s="138" t="s">
        <v>2078</v>
      </c>
      <c r="N277" s="142" t="s">
        <v>2079</v>
      </c>
      <c r="O277" s="33" t="s">
        <v>2080</v>
      </c>
      <c r="P277" s="38"/>
    </row>
    <row r="278" spans="1:16" ht="30.75" thickBot="1" x14ac:dyDescent="0.3">
      <c r="A278" s="150">
        <f t="shared" si="26"/>
        <v>275</v>
      </c>
      <c r="B278" s="128" t="s">
        <v>2167</v>
      </c>
      <c r="C278" s="72" t="s">
        <v>2081</v>
      </c>
      <c r="D278" s="73" t="s">
        <v>2082</v>
      </c>
      <c r="E278" s="85" t="s">
        <v>221</v>
      </c>
      <c r="F278" s="33" t="s">
        <v>2083</v>
      </c>
      <c r="G278" s="33" t="s">
        <v>2084</v>
      </c>
      <c r="H278" s="33" t="s">
        <v>2085</v>
      </c>
      <c r="I278" s="134" t="s">
        <v>2086</v>
      </c>
      <c r="J278" s="140">
        <v>0</v>
      </c>
      <c r="K278" s="141">
        <v>0</v>
      </c>
      <c r="L278" s="152" t="s">
        <v>2087</v>
      </c>
      <c r="M278" s="141" t="s">
        <v>2088</v>
      </c>
      <c r="N278" s="142" t="s">
        <v>2089</v>
      </c>
      <c r="O278" s="33" t="s">
        <v>2090</v>
      </c>
      <c r="P278" s="38"/>
    </row>
  </sheetData>
  <sheetProtection algorithmName="SHA-512" hashValue="tkTfFfBczBCJZpcO1yzdHJ2SS05ZzFvOq0OZIQ4gKnY+YUIClebKIkE8A7DOMa9gmgHFmAil7FdDhLBvQyiPvA==" saltValue="0v/kdFI/sFHytjwTFGC5bw==" spinCount="100000" sheet="1" formatCells="0" formatColumns="0" formatRows="0" sort="0" autoFilter="0" pivotTables="0"/>
  <autoFilter ref="A3:O278" xr:uid="{00000000-0009-0000-0000-000005000000}"/>
  <sortState xmlns:xlrd2="http://schemas.microsoft.com/office/spreadsheetml/2017/richdata2" ref="B4:O38">
    <sortCondition ref="B4:B38"/>
    <sortCondition ref="C4:C38"/>
    <sortCondition ref="D4:D38"/>
  </sortState>
  <dataConsolidate/>
  <mergeCells count="12">
    <mergeCell ref="Q140:Z140"/>
    <mergeCell ref="Q155:Z155"/>
    <mergeCell ref="J2:K2"/>
    <mergeCell ref="L2:M2"/>
    <mergeCell ref="Q5:Z5"/>
    <mergeCell ref="Q6:Z6"/>
    <mergeCell ref="Q7:Z7"/>
    <mergeCell ref="Q8:Z8"/>
    <mergeCell ref="Q9:Y9"/>
    <mergeCell ref="Q11:Z11"/>
    <mergeCell ref="Q125:Z127"/>
    <mergeCell ref="Q138:Z138"/>
  </mergeCells>
  <conditionalFormatting sqref="Y8:Z8 Y1:Z6 AB5:AB6">
    <cfRule type="expression" priority="4422">
      <formula>$A43=$AB$9</formula>
    </cfRule>
  </conditionalFormatting>
  <conditionalFormatting sqref="Z65:Z97 Z111:Z124 Z1:Z4 Z13:Z43 Z156:Z1048576">
    <cfRule type="expression" dxfId="36" priority="4433">
      <formula>A1=$AB$9</formula>
    </cfRule>
  </conditionalFormatting>
  <conditionalFormatting sqref="Z9:Z10">
    <cfRule type="expression" priority="4438">
      <formula>$A52=$AB$9</formula>
    </cfRule>
  </conditionalFormatting>
  <conditionalFormatting sqref="Y129:Z129 Y125:Z126">
    <cfRule type="expression" priority="4447">
      <formula>$A100=$AB$9</formula>
    </cfRule>
  </conditionalFormatting>
  <conditionalFormatting sqref="Y95:Z95">
    <cfRule type="expression" priority="4449">
      <formula>#REF!=$AB$9</formula>
    </cfRule>
  </conditionalFormatting>
  <conditionalFormatting sqref="Y90:Z90 Y70:Z71 Y217:Z217 Y88:Z88 Y83:Z84">
    <cfRule type="expression" priority="4450">
      <formula>$A75=$AB$9</formula>
    </cfRule>
  </conditionalFormatting>
  <conditionalFormatting sqref="Y12:Z12 Y65:Z65 Y114:Z114 Y7:Z7 Y89:Z89 Y96:Z97 Y60:Z62 Y140:Z173">
    <cfRule type="expression" priority="4454">
      <formula>#REF!=$AB$9</formula>
    </cfRule>
  </conditionalFormatting>
  <conditionalFormatting sqref="Y121:Z121 Y66:Z68">
    <cfRule type="expression" priority="4462">
      <formula>#REF!=$AB$9</formula>
    </cfRule>
  </conditionalFormatting>
  <conditionalFormatting sqref="Z9:Z10">
    <cfRule type="expression" dxfId="35" priority="4466">
      <formula>#REF!=$AB$9</formula>
    </cfRule>
  </conditionalFormatting>
  <conditionalFormatting sqref="Y78:Z78">
    <cfRule type="expression" priority="4467">
      <formula>#REF!=$AB$9</formula>
    </cfRule>
  </conditionalFormatting>
  <conditionalFormatting sqref="Y24:Z24">
    <cfRule type="expression" priority="4468">
      <formula>#REF!=$AB$9</formula>
    </cfRule>
  </conditionalFormatting>
  <conditionalFormatting sqref="Y11:Z11">
    <cfRule type="expression" priority="4476">
      <formula>$A114=$AB$9</formula>
    </cfRule>
  </conditionalFormatting>
  <conditionalFormatting sqref="Y139:Z139 Y135:Z135 Y137:Z137">
    <cfRule type="expression" priority="4478">
      <formula>$A104=$AB$9</formula>
    </cfRule>
  </conditionalFormatting>
  <conditionalFormatting sqref="Z60:Z63">
    <cfRule type="expression" dxfId="34" priority="4479">
      <formula>A106=$AB$9</formula>
    </cfRule>
  </conditionalFormatting>
  <conditionalFormatting sqref="Y79:Z80 Y122:Z122 Y202:Z202 Y115:Z116">
    <cfRule type="expression" priority="4480">
      <formula>$A81=$AB$9</formula>
    </cfRule>
  </conditionalFormatting>
  <conditionalFormatting sqref="Y63:Z63">
    <cfRule type="expression" priority="4484">
      <formula>$A112=$AB$9</formula>
    </cfRule>
  </conditionalFormatting>
  <conditionalFormatting sqref="Z125:Z128">
    <cfRule type="expression" dxfId="33" priority="4487">
      <formula>A98=$AB$9</formula>
    </cfRule>
  </conditionalFormatting>
  <conditionalFormatting sqref="Z11">
    <cfRule type="expression" dxfId="32" priority="4488">
      <formula>A110=$AB$9</formula>
    </cfRule>
  </conditionalFormatting>
  <conditionalFormatting sqref="Y42:Z42 Y39:Z40">
    <cfRule type="expression" priority="4489">
      <formula>$A85=$AB$9</formula>
    </cfRule>
  </conditionalFormatting>
  <conditionalFormatting sqref="Y42:Z42">
    <cfRule type="expression" priority="4491">
      <formula>$A75=$AB$9</formula>
    </cfRule>
  </conditionalFormatting>
  <conditionalFormatting sqref="Y42:Z42 Y191:Z191">
    <cfRule type="expression" priority="4495">
      <formula>$A68=$AB$9</formula>
    </cfRule>
  </conditionalFormatting>
  <conditionalFormatting sqref="Y39:Z41">
    <cfRule type="expression" priority="4497">
      <formula>$A73=$AB$9</formula>
    </cfRule>
  </conditionalFormatting>
  <conditionalFormatting sqref="Y42:Z42">
    <cfRule type="expression" priority="4498">
      <formula>$A81=$AB$9</formula>
    </cfRule>
  </conditionalFormatting>
  <conditionalFormatting sqref="Y22:Z23">
    <cfRule type="expression" priority="4501">
      <formula>$A79=$AB$9</formula>
    </cfRule>
  </conditionalFormatting>
  <conditionalFormatting sqref="Y31:Z32">
    <cfRule type="expression" priority="4503">
      <formula>$A77=$AB$9</formula>
    </cfRule>
  </conditionalFormatting>
  <conditionalFormatting sqref="Y39:Z41 Y189:Z190">
    <cfRule type="expression" priority="4505">
      <formula>$A66=$AB$9</formula>
    </cfRule>
  </conditionalFormatting>
  <conditionalFormatting sqref="Y33:Z34">
    <cfRule type="expression" priority="4506">
      <formula>$A68=$AB$9</formula>
    </cfRule>
  </conditionalFormatting>
  <conditionalFormatting sqref="Y39:Z41">
    <cfRule type="expression" priority="4507">
      <formula>$A79=$AB$9</formula>
    </cfRule>
  </conditionalFormatting>
  <conditionalFormatting sqref="Y17:Z21">
    <cfRule type="expression" priority="4509">
      <formula>$A70=$AB$9</formula>
    </cfRule>
  </conditionalFormatting>
  <conditionalFormatting sqref="Z138 Z136">
    <cfRule type="expression" dxfId="31" priority="4520">
      <formula>A101=$AB$9</formula>
    </cfRule>
  </conditionalFormatting>
  <conditionalFormatting sqref="Z137 Z135">
    <cfRule type="expression" dxfId="30" priority="4548">
      <formula>A101=$AB$9</formula>
    </cfRule>
  </conditionalFormatting>
  <conditionalFormatting sqref="Y31:Z32">
    <cfRule type="expression" priority="4586">
      <formula>$A75=$AB$9</formula>
    </cfRule>
  </conditionalFormatting>
  <conditionalFormatting sqref="Y35:Z36">
    <cfRule type="expression" priority="4589">
      <formula>$A56=$AB$9</formula>
    </cfRule>
  </conditionalFormatting>
  <conditionalFormatting sqref="Y29:Z30 Y37:Z38">
    <cfRule type="expression" priority="4590">
      <formula>$A58=$AB$9</formula>
    </cfRule>
  </conditionalFormatting>
  <conditionalFormatting sqref="Y25:Z26">
    <cfRule type="expression" priority="4593">
      <formula>$A81=$AB$9</formula>
    </cfRule>
  </conditionalFormatting>
  <conditionalFormatting sqref="Y27:Z37 Y195:Z195">
    <cfRule type="expression" priority="4594">
      <formula>$A49=$AB$9</formula>
    </cfRule>
  </conditionalFormatting>
  <conditionalFormatting sqref="Y31:Z38">
    <cfRule type="expression" priority="4596">
      <formula>$A61=$AB$9</formula>
    </cfRule>
  </conditionalFormatting>
  <conditionalFormatting sqref="Y38:Z38 Y194:Z194">
    <cfRule type="expression" priority="4605">
      <formula>$A61=$AB$9</formula>
    </cfRule>
  </conditionalFormatting>
  <conditionalFormatting sqref="Y35:Z36">
    <cfRule type="expression" priority="4607">
      <formula>$A66=$AB$9</formula>
    </cfRule>
  </conditionalFormatting>
  <conditionalFormatting sqref="Y27:Z28">
    <cfRule type="expression" priority="4609">
      <formula>$A85=$AB$9</formula>
    </cfRule>
  </conditionalFormatting>
  <conditionalFormatting sqref="Y13:Z16">
    <cfRule type="expression" priority="4610">
      <formula>$A62=$AB$9</formula>
    </cfRule>
  </conditionalFormatting>
  <conditionalFormatting sqref="Z139 Z134">
    <cfRule type="expression" dxfId="29" priority="4627">
      <formula>A101=$AB$9</formula>
    </cfRule>
  </conditionalFormatting>
  <conditionalFormatting sqref="Z155">
    <cfRule type="expression" dxfId="28" priority="4638">
      <formula>A105=$AB$9</formula>
    </cfRule>
  </conditionalFormatting>
  <conditionalFormatting sqref="AB5:AB6">
    <cfRule type="expression" dxfId="27" priority="1">
      <formula>C5=$AB$9</formula>
    </cfRule>
  </conditionalFormatting>
  <conditionalFormatting sqref="Y265:Z1048576 Y69:Z69 Y92:Z92 Y81:Z81 Y43:Z43 Y72:Z77 Y260:Z260 Y117:Z120 Y203:Z213 Y222:Z255">
    <cfRule type="expression" priority="4920">
      <formula>$A46=$AB$9</formula>
    </cfRule>
  </conditionalFormatting>
  <conditionalFormatting sqref="Z5:Z8 Z12">
    <cfRule type="expression" dxfId="26" priority="4933">
      <formula>A44=$AB$9</formula>
    </cfRule>
  </conditionalFormatting>
  <conditionalFormatting sqref="Y91:Z91 Y82:Z82 Y93:Z94 Y111:Z113 Y218:Z221 Y214:Z216 Y256:Z259 Y261:Z264">
    <cfRule type="expression" priority="4935">
      <formula>$A86=$AB$9</formula>
    </cfRule>
  </conditionalFormatting>
  <conditionalFormatting sqref="Z140:Z141">
    <cfRule type="expression" dxfId="25" priority="4939">
      <formula>A104=$AB$9</formula>
    </cfRule>
  </conditionalFormatting>
  <conditionalFormatting sqref="Y138:Z138">
    <cfRule type="expression" priority="4941">
      <formula>$A105=$AB$9</formula>
    </cfRule>
  </conditionalFormatting>
  <conditionalFormatting sqref="Y136:Z136">
    <cfRule type="expression" priority="4943">
      <formula>$A104=$AB$9</formula>
    </cfRule>
  </conditionalFormatting>
  <conditionalFormatting sqref="Y127:Z128">
    <cfRule type="expression" priority="4945">
      <formula>$A103=$AB$9</formula>
    </cfRule>
  </conditionalFormatting>
  <conditionalFormatting sqref="Y134:Z134">
    <cfRule type="expression" priority="4947">
      <formula>$A104=$AB$9</formula>
    </cfRule>
  </conditionalFormatting>
  <conditionalFormatting sqref="Z133">
    <cfRule type="expression" dxfId="24" priority="4951">
      <formula>A101=$AB$9</formula>
    </cfRule>
  </conditionalFormatting>
  <conditionalFormatting sqref="Y133:Z133">
    <cfRule type="expression" priority="4953">
      <formula>$A104=$AB$9</formula>
    </cfRule>
  </conditionalFormatting>
  <conditionalFormatting sqref="Z132">
    <cfRule type="expression" dxfId="23" priority="4957">
      <formula>A101=$AB$9</formula>
    </cfRule>
  </conditionalFormatting>
  <conditionalFormatting sqref="Y132:Z132">
    <cfRule type="expression" priority="4959">
      <formula>$A104=$AB$9</formula>
    </cfRule>
  </conditionalFormatting>
  <conditionalFormatting sqref="Z131">
    <cfRule type="expression" dxfId="22" priority="4963">
      <formula>A101=$AB$9</formula>
    </cfRule>
  </conditionalFormatting>
  <conditionalFormatting sqref="Y131:Z131">
    <cfRule type="expression" priority="4965">
      <formula>$A104=$AB$9</formula>
    </cfRule>
  </conditionalFormatting>
  <conditionalFormatting sqref="Z130">
    <cfRule type="expression" dxfId="21" priority="4969">
      <formula>A101=$AB$9</formula>
    </cfRule>
  </conditionalFormatting>
  <conditionalFormatting sqref="Y130:Z130">
    <cfRule type="expression" priority="4971">
      <formula>$A104=$AB$9</formula>
    </cfRule>
  </conditionalFormatting>
  <conditionalFormatting sqref="Z129">
    <cfRule type="expression" dxfId="20" priority="4975">
      <formula>A101=$AB$9</formula>
    </cfRule>
  </conditionalFormatting>
  <conditionalFormatting sqref="Z154">
    <cfRule type="expression" dxfId="19" priority="4996">
      <formula>A105=$AB$9</formula>
    </cfRule>
  </conditionalFormatting>
  <conditionalFormatting sqref="Z153">
    <cfRule type="expression" dxfId="18" priority="5006">
      <formula>A105=$AB$9</formula>
    </cfRule>
  </conditionalFormatting>
  <conditionalFormatting sqref="Z152">
    <cfRule type="expression" dxfId="17" priority="5016">
      <formula>A105=$AB$9</formula>
    </cfRule>
  </conditionalFormatting>
  <conditionalFormatting sqref="Z151">
    <cfRule type="expression" dxfId="16" priority="5026">
      <formula>A105=$AB$9</formula>
    </cfRule>
  </conditionalFormatting>
  <conditionalFormatting sqref="Z150">
    <cfRule type="expression" dxfId="15" priority="5036">
      <formula>A105=$AB$9</formula>
    </cfRule>
  </conditionalFormatting>
  <conditionalFormatting sqref="Z149">
    <cfRule type="expression" dxfId="14" priority="5046">
      <formula>A105=$AB$9</formula>
    </cfRule>
  </conditionalFormatting>
  <conditionalFormatting sqref="Z148">
    <cfRule type="expression" dxfId="13" priority="5056">
      <formula>A105=$AB$9</formula>
    </cfRule>
  </conditionalFormatting>
  <conditionalFormatting sqref="Z147">
    <cfRule type="expression" dxfId="12" priority="5066">
      <formula>A105=$AB$9</formula>
    </cfRule>
  </conditionalFormatting>
  <conditionalFormatting sqref="Z146">
    <cfRule type="expression" dxfId="11" priority="5076">
      <formula>A105=$AB$9</formula>
    </cfRule>
  </conditionalFormatting>
  <conditionalFormatting sqref="Z145">
    <cfRule type="expression" dxfId="10" priority="5086">
      <formula>A105=$AB$9</formula>
    </cfRule>
  </conditionalFormatting>
  <conditionalFormatting sqref="Z144">
    <cfRule type="expression" dxfId="9" priority="5096">
      <formula>A105=$AB$9</formula>
    </cfRule>
  </conditionalFormatting>
  <conditionalFormatting sqref="Z143">
    <cfRule type="expression" dxfId="8" priority="5106">
      <formula>A105=$AB$9</formula>
    </cfRule>
  </conditionalFormatting>
  <conditionalFormatting sqref="Z142">
    <cfRule type="expression" dxfId="7" priority="5116">
      <formula>A105=$AB$9</formula>
    </cfRule>
  </conditionalFormatting>
  <conditionalFormatting sqref="Y123:Z123">
    <cfRule type="expression" priority="5124">
      <formula>$A155=$AB$9</formula>
    </cfRule>
  </conditionalFormatting>
  <conditionalFormatting sqref="Y124:Z124">
    <cfRule type="expression" priority="5128">
      <formula>$A174=$AB$9</formula>
    </cfRule>
  </conditionalFormatting>
  <conditionalFormatting sqref="Y201:Z201">
    <cfRule type="expression" priority="5131">
      <formula>$A216=$AB$9</formula>
    </cfRule>
  </conditionalFormatting>
  <conditionalFormatting sqref="Y200:Z200">
    <cfRule type="expression" priority="5140">
      <formula>$A216=$AB$9</formula>
    </cfRule>
  </conditionalFormatting>
  <conditionalFormatting sqref="Y199:Z199">
    <cfRule type="expression" priority="5149">
      <formula>$A216=$AB$9</formula>
    </cfRule>
  </conditionalFormatting>
  <conditionalFormatting sqref="Y198:Z198">
    <cfRule type="expression" priority="5158">
      <formula>$A216=$AB$9</formula>
    </cfRule>
  </conditionalFormatting>
  <conditionalFormatting sqref="Y196:Z197">
    <cfRule type="expression" priority="5167">
      <formula>$A216=$AB$9</formula>
    </cfRule>
  </conditionalFormatting>
  <conditionalFormatting sqref="Y193:Z193">
    <cfRule type="expression" priority="5170">
      <formula>$A217=$AB$9</formula>
    </cfRule>
  </conditionalFormatting>
  <conditionalFormatting sqref="Y192:Z192">
    <cfRule type="expression" priority="5180">
      <formula>$A217=$AB$9</formula>
    </cfRule>
  </conditionalFormatting>
  <conditionalFormatting sqref="Y174:Z188">
    <cfRule type="expression" priority="5183">
      <formula>$A202=$AB$9</formula>
    </cfRule>
  </conditionalFormatting>
  <conditionalFormatting sqref="Y66:Z68">
    <cfRule type="expression" dxfId="6" priority="5401">
      <formula>OR($A1=$AB$9,$A1=#REF!,$A1=$AB$17, $A1=$AB$19,$A1=#REF!, $A1=$AB$22)</formula>
    </cfRule>
  </conditionalFormatting>
  <conditionalFormatting sqref="Y65:Z65">
    <cfRule type="expression" dxfId="5" priority="5402">
      <formula>OR($A2=$AB$9,$A2=#REF!,$A2=$AB$17, $A2=$AB$19,$A2=#REF!, $A2=$AB$22)</formula>
    </cfRule>
  </conditionalFormatting>
  <conditionalFormatting sqref="Y8">
    <cfRule type="expression" dxfId="4" priority="5403">
      <formula>OR(A1=$AB$9,A1=#REF!,A1=$AB$17,A1=$AB$19, A1=#REF!, A1=$AB$22)</formula>
    </cfRule>
  </conditionalFormatting>
  <conditionalFormatting sqref="Z43">
    <cfRule type="expression" dxfId="3" priority="5404">
      <formula>OR(A1=$AB$9, A1=#REF!, A1=$AB$17, A1=$AB$19, A1=#REF!, A1=$AB$22)</formula>
    </cfRule>
  </conditionalFormatting>
  <conditionalFormatting sqref="Y12:Z12">
    <cfRule type="expression" dxfId="2" priority="5405">
      <formula>OR(#REF!=$AB$9,#REF!=#REF!,#REF!=$AB$17, #REF!=$AB$19,#REF!=#REF!, #REF!=$AB$22)</formula>
    </cfRule>
  </conditionalFormatting>
  <conditionalFormatting sqref="Z9:Z10">
    <cfRule type="expression" dxfId="1" priority="5406">
      <formula>OR(#REF!=$AB$9,#REF!=#REF!,#REF!=$AB$17, #REF!=$AB$19,#REF!=#REF!, #REF!=$AB$22)</formula>
    </cfRule>
  </conditionalFormatting>
  <conditionalFormatting sqref="Y7:Z8">
    <cfRule type="expression" dxfId="0" priority="5407">
      <formula>OR(#REF!=$AB$9,#REF!=#REF!,#REF!=$AB$17, #REF!=$AB$19,#REF!=#REF!, #REF!=$AB$22)</formula>
    </cfRule>
  </conditionalFormatting>
  <conditionalFormatting sqref="Y85:Z87">
    <cfRule type="expression" priority="5410">
      <formula>$A91=$AB$9</formula>
    </cfRule>
  </conditionalFormatting>
  <conditionalFormatting sqref="Y41:Z41">
    <cfRule type="expression" priority="5414">
      <formula>$A88=$AB$9</formula>
    </cfRule>
  </conditionalFormatting>
  <conditionalFormatting sqref="Y29:Z38">
    <cfRule type="expression" priority="5417">
      <formula>$A88=$AB$9</formula>
    </cfRule>
  </conditionalFormatting>
  <hyperlinks>
    <hyperlink ref="Q7" r:id="rId1" xr:uid="{00000000-0004-0000-0500-000000000000}"/>
  </hyperlinks>
  <pageMargins left="0.7" right="0.7" top="0.75" bottom="0.75" header="0.3" footer="0.3"/>
  <pageSetup scale="27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841806FBF6548AAF6655D25087CF4" ma:contentTypeVersion="6" ma:contentTypeDescription="Create a new document." ma:contentTypeScope="" ma:versionID="6e5dee25ead112dafde2ad16e1f2691b">
  <xsd:schema xmlns:xsd="http://www.w3.org/2001/XMLSchema" xmlns:xs="http://www.w3.org/2001/XMLSchema" xmlns:p="http://schemas.microsoft.com/office/2006/metadata/properties" xmlns:ns2="015fe376-55b6-46ec-ba2b-102320879b19" xmlns:ns3="cbddf734-021f-4629-a1ca-360fa2de26cd" targetNamespace="http://schemas.microsoft.com/office/2006/metadata/properties" ma:root="true" ma:fieldsID="9c3dba584972565e187d2562ed012204" ns2:_="" ns3:_="">
    <xsd:import namespace="015fe376-55b6-46ec-ba2b-102320879b19"/>
    <xsd:import namespace="cbddf734-021f-4629-a1ca-360fa2de26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fe376-55b6-46ec-ba2b-102320879b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df734-021f-4629-a1ca-360fa2de26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4D94B-6587-416D-A387-675A28B8A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9FCF9A-26F7-4BA0-ACE8-63D4EB2665F4}">
  <ds:schemaRefs>
    <ds:schemaRef ds:uri="http://schemas.microsoft.com/office/infopath/2007/PartnerControls"/>
    <ds:schemaRef ds:uri="http://purl.org/dc/elements/1.1/"/>
    <ds:schemaRef ds:uri="5c2490db-6e42-4989-a0fb-d6ff54a6a7d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55894003-98dc-4f3e-8669-85b90bdbcc8c"/>
    <ds:schemaRef ds:uri="d0706217-df7c-4bf4-936d-b09aa3b837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199A08-3CCE-4E7A-BEBE-685FBFF50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5fe376-55b6-46ec-ba2b-102320879b19"/>
    <ds:schemaRef ds:uri="cbddf734-021f-4629-a1ca-360fa2de26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26</vt:i4>
      </vt:variant>
    </vt:vector>
  </HeadingPairs>
  <TitlesOfParts>
    <vt:vector size="32" baseType="lpstr">
      <vt:lpstr>Cover Page and Instructions</vt:lpstr>
      <vt:lpstr>CCE Options Summary</vt:lpstr>
      <vt:lpstr>Option A_CCE Model selection</vt:lpstr>
      <vt:lpstr>Option B_CCE Model selection</vt:lpstr>
      <vt:lpstr>Option C_CCE Model selection</vt:lpstr>
      <vt:lpstr>Specified CCE Model Price List</vt:lpstr>
      <vt:lpstr>_1.Walkincoldrooms</vt:lpstr>
      <vt:lpstr>_10.OffgridSDDfreezer</vt:lpstr>
      <vt:lpstr>_11.Temperaturemonitoringdevice_30DTR</vt:lpstr>
      <vt:lpstr>_12.Remotetemperaturemonitoringdevices_RTMDs</vt:lpstr>
      <vt:lpstr>_13.Standardvaccinecarriers</vt:lpstr>
      <vt:lpstr>_14.Freezefreevaccinecarriers</vt:lpstr>
      <vt:lpstr>_15.Standardvaccinecoldboxes</vt:lpstr>
      <vt:lpstr>_16.Freezefreecoldboxes</vt:lpstr>
      <vt:lpstr>_17.Voltageregulatorsforequipment</vt:lpstr>
      <vt:lpstr>_18.Icepacks</vt:lpstr>
      <vt:lpstr>_19.SparepartsfornewILRequipmentwithoutfreezer</vt:lpstr>
      <vt:lpstr>_2.Walkincoldroomswithfreezers</vt:lpstr>
      <vt:lpstr>_20.SparepartsfornewILRequipmentwithfreezer</vt:lpstr>
      <vt:lpstr>_21.Sparepartsfornewfreezerequipment</vt:lpstr>
      <vt:lpstr>_22.SparepartsfornewSDDwithoutfreezercomp.</vt:lpstr>
      <vt:lpstr>_23.SparepartsfornewSDDwithfreezercomp.</vt:lpstr>
      <vt:lpstr>_24.SparepartsfornewSDDfreezer</vt:lpstr>
      <vt:lpstr>_3.ShorttermleaseforWalkincoldrooms</vt:lpstr>
      <vt:lpstr>_4.LeasingWalkincoldroomsorfreezerroom</vt:lpstr>
      <vt:lpstr>_5.OngridILR_withoutfreezercomp.</vt:lpstr>
      <vt:lpstr>_6.OngridILR_withfreezercomp.</vt:lpstr>
      <vt:lpstr>_7.Ongridfreezers</vt:lpstr>
      <vt:lpstr>_8.OffgridSDDrefrigerators_withoutfreezercomp.</vt:lpstr>
      <vt:lpstr>_9.OffgridSDDrefrigerators_withfreezercomp.</vt:lpstr>
      <vt:lpstr>equipmentwithnoservicecost</vt:lpstr>
      <vt:lpstr>typeofequipment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szaidi@gavi.org</dc:creator>
  <cp:lastModifiedBy>CHAI</cp:lastModifiedBy>
  <cp:lastPrinted>2017-03-23T16:57:40Z</cp:lastPrinted>
  <dcterms:created xsi:type="dcterms:W3CDTF">2017-03-23T13:52:16Z</dcterms:created>
  <dcterms:modified xsi:type="dcterms:W3CDTF">2021-02-11T15:40:01Z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957285-7815-485a-9751-5b273b784ad5_Enabled">
    <vt:lpwstr>true</vt:lpwstr>
  </property>
  <property fmtid="{D5CDD505-2E9C-101B-9397-08002B2CF9AE}" pid="3" name="MSIP_Label_0a957285-7815-485a-9751-5b273b784ad5_SetDate">
    <vt:lpwstr>2019-12-17T14:07:20Z</vt:lpwstr>
  </property>
  <property fmtid="{D5CDD505-2E9C-101B-9397-08002B2CF9AE}" pid="4" name="MSIP_Label_0a957285-7815-485a-9751-5b273b784ad5_Method">
    <vt:lpwstr>Privileged</vt:lpwstr>
  </property>
  <property fmtid="{D5CDD505-2E9C-101B-9397-08002B2CF9AE}" pid="5" name="MSIP_Label_0a957285-7815-485a-9751-5b273b784ad5_Name">
    <vt:lpwstr>0a957285-7815-485a-9751-5b273b784ad5</vt:lpwstr>
  </property>
  <property fmtid="{D5CDD505-2E9C-101B-9397-08002B2CF9AE}" pid="6" name="MSIP_Label_0a957285-7815-485a-9751-5b273b784ad5_SiteId">
    <vt:lpwstr>1de6d9f3-0daf-4df6-b9d6-5959f16f6118</vt:lpwstr>
  </property>
  <property fmtid="{D5CDD505-2E9C-101B-9397-08002B2CF9AE}" pid="7" name="MSIP_Label_0a957285-7815-485a-9751-5b273b784ad5_ActionId">
    <vt:lpwstr>fe98bf14-763a-48ce-b8a4-0000f0ac0507</vt:lpwstr>
  </property>
  <property fmtid="{D5CDD505-2E9C-101B-9397-08002B2CF9AE}" pid="8" name="MSIP_Label_0a957285-7815-485a-9751-5b273b784ad5_ContentBits">
    <vt:lpwstr>0</vt:lpwstr>
  </property>
  <property fmtid="{D5CDD505-2E9C-101B-9397-08002B2CF9AE}" pid="9" name="ContentTypeId">
    <vt:lpwstr>0x010100307841806FBF6548AAF6655D25087CF4</vt:lpwstr>
  </property>
  <property fmtid="{D5CDD505-2E9C-101B-9397-08002B2CF9AE}" pid="10" name="TaxKeyword">
    <vt:lpwstr/>
  </property>
  <property fmtid="{D5CDD505-2E9C-101B-9397-08002B2CF9AE}" pid="11" name="TaxKeywordTaxHTField">
    <vt:lpwstr/>
  </property>
  <property fmtid="{D5CDD505-2E9C-101B-9397-08002B2CF9AE}" pid="12" name="_dlc_DocIdItemGuid">
    <vt:lpwstr>63da3fef-2b4d-4568-a0a9-b5270c0ca81d</vt:lpwstr>
  </property>
</Properties>
</file>