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0/Q3-2020/"/>
    </mc:Choice>
  </mc:AlternateContent>
  <xr:revisionPtr revIDLastSave="0" documentId="8_{99352015-53A7-43E9-B77E-C779A8B45996}" xr6:coauthVersionLast="45" xr6:coauthVersionMax="45" xr10:uidLastSave="{00000000-0000-0000-0000-000000000000}"/>
  <bookViews>
    <workbookView xWindow="-120" yWindow="-120" windowWidth="29040" windowHeight="15840" xr2:uid="{00000000-000D-0000-FFFF-FFFF00000000}"/>
  </bookViews>
  <sheets>
    <sheet name="2000-2020 Cash Receipts" sheetId="5" r:id="rId1"/>
  </sheets>
  <definedNames>
    <definedName name="_xlnm.Print_Area" localSheetId="0">'2000-2020 Cash Receipts'!$A$1:$AD$85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82" i="5" l="1"/>
  <c r="AD79" i="5"/>
  <c r="AD78" i="5"/>
  <c r="AB80" i="5"/>
  <c r="AB83" i="5"/>
  <c r="AB85" i="5" s="1"/>
  <c r="AB82" i="5"/>
  <c r="U82" i="5"/>
  <c r="AB79" i="5"/>
  <c r="AB78" i="5"/>
  <c r="U85" i="5"/>
  <c r="U83" i="5"/>
  <c r="U80" i="5"/>
  <c r="U79" i="5"/>
  <c r="U78" i="5"/>
  <c r="AD62" i="5"/>
  <c r="AD61" i="5"/>
  <c r="AD56" i="5"/>
  <c r="AD55" i="5"/>
  <c r="AD54" i="5"/>
  <c r="AD53" i="5"/>
  <c r="AD52" i="5"/>
  <c r="AD51" i="5"/>
  <c r="AD50" i="5"/>
  <c r="AD49" i="5"/>
  <c r="AD48" i="5"/>
  <c r="AD47" i="5"/>
  <c r="AD46" i="5"/>
  <c r="AD45" i="5"/>
  <c r="AD44" i="5"/>
  <c r="AD43" i="5"/>
  <c r="AD42" i="5"/>
  <c r="AD41" i="5"/>
  <c r="AD40" i="5"/>
  <c r="AD39" i="5"/>
  <c r="AD38" i="5"/>
  <c r="AD37" i="5"/>
  <c r="AD34" i="5"/>
  <c r="AD33" i="5"/>
  <c r="AD32" i="5"/>
  <c r="AD30" i="5"/>
  <c r="AD29" i="5"/>
  <c r="AD28" i="5"/>
  <c r="AD27" i="5"/>
  <c r="AD26" i="5"/>
  <c r="AD25" i="5"/>
  <c r="AD24" i="5"/>
  <c r="AD23" i="5"/>
  <c r="AD22" i="5"/>
  <c r="AD21" i="5"/>
  <c r="AD20" i="5"/>
  <c r="AD19" i="5"/>
  <c r="AD18" i="5"/>
  <c r="AD17" i="5"/>
  <c r="AD16" i="5"/>
  <c r="AD15" i="5"/>
  <c r="AD14" i="5"/>
  <c r="AD13" i="5"/>
  <c r="AD12" i="5"/>
  <c r="AD11" i="5"/>
  <c r="AD10" i="5"/>
  <c r="AD9" i="5"/>
  <c r="AD8" i="5"/>
  <c r="AD7" i="5"/>
  <c r="AB35" i="5"/>
  <c r="AB59" i="5" s="1"/>
  <c r="AB64" i="5" s="1"/>
  <c r="AB57" i="5"/>
  <c r="AB62" i="5"/>
  <c r="AB61" i="5"/>
  <c r="AB56" i="5"/>
  <c r="AB55" i="5"/>
  <c r="AB54" i="5"/>
  <c r="AB53" i="5"/>
  <c r="AB52" i="5"/>
  <c r="AB51" i="5"/>
  <c r="AB50" i="5"/>
  <c r="AB49" i="5"/>
  <c r="AB48" i="5"/>
  <c r="AB47" i="5"/>
  <c r="AB46" i="5"/>
  <c r="AB45" i="5"/>
  <c r="AB44" i="5"/>
  <c r="AB43" i="5"/>
  <c r="AB42" i="5"/>
  <c r="AB41" i="5"/>
  <c r="AB40" i="5"/>
  <c r="AB39" i="5"/>
  <c r="AB38" i="5"/>
  <c r="AB37" i="5"/>
  <c r="AB34" i="5"/>
  <c r="AB33" i="5"/>
  <c r="AB32" i="5"/>
  <c r="AB31" i="5"/>
  <c r="AB30" i="5"/>
  <c r="AB29" i="5"/>
  <c r="AB28" i="5"/>
  <c r="AB27" i="5"/>
  <c r="AB26" i="5"/>
  <c r="AB25" i="5"/>
  <c r="AB24" i="5"/>
  <c r="AB23" i="5"/>
  <c r="AB22" i="5"/>
  <c r="AB21" i="5"/>
  <c r="AB20" i="5"/>
  <c r="AB19" i="5"/>
  <c r="AB18" i="5"/>
  <c r="AB17" i="5"/>
  <c r="AB16" i="5"/>
  <c r="AB15" i="5"/>
  <c r="AB14" i="5"/>
  <c r="AB13" i="5"/>
  <c r="AB12" i="5"/>
  <c r="AB11" i="5"/>
  <c r="AB10" i="5"/>
  <c r="AB9" i="5"/>
  <c r="AB8" i="5"/>
  <c r="AB7" i="5"/>
  <c r="U57" i="5"/>
  <c r="U62" i="5"/>
  <c r="U61" i="5"/>
  <c r="U56" i="5"/>
  <c r="U55" i="5"/>
  <c r="U54" i="5"/>
  <c r="U53" i="5"/>
  <c r="U52" i="5"/>
  <c r="U51" i="5"/>
  <c r="U50" i="5"/>
  <c r="U49" i="5"/>
  <c r="U48" i="5"/>
  <c r="U47" i="5"/>
  <c r="U46" i="5"/>
  <c r="U45" i="5"/>
  <c r="U44" i="5"/>
  <c r="U43" i="5"/>
  <c r="U42" i="5"/>
  <c r="U41" i="5"/>
  <c r="U40" i="5"/>
  <c r="U39" i="5"/>
  <c r="U38" i="5"/>
  <c r="U37" i="5"/>
  <c r="U34" i="5"/>
  <c r="U33" i="5"/>
  <c r="U32" i="5"/>
  <c r="U31" i="5"/>
  <c r="AD31" i="5" s="1"/>
  <c r="U30" i="5"/>
  <c r="U29" i="5"/>
  <c r="U28" i="5"/>
  <c r="U27" i="5"/>
  <c r="U26" i="5"/>
  <c r="U25" i="5"/>
  <c r="U24" i="5"/>
  <c r="U23" i="5"/>
  <c r="U22" i="5"/>
  <c r="U21" i="5"/>
  <c r="U20" i="5"/>
  <c r="U19" i="5"/>
  <c r="U18" i="5"/>
  <c r="U17" i="5"/>
  <c r="U16" i="5"/>
  <c r="U15" i="5"/>
  <c r="U14" i="5"/>
  <c r="U13" i="5"/>
  <c r="U12" i="5"/>
  <c r="U11" i="5"/>
  <c r="U10" i="5"/>
  <c r="U9" i="5"/>
  <c r="U8" i="5"/>
  <c r="U7" i="5"/>
  <c r="N57" i="5"/>
  <c r="N62" i="5"/>
  <c r="N61" i="5"/>
  <c r="N56" i="5"/>
  <c r="N55" i="5"/>
  <c r="N54" i="5"/>
  <c r="N53" i="5"/>
  <c r="N52" i="5"/>
  <c r="N51" i="5"/>
  <c r="N50" i="5"/>
  <c r="N49" i="5"/>
  <c r="N48" i="5"/>
  <c r="N47" i="5"/>
  <c r="N46" i="5"/>
  <c r="N45" i="5"/>
  <c r="N44" i="5"/>
  <c r="N43" i="5"/>
  <c r="N42" i="5"/>
  <c r="N41" i="5"/>
  <c r="N40" i="5"/>
  <c r="N39" i="5"/>
  <c r="N38" i="5"/>
  <c r="N37" i="5"/>
  <c r="N35" i="5"/>
  <c r="N59" i="5" s="1"/>
  <c r="N64" i="5" s="1"/>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U35" i="5" l="1"/>
  <c r="U59" i="5" s="1"/>
  <c r="U64" i="5" s="1"/>
  <c r="AA83" i="5" l="1"/>
  <c r="Z83" i="5"/>
  <c r="Y83" i="5"/>
  <c r="X83" i="5"/>
  <c r="W83" i="5"/>
  <c r="T83" i="5"/>
  <c r="AD83" i="5"/>
  <c r="AA80" i="5"/>
  <c r="Z80" i="5"/>
  <c r="Y80" i="5"/>
  <c r="Y85" i="5" s="1"/>
  <c r="X80" i="5"/>
  <c r="X85" i="5" s="1"/>
  <c r="W80" i="5"/>
  <c r="T80" i="5"/>
  <c r="S80" i="5"/>
  <c r="S85" i="5" s="1"/>
  <c r="Z62" i="5"/>
  <c r="Y62" i="5"/>
  <c r="X62" i="5"/>
  <c r="W62" i="5"/>
  <c r="T62" i="5"/>
  <c r="S62" i="5"/>
  <c r="P62" i="5"/>
  <c r="Z61" i="5"/>
  <c r="AF57" i="5"/>
  <c r="AF59" i="5" s="1"/>
  <c r="AA57" i="5"/>
  <c r="R57" i="5"/>
  <c r="Q57" i="5"/>
  <c r="P57" i="5"/>
  <c r="P59" i="5" s="1"/>
  <c r="P64" i="5" s="1"/>
  <c r="M57" i="5"/>
  <c r="L57" i="5"/>
  <c r="K57" i="5"/>
  <c r="J57" i="5"/>
  <c r="I57" i="5"/>
  <c r="H57" i="5"/>
  <c r="G57" i="5"/>
  <c r="F57" i="5"/>
  <c r="F59" i="5" s="1"/>
  <c r="F64" i="5" s="1"/>
  <c r="E57" i="5"/>
  <c r="D57" i="5"/>
  <c r="C57" i="5"/>
  <c r="Z56" i="5"/>
  <c r="AH56" i="5" s="1"/>
  <c r="AH55" i="5"/>
  <c r="AH54" i="5"/>
  <c r="AH53" i="5"/>
  <c r="AH52" i="5"/>
  <c r="AH51" i="5"/>
  <c r="Y51" i="5"/>
  <c r="W51" i="5"/>
  <c r="AH50" i="5"/>
  <c r="AH49" i="5"/>
  <c r="AH48" i="5"/>
  <c r="X48" i="5"/>
  <c r="W48" i="5"/>
  <c r="T48" i="5"/>
  <c r="S48" i="5"/>
  <c r="AH47" i="5"/>
  <c r="AH46" i="5"/>
  <c r="Z46" i="5"/>
  <c r="Y46" i="5"/>
  <c r="X46" i="5"/>
  <c r="W46" i="5"/>
  <c r="T46" i="5"/>
  <c r="S46" i="5"/>
  <c r="AH45" i="5"/>
  <c r="Z45" i="5"/>
  <c r="Y45" i="5"/>
  <c r="X45" i="5"/>
  <c r="W45" i="5"/>
  <c r="AH44" i="5"/>
  <c r="AH43" i="5"/>
  <c r="S43" i="5"/>
  <c r="X42" i="5"/>
  <c r="W42" i="5"/>
  <c r="T42" i="5"/>
  <c r="T57" i="5" s="1"/>
  <c r="S42" i="5"/>
  <c r="S57" i="5" s="1"/>
  <c r="AH41" i="5"/>
  <c r="S40" i="5"/>
  <c r="AH40" i="5" s="1"/>
  <c r="Z39" i="5"/>
  <c r="Y39" i="5"/>
  <c r="Y57" i="5" s="1"/>
  <c r="X39" i="5"/>
  <c r="X57" i="5" s="1"/>
  <c r="W39" i="5"/>
  <c r="W57" i="5" s="1"/>
  <c r="S39" i="5"/>
  <c r="AH38" i="5"/>
  <c r="Z37" i="5"/>
  <c r="AF35" i="5"/>
  <c r="W35" i="5"/>
  <c r="T35" i="5"/>
  <c r="R35" i="5"/>
  <c r="Q35" i="5"/>
  <c r="P35" i="5"/>
  <c r="M35" i="5"/>
  <c r="L35" i="5"/>
  <c r="K35" i="5"/>
  <c r="J35" i="5"/>
  <c r="I35" i="5"/>
  <c r="H35" i="5"/>
  <c r="G35" i="5"/>
  <c r="F35" i="5"/>
  <c r="E35" i="5"/>
  <c r="D35" i="5"/>
  <c r="C35" i="5"/>
  <c r="AH34" i="5"/>
  <c r="Y33" i="5"/>
  <c r="T33" i="5"/>
  <c r="AH33" i="5" s="1"/>
  <c r="AH32" i="5"/>
  <c r="AH31" i="5"/>
  <c r="Z31" i="5"/>
  <c r="AH30" i="5"/>
  <c r="Z29" i="5"/>
  <c r="Y29" i="5"/>
  <c r="AH29" i="5" s="1"/>
  <c r="X29" i="5"/>
  <c r="AH28" i="5"/>
  <c r="AH27" i="5"/>
  <c r="AH26" i="5"/>
  <c r="Z25" i="5"/>
  <c r="Y25" i="5"/>
  <c r="X25" i="5"/>
  <c r="S25" i="5"/>
  <c r="AH25" i="5" s="1"/>
  <c r="AH24" i="5"/>
  <c r="Z24" i="5"/>
  <c r="Y24" i="5"/>
  <c r="X24" i="5"/>
  <c r="AH23" i="5"/>
  <c r="AH22" i="5"/>
  <c r="AH21" i="5"/>
  <c r="AH20" i="5"/>
  <c r="AA19" i="5"/>
  <c r="Z19" i="5"/>
  <c r="Y19" i="5"/>
  <c r="X19" i="5"/>
  <c r="AH19" i="5" s="1"/>
  <c r="AH18" i="5"/>
  <c r="AH17" i="5"/>
  <c r="Z16" i="5"/>
  <c r="S16" i="5"/>
  <c r="AH16" i="5" s="1"/>
  <c r="AH15" i="5"/>
  <c r="AA14" i="5"/>
  <c r="AA35" i="5" s="1"/>
  <c r="AA59" i="5" s="1"/>
  <c r="AA64" i="5" s="1"/>
  <c r="Z14" i="5"/>
  <c r="Y14" i="5"/>
  <c r="X14" i="5"/>
  <c r="AH14" i="5" s="1"/>
  <c r="T14" i="5"/>
  <c r="S14" i="5"/>
  <c r="AH13" i="5"/>
  <c r="Z12" i="5"/>
  <c r="Y12" i="5"/>
  <c r="Y35" i="5" s="1"/>
  <c r="AH11" i="5"/>
  <c r="AH10" i="5"/>
  <c r="AH9" i="5"/>
  <c r="AH8" i="5"/>
  <c r="X8" i="5"/>
  <c r="S8" i="5"/>
  <c r="Z7" i="5"/>
  <c r="Z35" i="5" s="1"/>
  <c r="X7" i="5"/>
  <c r="X35" i="5" s="1"/>
  <c r="S7" i="5"/>
  <c r="S35" i="5" s="1"/>
  <c r="S59" i="5" s="1"/>
  <c r="S64" i="5" s="1"/>
  <c r="W85" i="5" l="1"/>
  <c r="AD80" i="5"/>
  <c r="AD85" i="5" s="1"/>
  <c r="AA85" i="5"/>
  <c r="J59" i="5"/>
  <c r="J64" i="5" s="1"/>
  <c r="M59" i="5"/>
  <c r="M64" i="5" s="1"/>
  <c r="T85" i="5"/>
  <c r="Z85" i="5"/>
  <c r="K59" i="5"/>
  <c r="K64" i="5" s="1"/>
  <c r="C59" i="5"/>
  <c r="C64" i="5" s="1"/>
  <c r="G59" i="5"/>
  <c r="G64" i="5" s="1"/>
  <c r="Q59" i="5"/>
  <c r="Q64" i="5" s="1"/>
  <c r="L59" i="5"/>
  <c r="L64" i="5" s="1"/>
  <c r="H59" i="5"/>
  <c r="H64" i="5" s="1"/>
  <c r="R59" i="5"/>
  <c r="R64" i="5" s="1"/>
  <c r="D59" i="5"/>
  <c r="D64" i="5" s="1"/>
  <c r="I59" i="5"/>
  <c r="I64" i="5" s="1"/>
  <c r="E59" i="5"/>
  <c r="E64" i="5" s="1"/>
  <c r="AH37" i="5"/>
  <c r="W59" i="5"/>
  <c r="W64" i="5" s="1"/>
  <c r="T59" i="5"/>
  <c r="T64" i="5" s="1"/>
  <c r="X59" i="5"/>
  <c r="X64" i="5" s="1"/>
  <c r="Y59" i="5"/>
  <c r="Y64" i="5" s="1"/>
  <c r="AH39" i="5"/>
  <c r="Z57" i="5"/>
  <c r="Z59" i="5" s="1"/>
  <c r="Z64" i="5" s="1"/>
  <c r="AH12" i="5"/>
  <c r="AH42" i="5"/>
  <c r="AD57" i="5" l="1"/>
  <c r="AH57" i="5"/>
  <c r="AH7" i="5"/>
  <c r="AH35" i="5" s="1"/>
  <c r="AD35" i="5"/>
  <c r="AH59" i="5" l="1"/>
  <c r="AD59" i="5"/>
  <c r="AD64" i="5" s="1"/>
</calcChain>
</file>

<file path=xl/sharedStrings.xml><?xml version="1.0" encoding="utf-8"?>
<sst xmlns="http://schemas.openxmlformats.org/spreadsheetml/2006/main" count="82" uniqueCount="70">
  <si>
    <t>Cash Received by Gavi</t>
  </si>
  <si>
    <t>in US$ millions</t>
  </si>
  <si>
    <t>Australia</t>
  </si>
  <si>
    <t>Canada</t>
  </si>
  <si>
    <t>China</t>
  </si>
  <si>
    <t>Denmark</t>
  </si>
  <si>
    <t>European Commission (EC)</t>
  </si>
  <si>
    <t>France</t>
  </si>
  <si>
    <t>Germany</t>
  </si>
  <si>
    <t>Iceland</t>
  </si>
  <si>
    <t>India</t>
  </si>
  <si>
    <t>Ireland</t>
  </si>
  <si>
    <t>Italy</t>
  </si>
  <si>
    <t>Japan</t>
  </si>
  <si>
    <t>Luxembourg</t>
  </si>
  <si>
    <t>Monaco</t>
  </si>
  <si>
    <t>Netherlands</t>
  </si>
  <si>
    <t xml:space="preserve">Norway </t>
  </si>
  <si>
    <t>Oman</t>
  </si>
  <si>
    <t>Qatar</t>
  </si>
  <si>
    <t>Republic of Korea</t>
  </si>
  <si>
    <t>Saudi Arabia</t>
  </si>
  <si>
    <t>Spain</t>
  </si>
  <si>
    <t xml:space="preserve">Sweden </t>
  </si>
  <si>
    <t>Switzerland</t>
  </si>
  <si>
    <t>United Kingdom</t>
  </si>
  <si>
    <t>United States</t>
  </si>
  <si>
    <t>Donor Governments and EC</t>
  </si>
  <si>
    <t>Alwaleed Philanthropies</t>
  </si>
  <si>
    <t>Bill &amp; Melinda Gates Foundation</t>
  </si>
  <si>
    <t>China Merchants Charitable Foundation</t>
  </si>
  <si>
    <t>Comic Relief</t>
  </si>
  <si>
    <t>ELMA Vaccines and Immunization Foundation</t>
  </si>
  <si>
    <t>"la Caixa" Foundation</t>
  </si>
  <si>
    <t>LDS Charities</t>
  </si>
  <si>
    <t>Lions Club International (LCIF)</t>
  </si>
  <si>
    <t>OPEC Fund for International Development (OFID)</t>
  </si>
  <si>
    <t>Reckitt Benckiser Group</t>
  </si>
  <si>
    <t>Red Nose Day Fund</t>
  </si>
  <si>
    <t>Private Contributions</t>
  </si>
  <si>
    <t>Sub-total</t>
  </si>
  <si>
    <t>Total contributions</t>
  </si>
  <si>
    <r>
      <t xml:space="preserve">Cash Received by Gavi </t>
    </r>
    <r>
      <rPr>
        <b/>
        <sz val="14"/>
        <color rgb="FF000000"/>
        <rFont val="Calibri"/>
        <family val="2"/>
        <scheme val="minor"/>
      </rPr>
      <t>(in support of Gavi for its role supporting the Polio Eradication and Endgame Strategic Plan 2013-2020)</t>
    </r>
  </si>
  <si>
    <t>Al Ansari Exchange</t>
  </si>
  <si>
    <t>Kuwait</t>
  </si>
  <si>
    <t>Rockefeller Foundation</t>
  </si>
  <si>
    <t>Children’s Investment Fund Foundation (UK)</t>
  </si>
  <si>
    <t>His Highness Sheikh Mohamed bin Zayed Al Nahyan</t>
  </si>
  <si>
    <t>International Federation of Pharmaceutical Wholesalers (IFPW)</t>
  </si>
  <si>
    <t>Mauritius</t>
  </si>
  <si>
    <r>
      <t>Reed Hastings and Patty Quillin</t>
    </r>
    <r>
      <rPr>
        <vertAlign val="superscript"/>
        <sz val="10"/>
        <rFont val="Arial"/>
        <family val="2"/>
      </rPr>
      <t>1</t>
    </r>
  </si>
  <si>
    <t>COVAX AMC</t>
  </si>
  <si>
    <t>Proceeds, as of 30 September 2020</t>
  </si>
  <si>
    <t>Colombia</t>
  </si>
  <si>
    <r>
      <t>Unilever</t>
    </r>
    <r>
      <rPr>
        <vertAlign val="superscript"/>
        <sz val="10"/>
        <rFont val="Arial"/>
        <family val="2"/>
      </rPr>
      <t>1</t>
    </r>
  </si>
  <si>
    <t>TikTok</t>
  </si>
  <si>
    <r>
      <t>Other private</t>
    </r>
    <r>
      <rPr>
        <vertAlign val="superscript"/>
        <sz val="10"/>
        <rFont val="Arial"/>
        <family val="2"/>
      </rPr>
      <t>2</t>
    </r>
  </si>
  <si>
    <r>
      <t>IFFIm Proceeds</t>
    </r>
    <r>
      <rPr>
        <b/>
        <vertAlign val="superscript"/>
        <sz val="10"/>
        <rFont val="Arial"/>
        <family val="2"/>
      </rPr>
      <t>3,4</t>
    </r>
  </si>
  <si>
    <r>
      <t>PCV AMC Proceeds</t>
    </r>
    <r>
      <rPr>
        <b/>
        <vertAlign val="superscript"/>
        <sz val="10"/>
        <rFont val="Arial"/>
        <family val="2"/>
      </rPr>
      <t>5</t>
    </r>
  </si>
  <si>
    <t>1 - Unilever provides resources to Gavi on a leveraged partnership project</t>
  </si>
  <si>
    <t>2 - Includes contributions from: A&amp;A Foundation (US$ 1m), Absolute Return for Kids (US$ 1.6m), Anglo American plc (US$ 3.0m), Dutch Postcode Lottery (US$ 3.2m) and JP Morgan (US$ 2.4m), in addition to other private sector donors (some contributions were initially paid to the GAVI Campaign)</t>
  </si>
  <si>
    <t>3 - IFFIm Proceeds:  cash disbursements from the World Bank: to the GFA (2006-2012), to Gavi (2013-2019)</t>
  </si>
  <si>
    <t>5 - AMC Proceeds: cash transfers from the World Bank to Gavi</t>
  </si>
  <si>
    <t>2000-2010 TOTAL</t>
  </si>
  <si>
    <t>2011-2015 TOTAL</t>
  </si>
  <si>
    <t>2016-2020 TOTAL</t>
  </si>
  <si>
    <t>GRAND TOTAL</t>
  </si>
  <si>
    <t>DONOR</t>
  </si>
  <si>
    <r>
      <t xml:space="preserve">GRAND TOTAL 
</t>
    </r>
    <r>
      <rPr>
        <b/>
        <sz val="9"/>
        <rFont val="Arial"/>
        <family val="2"/>
      </rPr>
      <t>(incl. COVAX AMC)</t>
    </r>
  </si>
  <si>
    <t>4 - On 28-29 November 2018, the Gavi Alliance Board approved Gavi supporting research and development of new vaccines by the Coalition for Epidemic Preparedness Innovations (CEPI), subject to funds being made available by Norway and disbursed via IFFIm. Subsequently, in July 2019, IFFIm raised NOK 600 million (US$ 65.7 million equivalent) to frontload an equivalent IFFIm pledge from Norway to support this initiative. On 26 March 2020, the Gavi Alliance Board approved Gavi supporting research and development of new vaccines by CEPI, subject to funds being made available by Norway and disbursed via IFFIm. Subsequently, in June 2020, IFFIm raised NOK 2 billion (US$ 200.4 million equivalent) to frontload an equivalent IFFIm pledge from Norway to support this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</si>
</sst>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164" formatCode="_-* #,##0.00_-;\-* #,##0.00_-;_-* &quot;-&quot;??_-;_-@_-"/>
    <numFmt numFmtId="165" formatCode="#,##0.0"/>
    <numFmt numFmtId="166" formatCode="_-* #,##0.00\ _€_-;\-* #,##0.00\ _€_-;_-* &quot;-&quot;??\ _€_-;_-@_-"/>
    <numFmt numFmtId="167" formatCode="_-* #,##0_-;\-* #,##0_-;_-* &quot;-&quot;??_-;_-@_-"/>
    <numFmt numFmtId="168" formatCode="#,##0.0000"/>
    <numFmt numFmtId="169" formatCode="0.00000000"/>
    <numFmt numFmtId="170" formatCode="0.0000000"/>
    <numFmt numFmtId="171" formatCode="#,##0.000"/>
  </numFmts>
  <fonts count="20" x14ac:knownFonts="1">
    <font>
      <sz val="10"/>
      <name val="Arial"/>
      <family val="2"/>
    </font>
    <font>
      <sz val="11"/>
      <color theme="1"/>
      <name val="Calibri"/>
      <family val="2"/>
      <scheme val="minor"/>
    </font>
    <font>
      <sz val="11"/>
      <color theme="1"/>
      <name val="Calibri"/>
      <family val="2"/>
      <scheme val="minor"/>
    </font>
    <font>
      <sz val="10"/>
      <name val="Arial"/>
      <family val="2"/>
    </font>
    <font>
      <b/>
      <sz val="12"/>
      <color rgb="FF000000"/>
      <name val="Calibri"/>
      <family val="2"/>
      <scheme val="minor"/>
    </font>
    <font>
      <b/>
      <sz val="12"/>
      <name val="Calibri"/>
      <family val="2"/>
      <scheme val="minor"/>
    </font>
    <font>
      <b/>
      <sz val="10"/>
      <name val="Arial"/>
      <family val="2"/>
    </font>
    <font>
      <sz val="9"/>
      <name val="Arial"/>
      <family val="2"/>
    </font>
    <font>
      <b/>
      <sz val="9"/>
      <name val="Arial"/>
      <family val="2"/>
    </font>
    <font>
      <i/>
      <sz val="10"/>
      <name val="Arial"/>
      <family val="2"/>
    </font>
    <font>
      <sz val="9"/>
      <color rgb="FFFF0000"/>
      <name val="Arial"/>
      <family val="2"/>
    </font>
    <font>
      <b/>
      <sz val="10"/>
      <color theme="1"/>
      <name val="Arial"/>
      <family val="2"/>
    </font>
    <font>
      <b/>
      <sz val="9"/>
      <color theme="1"/>
      <name val="Arial"/>
      <family val="2"/>
    </font>
    <font>
      <vertAlign val="superscript"/>
      <sz val="10"/>
      <name val="Arial"/>
      <family val="2"/>
    </font>
    <font>
      <b/>
      <vertAlign val="superscript"/>
      <sz val="10"/>
      <name val="Arial"/>
      <family val="2"/>
    </font>
    <font>
      <b/>
      <sz val="22"/>
      <color rgb="FF000000"/>
      <name val="Calibri"/>
      <family val="2"/>
      <scheme val="minor"/>
    </font>
    <font>
      <b/>
      <sz val="14"/>
      <color rgb="FF000000"/>
      <name val="Calibri"/>
      <family val="2"/>
      <scheme val="minor"/>
    </font>
    <font>
      <b/>
      <sz val="18"/>
      <color rgb="FF000000"/>
      <name val="Calibri"/>
      <family val="2"/>
      <scheme val="minor"/>
    </font>
    <font>
      <sz val="12"/>
      <name val="Calibri"/>
      <family val="2"/>
      <scheme val="minor"/>
    </font>
    <font>
      <b/>
      <sz val="11"/>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EFEFE1"/>
        <bgColor indexed="64"/>
      </patternFill>
    </fill>
    <fill>
      <patternFill patternType="solid">
        <fgColor rgb="FFDEDAC4"/>
        <bgColor indexed="64"/>
      </patternFill>
    </fill>
    <fill>
      <patternFill patternType="solid">
        <fgColor theme="0" tint="-4.9989318521683403E-2"/>
        <bgColor indexed="64"/>
      </patternFill>
    </fill>
    <fill>
      <patternFill patternType="solid">
        <fgColor rgb="FFE4E4E4"/>
        <bgColor theme="0" tint="-0.14996795556505021"/>
      </patternFill>
    </fill>
    <fill>
      <patternFill patternType="mediumGray">
        <fgColor theme="0" tint="-0.24994659260841701"/>
        <bgColor theme="3" tint="0.79998168889431442"/>
      </patternFill>
    </fill>
    <fill>
      <patternFill patternType="mediumGray">
        <fgColor theme="0" tint="-0.24994659260841701"/>
        <bgColor rgb="FFFFFF00"/>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theme="0" tint="-0.14996795556505021"/>
      </top>
      <bottom style="medium">
        <color theme="0" tint="-0.14996795556505021"/>
      </bottom>
      <diagonal/>
    </border>
    <border>
      <left style="medium">
        <color indexed="64"/>
      </left>
      <right style="medium">
        <color indexed="64"/>
      </right>
      <top style="medium">
        <color indexed="64"/>
      </top>
      <bottom style="medium">
        <color theme="0" tint="-0.14996795556505021"/>
      </bottom>
      <diagonal/>
    </border>
    <border>
      <left style="medium">
        <color indexed="64"/>
      </left>
      <right/>
      <top/>
      <bottom style="medium">
        <color theme="0" tint="-0.14996795556505021"/>
      </bottom>
      <diagonal/>
    </border>
    <border>
      <left style="medium">
        <color indexed="64"/>
      </left>
      <right style="medium">
        <color indexed="64"/>
      </right>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style="medium">
        <color indexed="64"/>
      </left>
      <right/>
      <top style="medium">
        <color theme="0" tint="-0.14996795556505021"/>
      </top>
      <bottom style="medium">
        <color theme="0" tint="-0.14996795556505021"/>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theme="0" tint="-0.1499679555650502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166" fontId="3" fillId="0" borderId="0" applyFont="0" applyFill="0" applyBorder="0" applyAlignment="0" applyProtection="0"/>
    <xf numFmtId="167" fontId="3" fillId="0" borderId="0" applyFont="0" applyFill="0" applyBorder="0" applyAlignment="0" applyProtection="0"/>
    <xf numFmtId="164"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cellStyleXfs>
  <cellXfs count="132">
    <xf numFmtId="0" fontId="0" fillId="0" borderId="0" xfId="0"/>
    <xf numFmtId="0" fontId="3" fillId="0" borderId="0" xfId="0" applyFont="1"/>
    <xf numFmtId="0" fontId="4" fillId="0" borderId="0" xfId="0" applyFont="1"/>
    <xf numFmtId="3" fontId="5" fillId="0" borderId="0" xfId="0" applyNumberFormat="1" applyFont="1"/>
    <xf numFmtId="3" fontId="0" fillId="0" borderId="0" xfId="0" applyNumberFormat="1"/>
    <xf numFmtId="3" fontId="5" fillId="0" borderId="1" xfId="0" applyNumberFormat="1" applyFont="1" applyBorder="1"/>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3" fontId="3" fillId="0" borderId="2" xfId="0" applyNumberFormat="1" applyFont="1" applyBorder="1" applyAlignment="1">
      <alignment horizontal="left" vertical="center"/>
    </xf>
    <xf numFmtId="165" fontId="9" fillId="0" borderId="0" xfId="0" applyNumberFormat="1" applyFont="1"/>
    <xf numFmtId="3" fontId="3" fillId="0" borderId="3" xfId="0" applyNumberFormat="1" applyFont="1" applyBorder="1" applyAlignment="1">
      <alignment horizontal="left" vertical="center"/>
    </xf>
    <xf numFmtId="165" fontId="7" fillId="0" borderId="3" xfId="0" applyNumberFormat="1" applyFont="1" applyFill="1" applyBorder="1" applyAlignment="1">
      <alignment horizontal="right" vertical="center"/>
    </xf>
    <xf numFmtId="165" fontId="0" fillId="0" borderId="0" xfId="0" applyNumberFormat="1"/>
    <xf numFmtId="3" fontId="3" fillId="0" borderId="3" xfId="0" applyNumberFormat="1" applyFont="1" applyFill="1" applyBorder="1" applyAlignment="1">
      <alignment horizontal="left" vertical="center"/>
    </xf>
    <xf numFmtId="3" fontId="3" fillId="0" borderId="9" xfId="0" applyNumberFormat="1" applyFont="1" applyBorder="1" applyAlignment="1">
      <alignment horizontal="left" vertical="center"/>
    </xf>
    <xf numFmtId="3" fontId="6" fillId="3" borderId="1"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165" fontId="8" fillId="0" borderId="0" xfId="0" applyNumberFormat="1" applyFont="1" applyFill="1" applyBorder="1" applyAlignment="1">
      <alignment horizontal="right" vertical="center"/>
    </xf>
    <xf numFmtId="3" fontId="3" fillId="0" borderId="3" xfId="0" applyNumberFormat="1" applyFont="1" applyBorder="1" applyAlignment="1">
      <alignment horizontal="left" vertical="center" wrapText="1"/>
    </xf>
    <xf numFmtId="3" fontId="3" fillId="0" borderId="12" xfId="0" applyNumberFormat="1" applyFont="1" applyBorder="1" applyAlignment="1">
      <alignment horizontal="left" vertical="center"/>
    </xf>
    <xf numFmtId="3" fontId="3" fillId="0" borderId="12" xfId="0" applyNumberFormat="1" applyFont="1" applyBorder="1" applyAlignment="1">
      <alignment horizontal="left" vertical="center" wrapText="1"/>
    </xf>
    <xf numFmtId="165" fontId="8" fillId="0" borderId="0" xfId="2" applyNumberFormat="1" applyFont="1" applyFill="1" applyBorder="1" applyAlignment="1">
      <alignment horizontal="right" vertical="center"/>
    </xf>
    <xf numFmtId="3" fontId="11" fillId="4" borderId="1" xfId="0" applyNumberFormat="1" applyFont="1" applyFill="1" applyBorder="1" applyAlignment="1">
      <alignment horizontal="left" vertical="center"/>
    </xf>
    <xf numFmtId="3" fontId="6" fillId="0" borderId="0" xfId="0" applyNumberFormat="1" applyFont="1" applyFill="1" applyBorder="1" applyAlignment="1">
      <alignment horizontal="left" vertical="center"/>
    </xf>
    <xf numFmtId="0" fontId="0" fillId="0" borderId="0" xfId="0" applyFill="1"/>
    <xf numFmtId="3" fontId="6" fillId="3" borderId="1" xfId="0" applyNumberFormat="1" applyFont="1" applyFill="1" applyBorder="1" applyAlignment="1">
      <alignment horizontal="left" vertical="center"/>
    </xf>
    <xf numFmtId="3" fontId="6" fillId="4" borderId="1" xfId="0" applyNumberFormat="1" applyFont="1" applyFill="1" applyBorder="1" applyAlignment="1">
      <alignment horizontal="left" vertical="center"/>
    </xf>
    <xf numFmtId="1" fontId="0" fillId="0" borderId="0" xfId="0" applyNumberFormat="1"/>
    <xf numFmtId="0" fontId="9" fillId="0" borderId="0" xfId="0" applyFont="1"/>
    <xf numFmtId="168" fontId="0" fillId="2" borderId="3" xfId="1" applyNumberFormat="1" applyFont="1" applyFill="1" applyBorder="1" applyAlignment="1">
      <alignment vertical="center"/>
    </xf>
    <xf numFmtId="3" fontId="0" fillId="0" borderId="12" xfId="0" applyNumberFormat="1" applyFont="1" applyBorder="1" applyAlignment="1">
      <alignment horizontal="left" vertical="center"/>
    </xf>
    <xf numFmtId="3" fontId="0" fillId="0" borderId="3" xfId="0" applyNumberFormat="1" applyFont="1" applyFill="1" applyBorder="1" applyAlignment="1">
      <alignment horizontal="left" vertical="center"/>
    </xf>
    <xf numFmtId="0" fontId="15" fillId="0" borderId="0" xfId="0" applyFont="1"/>
    <xf numFmtId="3" fontId="0" fillId="0" borderId="3" xfId="0" applyNumberFormat="1" applyFont="1" applyBorder="1" applyAlignment="1">
      <alignment horizontal="left" vertical="center"/>
    </xf>
    <xf numFmtId="3" fontId="3" fillId="0" borderId="1" xfId="0" applyNumberFormat="1" applyFont="1" applyBorder="1" applyAlignment="1">
      <alignment horizontal="left" vertical="center" wrapText="1"/>
    </xf>
    <xf numFmtId="0" fontId="17" fillId="0" borderId="0" xfId="0" applyFont="1"/>
    <xf numFmtId="3" fontId="18" fillId="0" borderId="0" xfId="0" applyNumberFormat="1" applyFont="1"/>
    <xf numFmtId="165" fontId="7" fillId="2" borderId="4" xfId="1" applyNumberFormat="1" applyFont="1" applyFill="1" applyBorder="1" applyAlignment="1">
      <alignment vertical="center"/>
    </xf>
    <xf numFmtId="0" fontId="0" fillId="0" borderId="0" xfId="0" applyFill="1" applyAlignment="1">
      <alignment horizontal="left" indent="1"/>
    </xf>
    <xf numFmtId="0" fontId="0" fillId="0" borderId="0" xfId="0"/>
    <xf numFmtId="165" fontId="7" fillId="0" borderId="6" xfId="0" applyNumberFormat="1" applyFont="1" applyFill="1" applyBorder="1" applyAlignment="1">
      <alignment horizontal="right" vertical="center"/>
    </xf>
    <xf numFmtId="0" fontId="0" fillId="0" borderId="0" xfId="0" applyFill="1" applyBorder="1"/>
    <xf numFmtId="3" fontId="0" fillId="0" borderId="3" xfId="0" applyNumberFormat="1" applyFont="1" applyBorder="1" applyAlignment="1">
      <alignment horizontal="left" vertical="center" wrapText="1"/>
    </xf>
    <xf numFmtId="0" fontId="0" fillId="0" borderId="0" xfId="0" applyAlignment="1">
      <alignment horizontal="left" indent="1"/>
    </xf>
    <xf numFmtId="165" fontId="7" fillId="2" borderId="3" xfId="1" applyNumberFormat="1" applyFont="1" applyFill="1" applyBorder="1" applyAlignment="1">
      <alignment vertical="center"/>
    </xf>
    <xf numFmtId="165" fontId="7" fillId="2" borderId="6" xfId="1" applyNumberFormat="1" applyFont="1" applyFill="1" applyBorder="1" applyAlignment="1">
      <alignment vertical="center"/>
    </xf>
    <xf numFmtId="169" fontId="0" fillId="0" borderId="0" xfId="0" applyNumberFormat="1"/>
    <xf numFmtId="170" fontId="0" fillId="0" borderId="0" xfId="0" applyNumberFormat="1"/>
    <xf numFmtId="3" fontId="0" fillId="0" borderId="4" xfId="0" applyNumberFormat="1" applyFont="1" applyBorder="1" applyAlignment="1">
      <alignment horizontal="left" vertical="center" wrapText="1"/>
    </xf>
    <xf numFmtId="0" fontId="6" fillId="5" borderId="1" xfId="0" applyNumberFormat="1" applyFont="1" applyFill="1" applyBorder="1" applyAlignment="1">
      <alignment horizontal="center" vertical="center" wrapText="1"/>
    </xf>
    <xf numFmtId="3" fontId="5" fillId="0" borderId="1" xfId="0" applyNumberFormat="1" applyFont="1" applyBorder="1" applyAlignment="1">
      <alignment vertical="center"/>
    </xf>
    <xf numFmtId="0" fontId="19" fillId="7" borderId="1" xfId="0" applyNumberFormat="1" applyFont="1" applyFill="1" applyBorder="1" applyAlignment="1">
      <alignment horizontal="center" vertical="center" wrapText="1"/>
    </xf>
    <xf numFmtId="0" fontId="19" fillId="8" borderId="1" xfId="0" applyNumberFormat="1" applyFont="1" applyFill="1" applyBorder="1" applyAlignment="1">
      <alignment horizontal="center" vertical="center" wrapText="1"/>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4" xfId="0" applyNumberFormat="1" applyFont="1" applyFill="1" applyBorder="1" applyAlignment="1">
      <alignment horizontal="right" vertical="center"/>
    </xf>
    <xf numFmtId="3" fontId="7" fillId="0" borderId="4" xfId="1" applyNumberFormat="1" applyFont="1" applyFill="1" applyBorder="1" applyAlignment="1">
      <alignment horizontal="right" vertical="center"/>
    </xf>
    <xf numFmtId="3" fontId="7" fillId="0" borderId="4" xfId="0" applyNumberFormat="1" applyFont="1" applyFill="1" applyBorder="1"/>
    <xf numFmtId="3" fontId="7" fillId="0" borderId="5" xfId="0" applyNumberFormat="1" applyFont="1" applyBorder="1" applyAlignment="1">
      <alignment horizontal="right" vertical="center"/>
    </xf>
    <xf numFmtId="3" fontId="7" fillId="0" borderId="3" xfId="0" applyNumberFormat="1" applyFont="1" applyFill="1" applyBorder="1" applyAlignment="1">
      <alignment horizontal="right" vertical="center"/>
    </xf>
    <xf numFmtId="3" fontId="7" fillId="0" borderId="3" xfId="0" applyNumberFormat="1" applyFont="1" applyFill="1" applyBorder="1"/>
    <xf numFmtId="3" fontId="7" fillId="0" borderId="6" xfId="0" applyNumberFormat="1" applyFont="1" applyFill="1" applyBorder="1" applyAlignment="1">
      <alignment horizontal="right" vertical="center"/>
    </xf>
    <xf numFmtId="3" fontId="7" fillId="0" borderId="7" xfId="0" applyNumberFormat="1" applyFont="1" applyBorder="1" applyAlignment="1">
      <alignment horizontal="right" vertical="center"/>
    </xf>
    <xf numFmtId="3" fontId="7" fillId="0" borderId="8" xfId="0" applyNumberFormat="1" applyFont="1" applyBorder="1" applyAlignment="1">
      <alignment horizontal="right" vertical="center"/>
    </xf>
    <xf numFmtId="3" fontId="10" fillId="0" borderId="3" xfId="0" applyNumberFormat="1" applyFont="1" applyFill="1" applyBorder="1" applyAlignment="1">
      <alignment horizontal="right" vertical="center"/>
    </xf>
    <xf numFmtId="3" fontId="7" fillId="0" borderId="3" xfId="1"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3" fontId="7" fillId="0" borderId="8" xfId="2" applyNumberFormat="1" applyFont="1" applyBorder="1" applyAlignment="1">
      <alignment horizontal="right" vertical="center"/>
    </xf>
    <xf numFmtId="3" fontId="7" fillId="2" borderId="3" xfId="0" applyNumberFormat="1" applyFont="1" applyFill="1" applyBorder="1" applyAlignment="1">
      <alignment horizontal="right" vertical="center"/>
    </xf>
    <xf numFmtId="3" fontId="7" fillId="0" borderId="8" xfId="0" applyNumberFormat="1" applyFont="1" applyFill="1" applyBorder="1" applyAlignment="1">
      <alignment horizontal="right" vertical="center"/>
    </xf>
    <xf numFmtId="3" fontId="7" fillId="0" borderId="3" xfId="0" applyNumberFormat="1" applyFont="1" applyBorder="1"/>
    <xf numFmtId="3" fontId="7" fillId="0" borderId="6" xfId="0" applyNumberFormat="1" applyFont="1" applyBorder="1"/>
    <xf numFmtId="3" fontId="7" fillId="0" borderId="9" xfId="0" applyNumberFormat="1" applyFont="1" applyBorder="1" applyAlignment="1">
      <alignment horizontal="right" vertical="center"/>
    </xf>
    <xf numFmtId="3" fontId="7" fillId="0" borderId="10"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12" xfId="0" applyNumberFormat="1" applyFont="1" applyFill="1" applyBorder="1" applyAlignment="1">
      <alignment horizontal="right" vertical="center"/>
    </xf>
    <xf numFmtId="3" fontId="7" fillId="0" borderId="12" xfId="1" applyNumberFormat="1" applyFont="1" applyFill="1" applyBorder="1" applyAlignment="1">
      <alignment horizontal="right" vertical="center"/>
    </xf>
    <xf numFmtId="3" fontId="7" fillId="0" borderId="12" xfId="0" applyNumberFormat="1" applyFont="1" applyFill="1" applyBorder="1"/>
    <xf numFmtId="3" fontId="7" fillId="0" borderId="9" xfId="0" applyNumberFormat="1" applyFont="1" applyFill="1" applyBorder="1" applyAlignment="1">
      <alignment horizontal="right" vertical="center"/>
    </xf>
    <xf numFmtId="3" fontId="8" fillId="3" borderId="1"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7" fillId="0" borderId="4" xfId="0" applyNumberFormat="1" applyFont="1" applyBorder="1" applyAlignment="1">
      <alignment vertical="center"/>
    </xf>
    <xf numFmtId="3" fontId="7" fillId="2" borderId="4" xfId="1" applyNumberFormat="1" applyFont="1" applyFill="1" applyBorder="1" applyAlignment="1">
      <alignment vertical="center"/>
    </xf>
    <xf numFmtId="3" fontId="7" fillId="0" borderId="3" xfId="0" applyNumberFormat="1" applyFont="1" applyBorder="1" applyAlignment="1">
      <alignment vertical="center"/>
    </xf>
    <xf numFmtId="3" fontId="7" fillId="2" borderId="3" xfId="1" applyNumberFormat="1" applyFont="1" applyFill="1" applyBorder="1" applyAlignment="1">
      <alignment vertical="center"/>
    </xf>
    <xf numFmtId="3" fontId="7" fillId="2" borderId="6" xfId="1" applyNumberFormat="1" applyFont="1" applyFill="1" applyBorder="1" applyAlignment="1">
      <alignment vertical="center"/>
    </xf>
    <xf numFmtId="3" fontId="7" fillId="2" borderId="3" xfId="0" applyNumberFormat="1" applyFont="1" applyFill="1" applyBorder="1" applyAlignment="1">
      <alignment vertical="center"/>
    </xf>
    <xf numFmtId="3" fontId="7" fillId="0" borderId="3" xfId="1" applyNumberFormat="1" applyFont="1" applyFill="1" applyBorder="1" applyAlignment="1">
      <alignment vertical="center"/>
    </xf>
    <xf numFmtId="3" fontId="7" fillId="0" borderId="6" xfId="1" applyNumberFormat="1" applyFont="1" applyFill="1" applyBorder="1" applyAlignment="1">
      <alignment vertical="center"/>
    </xf>
    <xf numFmtId="3" fontId="8" fillId="0" borderId="3" xfId="0" applyNumberFormat="1" applyFont="1" applyBorder="1" applyAlignment="1">
      <alignment vertical="center"/>
    </xf>
    <xf numFmtId="3" fontId="7" fillId="2" borderId="0" xfId="1" applyNumberFormat="1" applyFont="1" applyFill="1" applyBorder="1" applyAlignment="1">
      <alignment vertical="center"/>
    </xf>
    <xf numFmtId="3" fontId="7" fillId="0" borderId="0" xfId="0" applyNumberFormat="1" applyFont="1"/>
    <xf numFmtId="3" fontId="8" fillId="3" borderId="1" xfId="2" applyNumberFormat="1" applyFont="1" applyFill="1" applyBorder="1" applyAlignment="1">
      <alignment vertical="center"/>
    </xf>
    <xf numFmtId="3" fontId="8" fillId="0" borderId="0" xfId="2" applyNumberFormat="1" applyFont="1" applyFill="1" applyBorder="1" applyAlignment="1">
      <alignment horizontal="right" vertical="center"/>
    </xf>
    <xf numFmtId="3" fontId="12" fillId="4" borderId="1" xfId="2"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3" fontId="8" fillId="4" borderId="1" xfId="0" applyNumberFormat="1" applyFont="1" applyFill="1" applyBorder="1" applyAlignment="1">
      <alignment horizontal="right" vertical="center"/>
    </xf>
    <xf numFmtId="3" fontId="7" fillId="0" borderId="1" xfId="0" applyNumberFormat="1" applyFont="1" applyBorder="1" applyAlignment="1">
      <alignment vertical="center"/>
    </xf>
    <xf numFmtId="3" fontId="7" fillId="2" borderId="1" xfId="1" applyNumberFormat="1" applyFont="1" applyFill="1" applyBorder="1" applyAlignment="1">
      <alignment vertical="center"/>
    </xf>
    <xf numFmtId="3" fontId="7" fillId="2" borderId="2" xfId="1" applyNumberFormat="1" applyFont="1" applyFill="1" applyBorder="1" applyAlignment="1">
      <alignment vertical="center"/>
    </xf>
    <xf numFmtId="41" fontId="6" fillId="7" borderId="4" xfId="0" applyNumberFormat="1" applyFont="1" applyFill="1" applyBorder="1" applyAlignment="1">
      <alignment horizontal="right" vertical="center"/>
    </xf>
    <xf numFmtId="41" fontId="6" fillId="7" borderId="3" xfId="0" applyNumberFormat="1" applyFont="1" applyFill="1" applyBorder="1" applyAlignment="1">
      <alignment horizontal="right" vertical="center"/>
    </xf>
    <xf numFmtId="41" fontId="6" fillId="7" borderId="3" xfId="0" applyNumberFormat="1" applyFont="1" applyFill="1" applyBorder="1"/>
    <xf numFmtId="41" fontId="6" fillId="7" borderId="12" xfId="0" applyNumberFormat="1" applyFont="1" applyFill="1" applyBorder="1" applyAlignment="1">
      <alignment horizontal="right" vertical="center"/>
    </xf>
    <xf numFmtId="41" fontId="6" fillId="7" borderId="4" xfId="0" applyNumberFormat="1" applyFont="1" applyFill="1" applyBorder="1" applyAlignment="1">
      <alignment vertical="center"/>
    </xf>
    <xf numFmtId="41" fontId="6" fillId="7" borderId="3" xfId="0" applyNumberFormat="1" applyFont="1" applyFill="1" applyBorder="1" applyAlignment="1">
      <alignment vertical="center"/>
    </xf>
    <xf numFmtId="41" fontId="6" fillId="7" borderId="3" xfId="1" applyNumberFormat="1" applyFont="1" applyFill="1" applyBorder="1" applyAlignment="1">
      <alignment vertical="center"/>
    </xf>
    <xf numFmtId="41" fontId="6" fillId="3" borderId="1" xfId="2" applyNumberFormat="1" applyFont="1" applyFill="1" applyBorder="1" applyAlignment="1">
      <alignment vertical="center"/>
    </xf>
    <xf numFmtId="41" fontId="6" fillId="8" borderId="14" xfId="0" applyNumberFormat="1" applyFont="1" applyFill="1" applyBorder="1" applyAlignment="1">
      <alignment horizontal="right" vertical="center"/>
    </xf>
    <xf numFmtId="41" fontId="6" fillId="8" borderId="15" xfId="0" applyNumberFormat="1" applyFont="1" applyFill="1" applyBorder="1" applyAlignment="1">
      <alignment horizontal="right" vertical="center"/>
    </xf>
    <xf numFmtId="41" fontId="6" fillId="8" borderId="16" xfId="0" applyNumberFormat="1" applyFont="1" applyFill="1" applyBorder="1" applyAlignment="1">
      <alignment horizontal="right" vertical="center"/>
    </xf>
    <xf numFmtId="41" fontId="6" fillId="8" borderId="14" xfId="0" applyNumberFormat="1" applyFont="1" applyFill="1" applyBorder="1" applyAlignment="1">
      <alignment vertical="center"/>
    </xf>
    <xf numFmtId="41" fontId="6" fillId="8" borderId="15" xfId="0" applyNumberFormat="1" applyFont="1" applyFill="1" applyBorder="1" applyAlignment="1">
      <alignment vertical="center"/>
    </xf>
    <xf numFmtId="41" fontId="6" fillId="8" borderId="16" xfId="0" applyNumberFormat="1" applyFont="1" applyFill="1" applyBorder="1" applyAlignment="1">
      <alignment vertical="center"/>
    </xf>
    <xf numFmtId="41" fontId="6" fillId="8" borderId="4" xfId="0" applyNumberFormat="1" applyFont="1" applyFill="1" applyBorder="1" applyAlignment="1">
      <alignment horizontal="right" vertical="center"/>
    </xf>
    <xf numFmtId="41" fontId="6" fillId="8" borderId="4" xfId="0" applyNumberFormat="1" applyFont="1" applyFill="1" applyBorder="1" applyAlignment="1">
      <alignment vertical="center"/>
    </xf>
    <xf numFmtId="0" fontId="19" fillId="0" borderId="1" xfId="0" applyFont="1" applyBorder="1" applyAlignment="1">
      <alignment horizontal="center" vertical="center" wrapText="1"/>
    </xf>
    <xf numFmtId="4" fontId="7" fillId="2" borderId="3" xfId="1" applyNumberFormat="1" applyFont="1" applyFill="1" applyBorder="1" applyAlignment="1">
      <alignment vertical="center"/>
    </xf>
    <xf numFmtId="171" fontId="7" fillId="0" borderId="6" xfId="0" applyNumberFormat="1" applyFont="1" applyFill="1" applyBorder="1" applyAlignment="1">
      <alignment horizontal="right" vertical="center"/>
    </xf>
    <xf numFmtId="41" fontId="7" fillId="5" borderId="4" xfId="0" applyNumberFormat="1" applyFont="1" applyFill="1" applyBorder="1" applyAlignment="1">
      <alignment horizontal="right" vertical="center"/>
    </xf>
    <xf numFmtId="41" fontId="7" fillId="5" borderId="6" xfId="0" applyNumberFormat="1" applyFont="1" applyFill="1" applyBorder="1" applyAlignment="1">
      <alignment horizontal="right" vertical="center"/>
    </xf>
    <xf numFmtId="41" fontId="7" fillId="5" borderId="9" xfId="0" applyNumberFormat="1" applyFont="1" applyFill="1" applyBorder="1" applyAlignment="1">
      <alignment horizontal="right" vertical="center"/>
    </xf>
    <xf numFmtId="41" fontId="8" fillId="0" borderId="0" xfId="2" applyNumberFormat="1" applyFont="1" applyFill="1" applyBorder="1" applyAlignment="1">
      <alignment horizontal="right" vertical="center"/>
    </xf>
    <xf numFmtId="41" fontId="11" fillId="9" borderId="1" xfId="2" applyNumberFormat="1" applyFont="1" applyFill="1" applyBorder="1" applyAlignment="1">
      <alignment horizontal="right" vertical="center"/>
    </xf>
    <xf numFmtId="41" fontId="6" fillId="10" borderId="1" xfId="0" applyNumberFormat="1" applyFont="1" applyFill="1" applyBorder="1" applyAlignment="1">
      <alignment horizontal="right" vertical="center"/>
    </xf>
    <xf numFmtId="41" fontId="6" fillId="10" borderId="1" xfId="2" applyNumberFormat="1" applyFont="1" applyFill="1" applyBorder="1" applyAlignment="1">
      <alignment vertical="center"/>
    </xf>
    <xf numFmtId="41" fontId="6" fillId="6" borderId="1" xfId="0" applyNumberFormat="1" applyFont="1" applyFill="1" applyBorder="1" applyAlignment="1">
      <alignment horizontal="right" vertical="center"/>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cellXfs>
  <cellStyles count="7">
    <cellStyle name="Comma" xfId="1" builtinId="3"/>
    <cellStyle name="Comma 2" xfId="3" xr:uid="{00000000-0005-0000-0000-000001000000}"/>
    <cellStyle name="Comma 2 2" xfId="5" xr:uid="{00000000-0005-0000-0000-000002000000}"/>
    <cellStyle name="Comma_Sheet1" xfId="2" xr:uid="{00000000-0005-0000-0000-000003000000}"/>
    <cellStyle name="Normal" xfId="0" builtinId="0"/>
    <cellStyle name="Normal 2" xfId="4" xr:uid="{00000000-0005-0000-0000-000005000000}"/>
    <cellStyle name="Normal 2 2" xfId="6" xr:uid="{00000000-0005-0000-0000-000006000000}"/>
  </cellStyles>
  <dxfs count="0"/>
  <tableStyles count="0" defaultTableStyle="TableStyleMedium2" defaultPivotStyle="PivotStyleLight16"/>
  <colors>
    <mruColors>
      <color rgb="FFE4E4E4"/>
      <color rgb="FFDEDAC4"/>
      <color rgb="FFEFEFE1"/>
      <color rgb="FFE4E4D2"/>
      <color rgb="FFD3CDB1"/>
      <color rgb="FFEAE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31749</xdr:colOff>
      <xdr:row>0</xdr:row>
      <xdr:rowOff>0</xdr:rowOff>
    </xdr:from>
    <xdr:to>
      <xdr:col>0</xdr:col>
      <xdr:colOff>1640351</xdr:colOff>
      <xdr:row>0</xdr:row>
      <xdr:rowOff>777974</xdr:rowOff>
    </xdr:to>
    <xdr:pic>
      <xdr:nvPicPr>
        <xdr:cNvPr id="2" name="Picture 1" descr="Description: Description: Description: Description: cid:image001.png@01CFBDF7.83202F10">
          <a:extLst>
            <a:ext uri="{FF2B5EF4-FFF2-40B4-BE49-F238E27FC236}">
              <a16:creationId xmlns:a16="http://schemas.microsoft.com/office/drawing/2014/main" id="{D1AA2D7A-4915-425F-ACE4-3CCFA53C18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49" y="0"/>
          <a:ext cx="1608602" cy="7779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A42D-2783-43F0-B01B-8FBCA71E5B27}">
  <sheetPr>
    <pageSetUpPr fitToPage="1"/>
  </sheetPr>
  <dimension ref="A1:AH85"/>
  <sheetViews>
    <sheetView showGridLines="0" tabSelected="1" zoomScale="90" zoomScaleNormal="90" zoomScaleSheetLayoutView="110" workbookViewId="0">
      <pane xSplit="1" ySplit="6" topLeftCell="B7" activePane="bottomRight" state="frozen"/>
      <selection pane="topRight" activeCell="B1" sqref="B1"/>
      <selection pane="bottomLeft" activeCell="A7" sqref="A7"/>
      <selection pane="bottomRight" activeCell="B7" sqref="B7"/>
    </sheetView>
  </sheetViews>
  <sheetFormatPr defaultColWidth="10.28515625" defaultRowHeight="12.75" outlineLevelCol="1" x14ac:dyDescent="0.2"/>
  <cols>
    <col min="1" max="1" width="32.7109375" style="40" customWidth="1"/>
    <col min="2" max="2" width="2.5703125" customWidth="1"/>
    <col min="3" max="13" width="7.7109375" style="40" hidden="1" customWidth="1" outlineLevel="1"/>
    <col min="14" max="14" width="11.85546875" style="40" customWidth="1" collapsed="1"/>
    <col min="15" max="15" width="2.5703125" customWidth="1"/>
    <col min="16" max="17" width="7.7109375" style="40" hidden="1" customWidth="1" outlineLevel="1"/>
    <col min="18" max="20" width="7.85546875" style="40" hidden="1" customWidth="1" outlineLevel="1"/>
    <col min="21" max="21" width="11.85546875" style="40" customWidth="1" collapsed="1"/>
    <col min="22" max="22" width="2.5703125" customWidth="1"/>
    <col min="23" max="23" width="7.85546875" style="40" customWidth="1" outlineLevel="1"/>
    <col min="24" max="24" width="8" style="40" customWidth="1" outlineLevel="1"/>
    <col min="25" max="25" width="7.85546875" style="40" customWidth="1" outlineLevel="1"/>
    <col min="26" max="26" width="8" style="40" customWidth="1" outlineLevel="1"/>
    <col min="27" max="27" width="7.85546875" style="40" customWidth="1" outlineLevel="1"/>
    <col min="28" max="28" width="11.85546875" style="40" customWidth="1"/>
    <col min="29" max="29" width="2.5703125" customWidth="1"/>
    <col min="30" max="30" width="13.42578125" style="40" customWidth="1"/>
    <col min="31" max="31" width="4.42578125" style="40" customWidth="1"/>
    <col min="32" max="32" width="13.42578125" style="40" customWidth="1"/>
    <col min="33" max="33" width="2.5703125" style="40" customWidth="1"/>
    <col min="34" max="34" width="13.42578125" style="40" customWidth="1"/>
    <col min="35" max="35" width="15.5703125" style="40" bestFit="1" customWidth="1"/>
    <col min="36" max="36" width="13.28515625" style="40" bestFit="1" customWidth="1"/>
    <col min="37" max="37" width="12.7109375" style="40" bestFit="1" customWidth="1"/>
    <col min="38" max="16384" width="10.28515625" style="40"/>
  </cols>
  <sheetData>
    <row r="1" spans="1:34" ht="70.5" customHeight="1" x14ac:dyDescent="0.2"/>
    <row r="2" spans="1:34" ht="23.25" customHeight="1" x14ac:dyDescent="0.45">
      <c r="A2" s="33" t="s">
        <v>0</v>
      </c>
      <c r="P2" s="1"/>
      <c r="Q2" s="1"/>
      <c r="R2" s="1"/>
      <c r="S2" s="1"/>
      <c r="T2" s="1"/>
      <c r="U2" s="1"/>
      <c r="W2" s="1"/>
      <c r="X2" s="1"/>
      <c r="Y2" s="1"/>
      <c r="Z2" s="1"/>
      <c r="AA2" s="1"/>
      <c r="AB2" s="1"/>
    </row>
    <row r="3" spans="1:34" ht="15.75" x14ac:dyDescent="0.25">
      <c r="A3" s="2" t="s">
        <v>52</v>
      </c>
      <c r="P3" s="1"/>
      <c r="Q3" s="1"/>
      <c r="R3" s="1"/>
      <c r="S3" s="1"/>
      <c r="T3" s="1"/>
      <c r="U3" s="1"/>
      <c r="W3" s="1"/>
      <c r="X3" s="1"/>
      <c r="Y3" s="1"/>
      <c r="Z3" s="1"/>
      <c r="AA3" s="1"/>
      <c r="AB3" s="1"/>
    </row>
    <row r="4" spans="1:34" ht="16.5" thickBot="1" x14ac:dyDescent="0.3">
      <c r="A4" s="3" t="s">
        <v>1</v>
      </c>
      <c r="C4" s="4"/>
      <c r="D4" s="4"/>
      <c r="E4" s="4"/>
      <c r="F4" s="4"/>
      <c r="G4" s="4"/>
      <c r="H4" s="4"/>
      <c r="I4" s="4"/>
      <c r="J4" s="4"/>
    </row>
    <row r="5" spans="1:34" ht="33" customHeight="1" thickBot="1" x14ac:dyDescent="0.3">
      <c r="A5" s="37"/>
      <c r="C5" s="4"/>
      <c r="D5" s="4"/>
      <c r="E5" s="4"/>
      <c r="F5" s="4"/>
      <c r="G5" s="4"/>
      <c r="H5" s="4"/>
      <c r="I5" s="4"/>
      <c r="J5" s="4"/>
      <c r="AF5" s="117" t="s">
        <v>51</v>
      </c>
      <c r="AH5" s="128" t="s">
        <v>68</v>
      </c>
    </row>
    <row r="6" spans="1:34" ht="30.75" thickBot="1" x14ac:dyDescent="0.25">
      <c r="A6" s="51" t="s">
        <v>67</v>
      </c>
      <c r="C6" s="6">
        <v>2000</v>
      </c>
      <c r="D6" s="6">
        <v>2001</v>
      </c>
      <c r="E6" s="6">
        <v>2002</v>
      </c>
      <c r="F6" s="6">
        <v>2003</v>
      </c>
      <c r="G6" s="6">
        <v>2004</v>
      </c>
      <c r="H6" s="7">
        <v>2005</v>
      </c>
      <c r="I6" s="8">
        <v>2006</v>
      </c>
      <c r="J6" s="7">
        <v>2007</v>
      </c>
      <c r="K6" s="8">
        <v>2008</v>
      </c>
      <c r="L6" s="7">
        <v>2009</v>
      </c>
      <c r="M6" s="7">
        <v>2010</v>
      </c>
      <c r="N6" s="52" t="s">
        <v>63</v>
      </c>
      <c r="P6" s="7">
        <v>2011</v>
      </c>
      <c r="Q6" s="7">
        <v>2012</v>
      </c>
      <c r="R6" s="7">
        <v>2013</v>
      </c>
      <c r="S6" s="7">
        <v>2014</v>
      </c>
      <c r="T6" s="7">
        <v>2015</v>
      </c>
      <c r="U6" s="52" t="s">
        <v>64</v>
      </c>
      <c r="W6" s="7">
        <v>2016</v>
      </c>
      <c r="X6" s="7">
        <v>2017</v>
      </c>
      <c r="Y6" s="7">
        <v>2018</v>
      </c>
      <c r="Z6" s="7">
        <v>2019</v>
      </c>
      <c r="AA6" s="7">
        <v>2020</v>
      </c>
      <c r="AB6" s="52" t="s">
        <v>65</v>
      </c>
      <c r="AD6" s="53" t="s">
        <v>66</v>
      </c>
      <c r="AF6" s="50">
        <v>2020</v>
      </c>
      <c r="AH6" s="129"/>
    </row>
    <row r="7" spans="1:34" ht="13.5" thickBot="1" x14ac:dyDescent="0.25">
      <c r="A7" s="9" t="s">
        <v>2</v>
      </c>
      <c r="C7" s="54"/>
      <c r="D7" s="54"/>
      <c r="E7" s="54"/>
      <c r="F7" s="54"/>
      <c r="G7" s="54"/>
      <c r="H7" s="55"/>
      <c r="I7" s="56">
        <v>5</v>
      </c>
      <c r="J7" s="57">
        <v>5</v>
      </c>
      <c r="K7" s="58">
        <v>5</v>
      </c>
      <c r="L7" s="56">
        <v>5</v>
      </c>
      <c r="M7" s="56">
        <v>8.6</v>
      </c>
      <c r="N7" s="101">
        <f>SUM(C7:M7)</f>
        <v>28.6</v>
      </c>
      <c r="P7" s="56">
        <v>48.844000000000001</v>
      </c>
      <c r="Q7" s="56">
        <v>56.485500000000002</v>
      </c>
      <c r="R7" s="56">
        <v>48.277250000000002</v>
      </c>
      <c r="S7" s="56">
        <f>45.79575+42.825</f>
        <v>88.620750000000001</v>
      </c>
      <c r="T7" s="56"/>
      <c r="U7" s="101">
        <f>SUM(P7:T7)</f>
        <v>242.22750000000002</v>
      </c>
      <c r="W7" s="56">
        <v>37.579124999999998</v>
      </c>
      <c r="X7" s="56">
        <f>1.852+13.65175</f>
        <v>15.50375</v>
      </c>
      <c r="Y7" s="56"/>
      <c r="Z7" s="56">
        <f>22.31575+20.4070375+24.071875</f>
        <v>66.794662500000001</v>
      </c>
      <c r="AA7" s="56">
        <v>7.665</v>
      </c>
      <c r="AB7" s="101">
        <f>SUM(W7:AA7)</f>
        <v>127.54253750000001</v>
      </c>
      <c r="AD7" s="109">
        <f>SUM(AB7,U7,N7)</f>
        <v>398.37003750000008</v>
      </c>
      <c r="AE7" s="44"/>
      <c r="AF7" s="120"/>
      <c r="AH7" s="109">
        <f>SUM(AD7,AF7)</f>
        <v>398.37003750000008</v>
      </c>
    </row>
    <row r="8" spans="1:34" ht="13.5" thickBot="1" x14ac:dyDescent="0.25">
      <c r="A8" s="11" t="s">
        <v>3</v>
      </c>
      <c r="C8" s="54"/>
      <c r="D8" s="54"/>
      <c r="E8" s="54">
        <v>1.88035602</v>
      </c>
      <c r="F8" s="54">
        <v>4.7554213499999998</v>
      </c>
      <c r="G8" s="54">
        <v>9.0627342500000001</v>
      </c>
      <c r="H8" s="59">
        <v>130.86864059999999</v>
      </c>
      <c r="I8" s="60">
        <v>5.1903114199999996</v>
      </c>
      <c r="J8" s="60"/>
      <c r="K8" s="61"/>
      <c r="L8" s="60"/>
      <c r="M8" s="60"/>
      <c r="N8" s="102">
        <f t="shared" ref="N8:N34" si="0">SUM(C8:M8)</f>
        <v>151.75746364</v>
      </c>
      <c r="P8" s="60">
        <v>20.736000000000001</v>
      </c>
      <c r="Q8" s="62">
        <v>15.128593039999998</v>
      </c>
      <c r="R8" s="62">
        <v>38.974714310000003</v>
      </c>
      <c r="S8" s="62">
        <f>18.32844575+18.32844575</f>
        <v>36.6568915</v>
      </c>
      <c r="T8" s="62">
        <v>8.0340000000000007</v>
      </c>
      <c r="U8" s="102">
        <f t="shared" ref="U8:U34" si="1">SUM(P8:T8)</f>
        <v>119.53019885000002</v>
      </c>
      <c r="W8" s="62">
        <v>77.10330716</v>
      </c>
      <c r="X8" s="62">
        <f>76.26582082+16.27927621</f>
        <v>92.545097029999994</v>
      </c>
      <c r="Y8" s="62">
        <v>76.86314084</v>
      </c>
      <c r="Z8" s="62">
        <v>94.881251149999997</v>
      </c>
      <c r="AA8" s="62">
        <v>68.355820251599994</v>
      </c>
      <c r="AB8" s="102">
        <f t="shared" ref="AB8:AB34" si="2">SUM(W8:AA8)</f>
        <v>409.7486164316</v>
      </c>
      <c r="AD8" s="110">
        <f t="shared" ref="AD8:AD34" si="3">SUM(AB8,U8,N8)</f>
        <v>681.0362789216</v>
      </c>
      <c r="AE8" s="44"/>
      <c r="AF8" s="121"/>
      <c r="AH8" s="110">
        <f t="shared" ref="AH8:AH34" si="4">SUM(AD8,AF8)</f>
        <v>681.0362789216</v>
      </c>
    </row>
    <row r="9" spans="1:34" ht="13.5" thickBot="1" x14ac:dyDescent="0.25">
      <c r="A9" s="34" t="s">
        <v>4</v>
      </c>
      <c r="C9" s="54"/>
      <c r="D9" s="63"/>
      <c r="E9" s="54"/>
      <c r="F9" s="54"/>
      <c r="G9" s="63"/>
      <c r="H9" s="59"/>
      <c r="I9" s="60"/>
      <c r="J9" s="60"/>
      <c r="K9" s="61"/>
      <c r="L9" s="60"/>
      <c r="M9" s="60"/>
      <c r="N9" s="102">
        <f t="shared" si="0"/>
        <v>0</v>
      </c>
      <c r="P9" s="60"/>
      <c r="Q9" s="62"/>
      <c r="R9" s="62"/>
      <c r="S9" s="62"/>
      <c r="T9" s="62"/>
      <c r="U9" s="102">
        <f t="shared" si="1"/>
        <v>0</v>
      </c>
      <c r="W9" s="62">
        <v>2</v>
      </c>
      <c r="X9" s="62">
        <v>1</v>
      </c>
      <c r="Y9" s="62">
        <v>0.5</v>
      </c>
      <c r="Z9" s="62">
        <v>0.5</v>
      </c>
      <c r="AA9" s="62"/>
      <c r="AB9" s="102">
        <f t="shared" si="2"/>
        <v>4</v>
      </c>
      <c r="AD9" s="110">
        <f t="shared" si="3"/>
        <v>4</v>
      </c>
      <c r="AE9" s="44"/>
      <c r="AF9" s="121"/>
      <c r="AH9" s="110">
        <f t="shared" si="4"/>
        <v>4</v>
      </c>
    </row>
    <row r="10" spans="1:34" ht="13.5" thickBot="1" x14ac:dyDescent="0.25">
      <c r="A10" s="34" t="s">
        <v>53</v>
      </c>
      <c r="C10" s="54"/>
      <c r="D10" s="63"/>
      <c r="E10" s="54"/>
      <c r="F10" s="54"/>
      <c r="G10" s="63"/>
      <c r="H10" s="59"/>
      <c r="I10" s="60"/>
      <c r="J10" s="60"/>
      <c r="K10" s="61"/>
      <c r="L10" s="60"/>
      <c r="M10" s="60"/>
      <c r="N10" s="102">
        <f t="shared" si="0"/>
        <v>0</v>
      </c>
      <c r="P10" s="60"/>
      <c r="Q10" s="62"/>
      <c r="R10" s="62"/>
      <c r="S10" s="62"/>
      <c r="T10" s="62"/>
      <c r="U10" s="102">
        <f t="shared" si="1"/>
        <v>0</v>
      </c>
      <c r="W10" s="62"/>
      <c r="X10" s="62"/>
      <c r="Y10" s="62"/>
      <c r="Z10" s="62"/>
      <c r="AA10" s="62"/>
      <c r="AB10" s="102">
        <f t="shared" si="2"/>
        <v>0</v>
      </c>
      <c r="AD10" s="110">
        <f t="shared" si="3"/>
        <v>0</v>
      </c>
      <c r="AE10" s="44"/>
      <c r="AF10" s="121">
        <v>0.5</v>
      </c>
      <c r="AH10" s="110">
        <f t="shared" si="4"/>
        <v>0.5</v>
      </c>
    </row>
    <row r="11" spans="1:34" ht="13.5" thickBot="1" x14ac:dyDescent="0.25">
      <c r="A11" s="11" t="s">
        <v>5</v>
      </c>
      <c r="C11" s="54"/>
      <c r="D11" s="63">
        <v>1.1474074299999999</v>
      </c>
      <c r="E11" s="54"/>
      <c r="F11" s="54"/>
      <c r="G11" s="63">
        <v>3.3388792199999999</v>
      </c>
      <c r="H11" s="64">
        <v>3.4161073900000001</v>
      </c>
      <c r="I11" s="60">
        <v>4.4112623400000004</v>
      </c>
      <c r="J11" s="60">
        <v>4.7375400000000001</v>
      </c>
      <c r="K11" s="61"/>
      <c r="L11" s="60">
        <v>9.0983955899999991</v>
      </c>
      <c r="M11" s="60">
        <v>1.807207</v>
      </c>
      <c r="N11" s="102">
        <f t="shared" si="0"/>
        <v>27.956798970000001</v>
      </c>
      <c r="P11" s="60">
        <v>8.798</v>
      </c>
      <c r="Q11" s="62">
        <v>4.3516250000000003</v>
      </c>
      <c r="R11" s="62">
        <v>4.5993378800000002</v>
      </c>
      <c r="S11" s="62"/>
      <c r="T11" s="62"/>
      <c r="U11" s="102">
        <f t="shared" si="1"/>
        <v>17.748962880000001</v>
      </c>
      <c r="W11" s="62"/>
      <c r="X11" s="62"/>
      <c r="Y11" s="62">
        <v>3.8159674899999998</v>
      </c>
      <c r="Z11" s="62">
        <v>3.6509349800000002</v>
      </c>
      <c r="AA11" s="62">
        <v>7.8875910999999999</v>
      </c>
      <c r="AB11" s="102">
        <f t="shared" si="2"/>
        <v>15.354493569999999</v>
      </c>
      <c r="AD11" s="110">
        <f t="shared" si="3"/>
        <v>61.060255419999997</v>
      </c>
      <c r="AE11" s="44"/>
      <c r="AF11" s="121"/>
      <c r="AH11" s="110">
        <f t="shared" si="4"/>
        <v>61.060255419999997</v>
      </c>
    </row>
    <row r="12" spans="1:34" ht="13.5" thickBot="1" x14ac:dyDescent="0.25">
      <c r="A12" s="11" t="s">
        <v>6</v>
      </c>
      <c r="C12" s="54"/>
      <c r="D12" s="54"/>
      <c r="E12" s="54"/>
      <c r="F12" s="63">
        <v>1.26</v>
      </c>
      <c r="G12" s="54"/>
      <c r="H12" s="64"/>
      <c r="I12" s="60"/>
      <c r="J12" s="60">
        <v>4.84964</v>
      </c>
      <c r="K12" s="61">
        <v>23.129114000000001</v>
      </c>
      <c r="L12" s="60">
        <v>28.630130000000001</v>
      </c>
      <c r="M12" s="60"/>
      <c r="N12" s="102">
        <f t="shared" si="0"/>
        <v>57.868884000000001</v>
      </c>
      <c r="P12" s="65"/>
      <c r="Q12" s="62">
        <v>12.54732252</v>
      </c>
      <c r="R12" s="62"/>
      <c r="S12" s="62"/>
      <c r="T12" s="62">
        <v>22.27009</v>
      </c>
      <c r="U12" s="102">
        <f t="shared" si="1"/>
        <v>34.817412519999998</v>
      </c>
      <c r="W12" s="62">
        <v>14.401260000000001</v>
      </c>
      <c r="X12" s="62">
        <v>7.8138899999999998</v>
      </c>
      <c r="Y12" s="62">
        <f>30.83275+22.80911886</f>
        <v>53.641868860000002</v>
      </c>
      <c r="Z12" s="62">
        <f>9.8694+80.7264</f>
        <v>90.595799999999997</v>
      </c>
      <c r="AA12" s="62">
        <v>16.350000000000001</v>
      </c>
      <c r="AB12" s="102">
        <f t="shared" si="2"/>
        <v>182.80281886</v>
      </c>
      <c r="AD12" s="110">
        <f t="shared" si="3"/>
        <v>275.48911537999999</v>
      </c>
      <c r="AE12" s="44"/>
      <c r="AF12" s="121"/>
      <c r="AH12" s="110">
        <f t="shared" si="4"/>
        <v>275.48911537999999</v>
      </c>
    </row>
    <row r="13" spans="1:34" ht="13.5" thickBot="1" x14ac:dyDescent="0.25">
      <c r="A13" s="34" t="s">
        <v>7</v>
      </c>
      <c r="C13" s="54"/>
      <c r="D13" s="54"/>
      <c r="E13" s="54"/>
      <c r="F13" s="54"/>
      <c r="G13" s="63">
        <v>6.0291139200000003</v>
      </c>
      <c r="H13" s="64"/>
      <c r="I13" s="60">
        <v>12.63</v>
      </c>
      <c r="J13" s="60"/>
      <c r="K13" s="61"/>
      <c r="L13" s="60"/>
      <c r="M13" s="60"/>
      <c r="N13" s="102">
        <f t="shared" si="0"/>
        <v>18.659113920000003</v>
      </c>
      <c r="P13" s="60">
        <v>34.5</v>
      </c>
      <c r="Q13" s="62">
        <v>20.102150000000002</v>
      </c>
      <c r="R13" s="62">
        <v>34.93515</v>
      </c>
      <c r="S13" s="62">
        <v>6.8425500000000001</v>
      </c>
      <c r="T13" s="62">
        <v>5.8586</v>
      </c>
      <c r="U13" s="102">
        <f t="shared" si="1"/>
        <v>102.23845</v>
      </c>
      <c r="W13" s="62">
        <v>134.53778</v>
      </c>
      <c r="X13" s="62"/>
      <c r="Y13" s="62"/>
      <c r="Z13" s="62"/>
      <c r="AA13" s="62"/>
      <c r="AB13" s="102">
        <f t="shared" si="2"/>
        <v>134.53778</v>
      </c>
      <c r="AD13" s="110">
        <f t="shared" si="3"/>
        <v>255.43534392000001</v>
      </c>
      <c r="AE13" s="44"/>
      <c r="AF13" s="121"/>
      <c r="AH13" s="110">
        <f t="shared" si="4"/>
        <v>255.43534392000001</v>
      </c>
    </row>
    <row r="14" spans="1:34" ht="13.5" thickBot="1" x14ac:dyDescent="0.25">
      <c r="A14" s="14" t="s">
        <v>8</v>
      </c>
      <c r="C14" s="54"/>
      <c r="D14" s="54"/>
      <c r="E14" s="54"/>
      <c r="F14" s="54"/>
      <c r="G14" s="54"/>
      <c r="H14" s="64"/>
      <c r="I14" s="60">
        <v>5.2603999999999997</v>
      </c>
      <c r="J14" s="60">
        <v>5.9480000000000004</v>
      </c>
      <c r="K14" s="61"/>
      <c r="L14" s="60">
        <v>5.7213799999999999</v>
      </c>
      <c r="M14" s="60">
        <v>5.13598</v>
      </c>
      <c r="N14" s="102">
        <f t="shared" si="0"/>
        <v>22.065760000000001</v>
      </c>
      <c r="P14" s="60">
        <v>8.5</v>
      </c>
      <c r="Q14" s="62">
        <v>34.692483279999998</v>
      </c>
      <c r="R14" s="62">
        <v>35.390059999999998</v>
      </c>
      <c r="S14" s="62">
        <f>11.6316+27.47318393+11.2563+9.96968308</f>
        <v>60.330767010000002</v>
      </c>
      <c r="T14" s="62">
        <f>13.6327654+11.148+11.243+11.265+10.744+5.26329122</f>
        <v>63.296056620000002</v>
      </c>
      <c r="U14" s="102">
        <f t="shared" si="1"/>
        <v>202.20936691</v>
      </c>
      <c r="W14" s="62">
        <v>115.24406384</v>
      </c>
      <c r="X14" s="62">
        <f>6.73968835+4.13493716+21.6599+11.2108+11.82085255+6.98574453+23.50283884+11.75141942+11.77411421+6.99919409+21.38212304+11.7821</f>
        <v>149.74371219</v>
      </c>
      <c r="Y14" s="62">
        <f>12.1637438+3.0409359375+9.1228078125+48.654975+34.1016+22.6642+28.33025</f>
        <v>158.07851255</v>
      </c>
      <c r="Z14" s="62">
        <f>18.67846875+18.69210195+18.66483555+18.67846875+77.91</f>
        <v>152.623875</v>
      </c>
      <c r="AA14" s="62">
        <f>18.962625+37.92525</f>
        <v>56.887874999999994</v>
      </c>
      <c r="AB14" s="102">
        <f t="shared" si="2"/>
        <v>632.57803858</v>
      </c>
      <c r="AD14" s="110">
        <f t="shared" si="3"/>
        <v>856.85316548999992</v>
      </c>
      <c r="AE14" s="44"/>
      <c r="AF14" s="121"/>
      <c r="AH14" s="110">
        <f t="shared" si="4"/>
        <v>856.85316548999992</v>
      </c>
    </row>
    <row r="15" spans="1:34" ht="13.5" thickBot="1" x14ac:dyDescent="0.25">
      <c r="A15" s="32" t="s">
        <v>9</v>
      </c>
      <c r="C15" s="54"/>
      <c r="D15" s="54"/>
      <c r="E15" s="63"/>
      <c r="F15" s="63"/>
      <c r="G15" s="63"/>
      <c r="H15" s="64"/>
      <c r="I15" s="60"/>
      <c r="J15" s="60"/>
      <c r="K15" s="61"/>
      <c r="L15" s="60"/>
      <c r="M15" s="60"/>
      <c r="N15" s="102">
        <f t="shared" si="0"/>
        <v>0</v>
      </c>
      <c r="P15" s="60"/>
      <c r="Q15" s="62"/>
      <c r="R15" s="62"/>
      <c r="S15" s="62"/>
      <c r="T15" s="62"/>
      <c r="U15" s="102">
        <f t="shared" si="1"/>
        <v>0</v>
      </c>
      <c r="W15" s="62"/>
      <c r="X15" s="62"/>
      <c r="Y15" s="62">
        <v>1</v>
      </c>
      <c r="Z15" s="62"/>
      <c r="AA15" s="62"/>
      <c r="AB15" s="102">
        <f t="shared" si="2"/>
        <v>1</v>
      </c>
      <c r="AD15" s="110">
        <f t="shared" si="3"/>
        <v>1</v>
      </c>
      <c r="AE15" s="44"/>
      <c r="AF15" s="121"/>
      <c r="AH15" s="110">
        <f t="shared" si="4"/>
        <v>1</v>
      </c>
    </row>
    <row r="16" spans="1:34" ht="13.5" thickBot="1" x14ac:dyDescent="0.25">
      <c r="A16" s="32" t="s">
        <v>10</v>
      </c>
      <c r="C16" s="54"/>
      <c r="D16" s="54"/>
      <c r="E16" s="63"/>
      <c r="F16" s="63"/>
      <c r="G16" s="63"/>
      <c r="H16" s="64"/>
      <c r="I16" s="60"/>
      <c r="J16" s="60"/>
      <c r="K16" s="61"/>
      <c r="L16" s="60"/>
      <c r="M16" s="60"/>
      <c r="N16" s="102">
        <f t="shared" si="0"/>
        <v>0</v>
      </c>
      <c r="P16" s="60"/>
      <c r="Q16" s="62"/>
      <c r="R16" s="62"/>
      <c r="S16" s="62">
        <f>1+1</f>
        <v>2</v>
      </c>
      <c r="T16" s="62">
        <v>1</v>
      </c>
      <c r="U16" s="102">
        <f t="shared" si="1"/>
        <v>3</v>
      </c>
      <c r="W16" s="62">
        <v>1</v>
      </c>
      <c r="X16" s="62"/>
      <c r="Y16" s="62">
        <v>2</v>
      </c>
      <c r="Z16" s="62">
        <f>2+2</f>
        <v>4</v>
      </c>
      <c r="AA16" s="62"/>
      <c r="AB16" s="102">
        <f t="shared" si="2"/>
        <v>7</v>
      </c>
      <c r="AD16" s="110">
        <f t="shared" si="3"/>
        <v>10</v>
      </c>
      <c r="AE16" s="44"/>
      <c r="AF16" s="121"/>
      <c r="AH16" s="110">
        <f t="shared" si="4"/>
        <v>10</v>
      </c>
    </row>
    <row r="17" spans="1:34" ht="13.5" thickBot="1" x14ac:dyDescent="0.25">
      <c r="A17" s="11" t="s">
        <v>11</v>
      </c>
      <c r="C17" s="54"/>
      <c r="D17" s="54"/>
      <c r="E17" s="63">
        <v>0.51075000000000004</v>
      </c>
      <c r="F17" s="63">
        <v>0.62375000000000003</v>
      </c>
      <c r="G17" s="63">
        <v>0.65</v>
      </c>
      <c r="H17" s="64">
        <v>0.83145999999999998</v>
      </c>
      <c r="I17" s="60">
        <v>7.9020000000000001</v>
      </c>
      <c r="J17" s="66">
        <v>8.3111999999999995</v>
      </c>
      <c r="K17" s="61">
        <v>3.8413200000000001</v>
      </c>
      <c r="L17" s="60">
        <v>3.54</v>
      </c>
      <c r="M17" s="60">
        <v>3.6308630000000002</v>
      </c>
      <c r="N17" s="102">
        <f t="shared" si="0"/>
        <v>29.841343000000002</v>
      </c>
      <c r="P17" s="60">
        <v>4.9130000000000003</v>
      </c>
      <c r="Q17" s="62">
        <v>3.4915850000000002</v>
      </c>
      <c r="R17" s="62">
        <v>2.9849399999999999</v>
      </c>
      <c r="S17" s="62">
        <v>0.74670000000000003</v>
      </c>
      <c r="T17" s="62">
        <v>3.2814000000000001</v>
      </c>
      <c r="U17" s="102">
        <f t="shared" si="1"/>
        <v>15.417625000000001</v>
      </c>
      <c r="W17" s="62">
        <v>3.20139</v>
      </c>
      <c r="X17" s="62">
        <v>3.53277749</v>
      </c>
      <c r="Y17" s="62">
        <v>3.4058999999999999</v>
      </c>
      <c r="Z17" s="62">
        <v>3.3682799999999999</v>
      </c>
      <c r="AA17" s="62">
        <v>3.2463000000000002</v>
      </c>
      <c r="AB17" s="102">
        <f t="shared" si="2"/>
        <v>16.75464749</v>
      </c>
      <c r="AD17" s="110">
        <f t="shared" si="3"/>
        <v>62.013615489999999</v>
      </c>
      <c r="AE17" s="44"/>
      <c r="AF17" s="121"/>
      <c r="AH17" s="110">
        <f t="shared" si="4"/>
        <v>62.013615489999999</v>
      </c>
    </row>
    <row r="18" spans="1:34" ht="13.5" thickBot="1" x14ac:dyDescent="0.25">
      <c r="A18" s="34" t="s">
        <v>12</v>
      </c>
      <c r="C18" s="54"/>
      <c r="D18" s="54"/>
      <c r="E18" s="63"/>
      <c r="F18" s="63"/>
      <c r="G18" s="63"/>
      <c r="H18" s="64"/>
      <c r="I18" s="60"/>
      <c r="J18" s="66"/>
      <c r="K18" s="61"/>
      <c r="L18" s="60"/>
      <c r="M18" s="60"/>
      <c r="N18" s="102">
        <f t="shared" si="0"/>
        <v>0</v>
      </c>
      <c r="P18" s="60"/>
      <c r="Q18" s="62"/>
      <c r="R18" s="62"/>
      <c r="S18" s="62"/>
      <c r="T18" s="62"/>
      <c r="U18" s="102">
        <f t="shared" si="1"/>
        <v>0</v>
      </c>
      <c r="W18" s="62">
        <v>4.2531999999999996</v>
      </c>
      <c r="X18" s="62">
        <v>14.32920461</v>
      </c>
      <c r="Y18" s="62">
        <v>32.418120000000002</v>
      </c>
      <c r="Z18" s="62">
        <v>31.113600000000002</v>
      </c>
      <c r="AA18" s="62">
        <v>32.569600000000001</v>
      </c>
      <c r="AB18" s="102">
        <f t="shared" si="2"/>
        <v>114.68372461000001</v>
      </c>
      <c r="AD18" s="110">
        <f t="shared" si="3"/>
        <v>114.68372461000001</v>
      </c>
      <c r="AE18" s="44"/>
      <c r="AF18" s="121"/>
      <c r="AH18" s="110">
        <f t="shared" si="4"/>
        <v>114.68372461000001</v>
      </c>
    </row>
    <row r="19" spans="1:34" ht="13.5" thickBot="1" x14ac:dyDescent="0.25">
      <c r="A19" s="11" t="s">
        <v>13</v>
      </c>
      <c r="C19" s="54"/>
      <c r="D19" s="54"/>
      <c r="E19" s="63"/>
      <c r="F19" s="63"/>
      <c r="G19" s="63"/>
      <c r="H19" s="64"/>
      <c r="I19" s="60"/>
      <c r="J19" s="66"/>
      <c r="K19" s="61"/>
      <c r="L19" s="60"/>
      <c r="M19" s="60"/>
      <c r="N19" s="102">
        <f t="shared" si="0"/>
        <v>0</v>
      </c>
      <c r="P19" s="60">
        <v>9.3480000000000008</v>
      </c>
      <c r="Q19" s="62">
        <v>9.0673919999999999</v>
      </c>
      <c r="R19" s="62">
        <v>9.0673919999999999</v>
      </c>
      <c r="S19" s="62">
        <v>8.6844629999999992</v>
      </c>
      <c r="T19" s="62">
        <v>17.368928</v>
      </c>
      <c r="U19" s="102">
        <f t="shared" si="1"/>
        <v>53.536175</v>
      </c>
      <c r="W19" s="62">
        <v>18.759418</v>
      </c>
      <c r="X19" s="62">
        <f>0.166666+19</f>
        <v>19.166665999999999</v>
      </c>
      <c r="Y19" s="62">
        <f>0.181818+18.818181+0.178571</f>
        <v>19.178570000000001</v>
      </c>
      <c r="Z19" s="62">
        <f>18.85+0.160714</f>
        <v>19.010714</v>
      </c>
      <c r="AA19" s="62">
        <f>18.6881+35+35</f>
        <v>88.688099999999991</v>
      </c>
      <c r="AB19" s="102">
        <f t="shared" si="2"/>
        <v>164.80346800000001</v>
      </c>
      <c r="AD19" s="110">
        <f t="shared" si="3"/>
        <v>218.33964300000002</v>
      </c>
      <c r="AE19" s="44"/>
      <c r="AF19" s="121">
        <v>30</v>
      </c>
      <c r="AH19" s="110">
        <f t="shared" si="4"/>
        <v>248.33964300000002</v>
      </c>
    </row>
    <row r="20" spans="1:34" ht="13.5" thickBot="1" x14ac:dyDescent="0.25">
      <c r="A20" s="34" t="s">
        <v>44</v>
      </c>
      <c r="C20" s="54"/>
      <c r="D20" s="54"/>
      <c r="E20" s="63"/>
      <c r="F20" s="63"/>
      <c r="G20" s="63"/>
      <c r="H20" s="64"/>
      <c r="I20" s="60"/>
      <c r="J20" s="66"/>
      <c r="K20" s="61"/>
      <c r="L20" s="60"/>
      <c r="M20" s="60"/>
      <c r="N20" s="102">
        <f t="shared" si="0"/>
        <v>0</v>
      </c>
      <c r="P20" s="60"/>
      <c r="Q20" s="62"/>
      <c r="R20" s="62"/>
      <c r="S20" s="62"/>
      <c r="T20" s="62"/>
      <c r="U20" s="102">
        <f t="shared" si="1"/>
        <v>0</v>
      </c>
      <c r="W20" s="62"/>
      <c r="X20" s="62"/>
      <c r="Y20" s="62"/>
      <c r="Z20" s="62">
        <v>0.5</v>
      </c>
      <c r="AA20" s="62">
        <v>0.5</v>
      </c>
      <c r="AB20" s="102">
        <f t="shared" si="2"/>
        <v>1</v>
      </c>
      <c r="AD20" s="110">
        <f t="shared" si="3"/>
        <v>1</v>
      </c>
      <c r="AE20" s="44"/>
      <c r="AF20" s="121">
        <v>10</v>
      </c>
      <c r="AH20" s="110">
        <f t="shared" si="4"/>
        <v>11</v>
      </c>
    </row>
    <row r="21" spans="1:34" ht="13.5" thickBot="1" x14ac:dyDescent="0.25">
      <c r="A21" s="11" t="s">
        <v>14</v>
      </c>
      <c r="C21" s="54"/>
      <c r="D21" s="54"/>
      <c r="E21" s="63"/>
      <c r="F21" s="63"/>
      <c r="G21" s="67"/>
      <c r="H21" s="68">
        <v>0.64515</v>
      </c>
      <c r="I21" s="60">
        <v>1.318775</v>
      </c>
      <c r="J21" s="66">
        <v>0.81184000000000001</v>
      </c>
      <c r="K21" s="61">
        <v>1.4229000000000001</v>
      </c>
      <c r="L21" s="60">
        <v>1.1912400000000001</v>
      </c>
      <c r="M21" s="60">
        <v>1.1004400000000001</v>
      </c>
      <c r="N21" s="102">
        <f t="shared" si="0"/>
        <v>6.4903450000000005</v>
      </c>
      <c r="P21" s="60">
        <v>1.1859999999999999</v>
      </c>
      <c r="Q21" s="62">
        <v>1.0752701</v>
      </c>
      <c r="R21" s="62">
        <v>1.0590259</v>
      </c>
      <c r="S21" s="62">
        <v>1.1205940000000001</v>
      </c>
      <c r="T21" s="62">
        <v>0.92074765999999997</v>
      </c>
      <c r="U21" s="102">
        <f t="shared" si="1"/>
        <v>5.3616376599999995</v>
      </c>
      <c r="W21" s="62">
        <v>0.89615856999999999</v>
      </c>
      <c r="X21" s="62">
        <v>0.863788</v>
      </c>
      <c r="Y21" s="62">
        <v>0.91593999999999998</v>
      </c>
      <c r="Z21" s="62">
        <v>0.88240200000000002</v>
      </c>
      <c r="AA21" s="62">
        <v>0.94431200000000004</v>
      </c>
      <c r="AB21" s="102">
        <f t="shared" si="2"/>
        <v>4.5026005700000002</v>
      </c>
      <c r="AD21" s="110">
        <f t="shared" si="3"/>
        <v>16.354583229999999</v>
      </c>
      <c r="AE21" s="44"/>
      <c r="AF21" s="121"/>
      <c r="AH21" s="110">
        <f t="shared" si="4"/>
        <v>16.354583229999999</v>
      </c>
    </row>
    <row r="22" spans="1:34" ht="13.5" thickBot="1" x14ac:dyDescent="0.25">
      <c r="A22" s="11" t="s">
        <v>49</v>
      </c>
      <c r="C22" s="54"/>
      <c r="D22" s="54"/>
      <c r="E22" s="63"/>
      <c r="F22" s="63"/>
      <c r="G22" s="67"/>
      <c r="H22" s="68"/>
      <c r="I22" s="60"/>
      <c r="J22" s="66"/>
      <c r="K22" s="61"/>
      <c r="L22" s="60"/>
      <c r="M22" s="60"/>
      <c r="N22" s="102">
        <f t="shared" si="0"/>
        <v>0</v>
      </c>
      <c r="P22" s="60"/>
      <c r="Q22" s="62"/>
      <c r="R22" s="62"/>
      <c r="S22" s="62"/>
      <c r="T22" s="62"/>
      <c r="U22" s="102">
        <f t="shared" si="1"/>
        <v>0</v>
      </c>
      <c r="W22" s="62"/>
      <c r="X22" s="62"/>
      <c r="Y22" s="62"/>
      <c r="Z22" s="62"/>
      <c r="AA22" s="119">
        <v>2.5000000000000001E-3</v>
      </c>
      <c r="AB22" s="102">
        <f t="shared" si="2"/>
        <v>2.5000000000000001E-3</v>
      </c>
      <c r="AD22" s="110">
        <f t="shared" si="3"/>
        <v>2.5000000000000001E-3</v>
      </c>
      <c r="AE22" s="44"/>
      <c r="AF22" s="121"/>
      <c r="AH22" s="110">
        <f t="shared" si="4"/>
        <v>2.5000000000000001E-3</v>
      </c>
    </row>
    <row r="23" spans="1:34" ht="13.5" thickBot="1" x14ac:dyDescent="0.25">
      <c r="A23" s="34" t="s">
        <v>15</v>
      </c>
      <c r="C23" s="54"/>
      <c r="D23" s="54"/>
      <c r="E23" s="63"/>
      <c r="F23" s="63"/>
      <c r="G23" s="67"/>
      <c r="H23" s="68"/>
      <c r="I23" s="60"/>
      <c r="J23" s="66"/>
      <c r="K23" s="61"/>
      <c r="L23" s="60"/>
      <c r="M23" s="60"/>
      <c r="N23" s="102">
        <f t="shared" si="0"/>
        <v>0</v>
      </c>
      <c r="P23" s="60"/>
      <c r="Q23" s="62"/>
      <c r="R23" s="62"/>
      <c r="S23" s="62"/>
      <c r="T23" s="62"/>
      <c r="U23" s="102">
        <f t="shared" si="1"/>
        <v>0</v>
      </c>
      <c r="W23" s="62"/>
      <c r="X23" s="41">
        <v>0.107821</v>
      </c>
      <c r="Y23" s="41">
        <v>0.18451200000000001</v>
      </c>
      <c r="Z23" s="41">
        <v>0.16945199999999999</v>
      </c>
      <c r="AA23" s="41">
        <v>0.16861499999999999</v>
      </c>
      <c r="AB23" s="102">
        <f t="shared" si="2"/>
        <v>0.63039999999999996</v>
      </c>
      <c r="AD23" s="110">
        <f t="shared" si="3"/>
        <v>0.63039999999999996</v>
      </c>
      <c r="AE23" s="44"/>
      <c r="AF23" s="121"/>
      <c r="AH23" s="110">
        <f t="shared" si="4"/>
        <v>0.63039999999999996</v>
      </c>
    </row>
    <row r="24" spans="1:34" ht="13.5" thickBot="1" x14ac:dyDescent="0.25">
      <c r="A24" s="11" t="s">
        <v>16</v>
      </c>
      <c r="C24" s="54"/>
      <c r="D24" s="54">
        <v>24.060334619999999</v>
      </c>
      <c r="E24" s="54">
        <v>13.375171870000001</v>
      </c>
      <c r="F24" s="54">
        <v>16.492641949999999</v>
      </c>
      <c r="G24" s="63">
        <v>17.329866450000001</v>
      </c>
      <c r="H24" s="64">
        <v>15.85941435</v>
      </c>
      <c r="I24" s="60"/>
      <c r="J24" s="66">
        <v>33.547469</v>
      </c>
      <c r="K24" s="61">
        <v>38.885300999999998</v>
      </c>
      <c r="L24" s="60">
        <v>31.20579</v>
      </c>
      <c r="M24" s="60">
        <v>25.1113845</v>
      </c>
      <c r="N24" s="102">
        <f t="shared" si="0"/>
        <v>215.86737374000001</v>
      </c>
      <c r="P24" s="60">
        <v>26.3</v>
      </c>
      <c r="Q24" s="62">
        <v>14.2065</v>
      </c>
      <c r="R24" s="62">
        <v>34.427500000000002</v>
      </c>
      <c r="S24" s="62">
        <v>39.8048</v>
      </c>
      <c r="T24" s="62">
        <v>33.945599999999999</v>
      </c>
      <c r="U24" s="102">
        <f t="shared" si="1"/>
        <v>148.68439999999998</v>
      </c>
      <c r="W24" s="62">
        <v>38.309967</v>
      </c>
      <c r="X24" s="62">
        <f>0.68127625+1.17542486+57.47701758</f>
        <v>59.333718690000005</v>
      </c>
      <c r="Y24" s="62">
        <f>1.48437318+0.11609+1.102855+25.4222244375+18.245615625</f>
        <v>46.371158242500002</v>
      </c>
      <c r="Z24" s="62">
        <f>42.96047813+4.05511412</f>
        <v>47.015592249999997</v>
      </c>
      <c r="AA24" s="62"/>
      <c r="AB24" s="102">
        <f t="shared" si="2"/>
        <v>191.03043618250001</v>
      </c>
      <c r="AD24" s="110">
        <f t="shared" si="3"/>
        <v>555.58220992249994</v>
      </c>
      <c r="AE24" s="44"/>
      <c r="AF24" s="121"/>
      <c r="AH24" s="110">
        <f t="shared" si="4"/>
        <v>555.58220992249994</v>
      </c>
    </row>
    <row r="25" spans="1:34" ht="13.5" thickBot="1" x14ac:dyDescent="0.25">
      <c r="A25" s="11" t="s">
        <v>17</v>
      </c>
      <c r="C25" s="54"/>
      <c r="D25" s="63">
        <v>17.894689750000001</v>
      </c>
      <c r="E25" s="63">
        <v>21.325656089999999</v>
      </c>
      <c r="F25" s="63">
        <v>21.791086740000001</v>
      </c>
      <c r="G25" s="63">
        <v>40.92459264</v>
      </c>
      <c r="H25" s="64">
        <v>39.53459411</v>
      </c>
      <c r="I25" s="60">
        <v>67.379313700000012</v>
      </c>
      <c r="J25" s="69">
        <v>86.156761000000003</v>
      </c>
      <c r="K25" s="61">
        <v>65.449483259999994</v>
      </c>
      <c r="L25" s="60">
        <v>82.800324709999998</v>
      </c>
      <c r="M25" s="60">
        <v>76.483608000000004</v>
      </c>
      <c r="N25" s="102">
        <f t="shared" si="0"/>
        <v>519.74010999999996</v>
      </c>
      <c r="P25" s="60">
        <v>79.2</v>
      </c>
      <c r="Q25" s="62">
        <v>106.8762334</v>
      </c>
      <c r="R25" s="62">
        <v>126.86237634</v>
      </c>
      <c r="S25" s="62">
        <f>119.73607283+27.869</f>
        <v>147.60507282999998</v>
      </c>
      <c r="T25" s="62">
        <v>157.46568500000001</v>
      </c>
      <c r="U25" s="102">
        <f t="shared" si="1"/>
        <v>618.00936756999999</v>
      </c>
      <c r="W25" s="62">
        <v>139.66753800000001</v>
      </c>
      <c r="X25" s="62">
        <f>133.06601234+26.36814516</f>
        <v>159.4341575</v>
      </c>
      <c r="Y25" s="62">
        <f>137.30391502+7.37424108</f>
        <v>144.6781561</v>
      </c>
      <c r="Z25" s="62">
        <f>151.0231769+10.41453192</f>
        <v>161.43770882000001</v>
      </c>
      <c r="AA25" s="62">
        <v>164.81642147421601</v>
      </c>
      <c r="AB25" s="102">
        <f t="shared" si="2"/>
        <v>770.03398189421603</v>
      </c>
      <c r="AD25" s="110">
        <f t="shared" si="3"/>
        <v>1907.7834594642161</v>
      </c>
      <c r="AE25" s="44"/>
      <c r="AF25" s="121"/>
      <c r="AH25" s="110">
        <f t="shared" si="4"/>
        <v>1907.7834594642161</v>
      </c>
    </row>
    <row r="26" spans="1:34" ht="13.5" thickBot="1" x14ac:dyDescent="0.25">
      <c r="A26" s="34" t="s">
        <v>18</v>
      </c>
      <c r="C26" s="54"/>
      <c r="D26" s="63"/>
      <c r="E26" s="63"/>
      <c r="F26" s="63"/>
      <c r="G26" s="63"/>
      <c r="H26" s="64"/>
      <c r="I26" s="60"/>
      <c r="J26" s="69"/>
      <c r="K26" s="61"/>
      <c r="L26" s="60"/>
      <c r="M26" s="60"/>
      <c r="N26" s="102">
        <f t="shared" si="0"/>
        <v>0</v>
      </c>
      <c r="P26" s="60"/>
      <c r="Q26" s="62"/>
      <c r="R26" s="62"/>
      <c r="S26" s="62"/>
      <c r="T26" s="62">
        <v>0.6</v>
      </c>
      <c r="U26" s="102">
        <f t="shared" si="1"/>
        <v>0.6</v>
      </c>
      <c r="W26" s="62"/>
      <c r="X26" s="62">
        <v>0.6</v>
      </c>
      <c r="Y26" s="62">
        <v>0.6</v>
      </c>
      <c r="Z26" s="62">
        <v>0.6</v>
      </c>
      <c r="AA26" s="62"/>
      <c r="AB26" s="102">
        <f t="shared" si="2"/>
        <v>1.7999999999999998</v>
      </c>
      <c r="AD26" s="110">
        <f t="shared" si="3"/>
        <v>2.4</v>
      </c>
      <c r="AE26" s="44"/>
      <c r="AF26" s="121"/>
      <c r="AH26" s="110">
        <f t="shared" si="4"/>
        <v>2.4</v>
      </c>
    </row>
    <row r="27" spans="1:34" ht="13.5" thickBot="1" x14ac:dyDescent="0.25">
      <c r="A27" s="34" t="s">
        <v>19</v>
      </c>
      <c r="C27" s="54"/>
      <c r="D27" s="63"/>
      <c r="E27" s="63"/>
      <c r="F27" s="63"/>
      <c r="G27" s="63"/>
      <c r="H27" s="64"/>
      <c r="I27" s="60"/>
      <c r="J27" s="69"/>
      <c r="K27" s="61"/>
      <c r="L27" s="60"/>
      <c r="M27" s="60"/>
      <c r="N27" s="102">
        <f t="shared" si="0"/>
        <v>0</v>
      </c>
      <c r="P27" s="60"/>
      <c r="Q27" s="62"/>
      <c r="R27" s="62"/>
      <c r="S27" s="62"/>
      <c r="T27" s="62"/>
      <c r="U27" s="102">
        <f t="shared" si="1"/>
        <v>0</v>
      </c>
      <c r="W27" s="62">
        <v>2</v>
      </c>
      <c r="X27" s="62">
        <v>2</v>
      </c>
      <c r="Y27" s="62"/>
      <c r="Z27" s="62"/>
      <c r="AA27" s="62"/>
      <c r="AB27" s="102">
        <f t="shared" si="2"/>
        <v>4</v>
      </c>
      <c r="AD27" s="110">
        <f t="shared" si="3"/>
        <v>4</v>
      </c>
      <c r="AE27" s="44"/>
      <c r="AF27" s="121"/>
      <c r="AH27" s="110">
        <f t="shared" si="4"/>
        <v>4</v>
      </c>
    </row>
    <row r="28" spans="1:34" ht="13.5" thickBot="1" x14ac:dyDescent="0.25">
      <c r="A28" s="14" t="s">
        <v>20</v>
      </c>
      <c r="C28" s="54"/>
      <c r="D28" s="63"/>
      <c r="E28" s="63"/>
      <c r="F28" s="63"/>
      <c r="G28" s="63"/>
      <c r="H28" s="64"/>
      <c r="I28" s="60"/>
      <c r="J28" s="60"/>
      <c r="K28" s="61"/>
      <c r="L28" s="60"/>
      <c r="M28" s="12">
        <v>0.4</v>
      </c>
      <c r="N28" s="102">
        <f t="shared" si="0"/>
        <v>0.4</v>
      </c>
      <c r="P28" s="12">
        <v>0.3</v>
      </c>
      <c r="Q28" s="41">
        <v>0.3</v>
      </c>
      <c r="R28" s="62">
        <v>1</v>
      </c>
      <c r="S28" s="62">
        <v>1</v>
      </c>
      <c r="T28" s="62">
        <v>4</v>
      </c>
      <c r="U28" s="102">
        <f t="shared" si="1"/>
        <v>6.6</v>
      </c>
      <c r="W28" s="62">
        <v>4</v>
      </c>
      <c r="X28" s="62">
        <v>4</v>
      </c>
      <c r="Y28" s="62">
        <v>4</v>
      </c>
      <c r="Z28" s="62">
        <v>4.7372954399999996</v>
      </c>
      <c r="AA28" s="62"/>
      <c r="AB28" s="102">
        <f t="shared" si="2"/>
        <v>16.73729544</v>
      </c>
      <c r="AD28" s="110">
        <f t="shared" si="3"/>
        <v>23.737295439999997</v>
      </c>
      <c r="AE28" s="44"/>
      <c r="AF28" s="121"/>
      <c r="AH28" s="110">
        <f t="shared" si="4"/>
        <v>23.737295439999997</v>
      </c>
    </row>
    <row r="29" spans="1:34" ht="13.5" thickBot="1" x14ac:dyDescent="0.25">
      <c r="A29" s="32" t="s">
        <v>21</v>
      </c>
      <c r="C29" s="54"/>
      <c r="D29" s="63"/>
      <c r="E29" s="63"/>
      <c r="F29" s="63"/>
      <c r="G29" s="63"/>
      <c r="H29" s="64"/>
      <c r="I29" s="60"/>
      <c r="J29" s="60"/>
      <c r="K29" s="61"/>
      <c r="L29" s="60"/>
      <c r="M29" s="60"/>
      <c r="N29" s="102">
        <f t="shared" si="0"/>
        <v>0</v>
      </c>
      <c r="P29" s="60"/>
      <c r="Q29" s="62"/>
      <c r="R29" s="62"/>
      <c r="S29" s="62"/>
      <c r="T29" s="62"/>
      <c r="U29" s="102">
        <f t="shared" si="1"/>
        <v>0</v>
      </c>
      <c r="W29" s="62">
        <v>2.5</v>
      </c>
      <c r="X29" s="62">
        <f>2.5+2.5</f>
        <v>5</v>
      </c>
      <c r="Y29" s="62">
        <f>2.5+2.5</f>
        <v>5</v>
      </c>
      <c r="Z29" s="62">
        <f>2.5+2.5</f>
        <v>5</v>
      </c>
      <c r="AA29" s="62">
        <v>2.5</v>
      </c>
      <c r="AB29" s="102">
        <f t="shared" si="2"/>
        <v>20</v>
      </c>
      <c r="AD29" s="110">
        <f t="shared" si="3"/>
        <v>20</v>
      </c>
      <c r="AE29" s="44"/>
      <c r="AF29" s="121"/>
      <c r="AH29" s="110">
        <f t="shared" si="4"/>
        <v>20</v>
      </c>
    </row>
    <row r="30" spans="1:34" ht="13.5" thickBot="1" x14ac:dyDescent="0.25">
      <c r="A30" s="11" t="s">
        <v>22</v>
      </c>
      <c r="C30" s="54"/>
      <c r="D30" s="54"/>
      <c r="E30" s="54"/>
      <c r="F30" s="54"/>
      <c r="G30" s="54"/>
      <c r="H30" s="64"/>
      <c r="I30" s="54"/>
      <c r="J30" s="54"/>
      <c r="K30" s="61">
        <v>40.536200000000001</v>
      </c>
      <c r="L30" s="60"/>
      <c r="M30" s="60"/>
      <c r="N30" s="102">
        <f t="shared" si="0"/>
        <v>40.536200000000001</v>
      </c>
      <c r="P30" s="60">
        <v>2.6659999999999999</v>
      </c>
      <c r="Q30" s="62"/>
      <c r="R30" s="62"/>
      <c r="S30" s="62"/>
      <c r="T30" s="62"/>
      <c r="U30" s="102">
        <f t="shared" si="1"/>
        <v>2.6659999999999999</v>
      </c>
      <c r="W30" s="62"/>
      <c r="X30" s="62"/>
      <c r="Y30" s="62"/>
      <c r="Z30" s="62"/>
      <c r="AA30" s="62"/>
      <c r="AB30" s="102">
        <f t="shared" si="2"/>
        <v>0</v>
      </c>
      <c r="AD30" s="110">
        <f t="shared" si="3"/>
        <v>43.202199999999998</v>
      </c>
      <c r="AE30" s="44"/>
      <c r="AF30" s="121"/>
      <c r="AH30" s="110">
        <f t="shared" si="4"/>
        <v>43.202199999999998</v>
      </c>
    </row>
    <row r="31" spans="1:34" ht="13.5" thickBot="1" x14ac:dyDescent="0.25">
      <c r="A31" s="11" t="s">
        <v>23</v>
      </c>
      <c r="C31" s="54"/>
      <c r="D31" s="63">
        <v>1.8921325899999999</v>
      </c>
      <c r="E31" s="63">
        <v>1.1147999799999999</v>
      </c>
      <c r="F31" s="63">
        <v>2.38518169</v>
      </c>
      <c r="G31" s="63">
        <v>4.9314298799999996</v>
      </c>
      <c r="H31" s="64">
        <v>12.66340061</v>
      </c>
      <c r="I31" s="60">
        <v>14.593975029999999</v>
      </c>
      <c r="J31" s="60">
        <v>15.514976000000001</v>
      </c>
      <c r="K31" s="61">
        <v>19.151976000000001</v>
      </c>
      <c r="L31" s="60">
        <v>13.80099952</v>
      </c>
      <c r="M31" s="60">
        <v>36.487497500000003</v>
      </c>
      <c r="N31" s="102">
        <f t="shared" si="0"/>
        <v>122.53636880000002</v>
      </c>
      <c r="P31" s="60">
        <v>92.7</v>
      </c>
      <c r="Q31" s="62"/>
      <c r="R31" s="62">
        <v>70.900080489999993</v>
      </c>
      <c r="S31" s="62">
        <v>49.84</v>
      </c>
      <c r="T31" s="62">
        <v>41.475000000000001</v>
      </c>
      <c r="U31" s="102">
        <f t="shared" si="1"/>
        <v>254.91508048999998</v>
      </c>
      <c r="W31" s="62">
        <v>36.391199999999998</v>
      </c>
      <c r="X31" s="62">
        <v>33.504578960000003</v>
      </c>
      <c r="Y31" s="62">
        <v>42.436950889999999</v>
      </c>
      <c r="Z31" s="62">
        <f>19.58512008+16.14</f>
        <v>35.725120079999996</v>
      </c>
      <c r="AA31" s="62">
        <v>40.858379999999997</v>
      </c>
      <c r="AB31" s="102">
        <f t="shared" si="2"/>
        <v>188.91622992999999</v>
      </c>
      <c r="AD31" s="110">
        <f t="shared" si="3"/>
        <v>566.36767922000001</v>
      </c>
      <c r="AE31" s="44"/>
      <c r="AF31" s="121"/>
      <c r="AH31" s="110">
        <f t="shared" si="4"/>
        <v>566.36767922000001</v>
      </c>
    </row>
    <row r="32" spans="1:34" s="25" customFormat="1" ht="13.5" thickBot="1" x14ac:dyDescent="0.25">
      <c r="A32" s="32" t="s">
        <v>24</v>
      </c>
      <c r="B32"/>
      <c r="C32" s="60"/>
      <c r="D32" s="67"/>
      <c r="E32" s="67"/>
      <c r="F32" s="67"/>
      <c r="G32" s="67"/>
      <c r="H32" s="70"/>
      <c r="I32" s="60"/>
      <c r="J32" s="60"/>
      <c r="K32" s="61"/>
      <c r="L32" s="60"/>
      <c r="M32" s="60"/>
      <c r="N32" s="102">
        <f t="shared" si="0"/>
        <v>0</v>
      </c>
      <c r="O32"/>
      <c r="P32" s="60"/>
      <c r="Q32" s="62"/>
      <c r="R32" s="62"/>
      <c r="S32" s="62"/>
      <c r="T32" s="62"/>
      <c r="U32" s="102">
        <f t="shared" si="1"/>
        <v>0</v>
      </c>
      <c r="V32"/>
      <c r="W32" s="62">
        <v>1.5797791999999999</v>
      </c>
      <c r="X32" s="62"/>
      <c r="Y32" s="62"/>
      <c r="Z32" s="62"/>
      <c r="AA32" s="62">
        <v>0.56177087000000003</v>
      </c>
      <c r="AB32" s="102">
        <f t="shared" si="2"/>
        <v>2.1415500700000001</v>
      </c>
      <c r="AC32"/>
      <c r="AD32" s="110">
        <f t="shared" si="3"/>
        <v>2.1415500700000001</v>
      </c>
      <c r="AE32" s="39"/>
      <c r="AF32" s="121"/>
      <c r="AH32" s="110">
        <f t="shared" si="4"/>
        <v>2.1415500700000001</v>
      </c>
    </row>
    <row r="33" spans="1:34" ht="13.5" thickBot="1" x14ac:dyDescent="0.25">
      <c r="A33" s="11" t="s">
        <v>25</v>
      </c>
      <c r="C33" s="54">
        <v>4.4634</v>
      </c>
      <c r="D33" s="54"/>
      <c r="E33" s="63">
        <v>15.048249999999999</v>
      </c>
      <c r="F33" s="54">
        <v>5.60595</v>
      </c>
      <c r="G33" s="63">
        <v>18.491534999999999</v>
      </c>
      <c r="H33" s="64">
        <v>6.6251490000000004</v>
      </c>
      <c r="I33" s="60">
        <v>23.214072000000002</v>
      </c>
      <c r="J33" s="66">
        <v>48.113951999999998</v>
      </c>
      <c r="K33" s="61"/>
      <c r="L33" s="60"/>
      <c r="M33" s="71">
        <v>15.883044</v>
      </c>
      <c r="N33" s="103">
        <f t="shared" si="0"/>
        <v>137.44535199999999</v>
      </c>
      <c r="P33" s="71">
        <v>85.1</v>
      </c>
      <c r="Q33" s="72">
        <v>206.88</v>
      </c>
      <c r="R33" s="72">
        <v>447.88005122999999</v>
      </c>
      <c r="S33" s="72">
        <v>302.55504000000002</v>
      </c>
      <c r="T33" s="72">
        <f>418.55298+23.91142691</f>
        <v>442.46440690999998</v>
      </c>
      <c r="U33" s="103">
        <f t="shared" si="1"/>
        <v>1484.8794981399999</v>
      </c>
      <c r="W33" s="72">
        <v>304.83199999999999</v>
      </c>
      <c r="X33" s="72">
        <v>282.065</v>
      </c>
      <c r="Y33" s="72">
        <f>237.859968+15.02140486</f>
        <v>252.88137286</v>
      </c>
      <c r="Z33" s="72">
        <v>267.42500000000001</v>
      </c>
      <c r="AA33" s="62">
        <v>270.52</v>
      </c>
      <c r="AB33" s="103">
        <f t="shared" si="2"/>
        <v>1377.7233728599999</v>
      </c>
      <c r="AD33" s="110">
        <f t="shared" si="3"/>
        <v>3000.0482230000002</v>
      </c>
      <c r="AE33" s="44"/>
      <c r="AF33" s="121"/>
      <c r="AH33" s="110">
        <f t="shared" si="4"/>
        <v>3000.0482230000002</v>
      </c>
    </row>
    <row r="34" spans="1:34" ht="13.5" thickBot="1" x14ac:dyDescent="0.25">
      <c r="A34" s="15" t="s">
        <v>26</v>
      </c>
      <c r="C34" s="73"/>
      <c r="D34" s="74">
        <v>48.091999999999999</v>
      </c>
      <c r="E34" s="74">
        <v>53</v>
      </c>
      <c r="F34" s="74">
        <v>58</v>
      </c>
      <c r="G34" s="74">
        <v>59.64</v>
      </c>
      <c r="H34" s="75">
        <v>64.48</v>
      </c>
      <c r="I34" s="76">
        <v>69.3</v>
      </c>
      <c r="J34" s="77">
        <v>69.3</v>
      </c>
      <c r="K34" s="78">
        <v>71.912999999999997</v>
      </c>
      <c r="L34" s="76">
        <v>75</v>
      </c>
      <c r="M34" s="76">
        <v>78</v>
      </c>
      <c r="N34" s="104">
        <f t="shared" si="0"/>
        <v>646.72500000000002</v>
      </c>
      <c r="P34" s="76">
        <v>89.8</v>
      </c>
      <c r="Q34" s="79">
        <v>130</v>
      </c>
      <c r="R34" s="79">
        <v>137.978655</v>
      </c>
      <c r="S34" s="79">
        <v>175</v>
      </c>
      <c r="T34" s="79">
        <v>200</v>
      </c>
      <c r="U34" s="104">
        <f t="shared" si="1"/>
        <v>732.77865500000007</v>
      </c>
      <c r="W34" s="79">
        <v>235</v>
      </c>
      <c r="X34" s="79">
        <v>275</v>
      </c>
      <c r="Y34" s="79">
        <v>290</v>
      </c>
      <c r="Z34" s="79">
        <v>290</v>
      </c>
      <c r="AA34" s="79"/>
      <c r="AB34" s="104">
        <f t="shared" si="2"/>
        <v>1090</v>
      </c>
      <c r="AD34" s="111">
        <f t="shared" si="3"/>
        <v>2469.503655</v>
      </c>
      <c r="AE34" s="44"/>
      <c r="AF34" s="122"/>
      <c r="AH34" s="111">
        <f t="shared" si="4"/>
        <v>2469.503655</v>
      </c>
    </row>
    <row r="35" spans="1:34" ht="13.5" thickBot="1" x14ac:dyDescent="0.25">
      <c r="A35" s="16" t="s">
        <v>27</v>
      </c>
      <c r="C35" s="80">
        <f t="shared" ref="C35:AD35" si="5">SUM(C7:C34)</f>
        <v>4.4634</v>
      </c>
      <c r="D35" s="80">
        <f t="shared" si="5"/>
        <v>93.086564390000007</v>
      </c>
      <c r="E35" s="80">
        <f t="shared" si="5"/>
        <v>106.25498396</v>
      </c>
      <c r="F35" s="80">
        <f t="shared" si="5"/>
        <v>110.91403173</v>
      </c>
      <c r="G35" s="80">
        <f t="shared" si="5"/>
        <v>160.39815135999999</v>
      </c>
      <c r="H35" s="80">
        <f t="shared" si="5"/>
        <v>274.92391606000001</v>
      </c>
      <c r="I35" s="80">
        <f t="shared" si="5"/>
        <v>216.20010949000005</v>
      </c>
      <c r="J35" s="80">
        <f t="shared" si="5"/>
        <v>282.29137800000001</v>
      </c>
      <c r="K35" s="80">
        <f t="shared" si="5"/>
        <v>269.32929425999998</v>
      </c>
      <c r="L35" s="80">
        <f t="shared" si="5"/>
        <v>255.98825982</v>
      </c>
      <c r="M35" s="80">
        <f t="shared" si="5"/>
        <v>252.64002400000001</v>
      </c>
      <c r="N35" s="125">
        <f t="shared" si="5"/>
        <v>2026.49011307</v>
      </c>
      <c r="P35" s="80">
        <f t="shared" si="5"/>
        <v>512.89099999999996</v>
      </c>
      <c r="Q35" s="80">
        <f t="shared" si="5"/>
        <v>615.20465434000005</v>
      </c>
      <c r="R35" s="80">
        <f t="shared" si="5"/>
        <v>994.33653315000004</v>
      </c>
      <c r="S35" s="80">
        <f t="shared" si="5"/>
        <v>920.80762834000006</v>
      </c>
      <c r="T35" s="80">
        <f t="shared" si="5"/>
        <v>1001.98051419</v>
      </c>
      <c r="U35" s="125">
        <f t="shared" si="5"/>
        <v>4045.2203300199999</v>
      </c>
      <c r="W35" s="80">
        <f t="shared" si="5"/>
        <v>1173.2561867700001</v>
      </c>
      <c r="X35" s="80">
        <f t="shared" si="5"/>
        <v>1125.5441614700001</v>
      </c>
      <c r="Y35" s="80">
        <f t="shared" si="5"/>
        <v>1137.9701698325</v>
      </c>
      <c r="Z35" s="80">
        <f t="shared" si="5"/>
        <v>1280.0316882200002</v>
      </c>
      <c r="AA35" s="80">
        <f t="shared" si="5"/>
        <v>762.52228569581598</v>
      </c>
      <c r="AB35" s="125">
        <f t="shared" si="5"/>
        <v>5479.3244919883164</v>
      </c>
      <c r="AD35" s="125">
        <f t="shared" si="5"/>
        <v>11551.034935078316</v>
      </c>
      <c r="AE35" s="13"/>
      <c r="AF35" s="127">
        <f>SUM(AF7:AF34)</f>
        <v>40.5</v>
      </c>
      <c r="AH35" s="125">
        <f>SUM(AH7:AH34)</f>
        <v>11591.534935078316</v>
      </c>
    </row>
    <row r="36" spans="1:34" s="42" customFormat="1" ht="13.5" thickBot="1" x14ac:dyDescent="0.25">
      <c r="A36" s="17"/>
      <c r="B36"/>
      <c r="C36" s="18"/>
      <c r="D36" s="18"/>
      <c r="E36" s="18"/>
      <c r="F36" s="18"/>
      <c r="G36" s="18"/>
      <c r="H36" s="18"/>
      <c r="I36" s="18"/>
      <c r="J36" s="18"/>
      <c r="K36" s="18"/>
      <c r="L36" s="18"/>
      <c r="M36" s="18"/>
      <c r="N36" s="18"/>
      <c r="O36"/>
      <c r="P36" s="18"/>
      <c r="Q36" s="18"/>
      <c r="R36" s="18"/>
      <c r="S36" s="18"/>
      <c r="T36" s="18"/>
      <c r="U36" s="18"/>
      <c r="V36"/>
      <c r="W36" s="81"/>
      <c r="X36" s="81"/>
      <c r="Y36" s="81"/>
      <c r="Z36" s="81"/>
      <c r="AA36" s="81"/>
      <c r="AB36" s="18"/>
      <c r="AC36"/>
      <c r="AD36" s="18"/>
      <c r="AE36" s="13"/>
      <c r="AF36" s="18"/>
      <c r="AH36" s="18"/>
    </row>
    <row r="37" spans="1:34" s="42" customFormat="1" ht="13.5" thickBot="1" x14ac:dyDescent="0.25">
      <c r="A37" s="49" t="s">
        <v>43</v>
      </c>
      <c r="B37"/>
      <c r="C37" s="82"/>
      <c r="D37" s="82"/>
      <c r="E37" s="82"/>
      <c r="F37" s="82"/>
      <c r="G37" s="82"/>
      <c r="H37" s="82"/>
      <c r="I37" s="82"/>
      <c r="J37" s="82"/>
      <c r="K37" s="82"/>
      <c r="L37" s="82"/>
      <c r="M37" s="82"/>
      <c r="N37" s="105">
        <f t="shared" ref="N37:N56" si="6">SUM(C37:M37)</f>
        <v>0</v>
      </c>
      <c r="O37"/>
      <c r="P37" s="83"/>
      <c r="Q37" s="83"/>
      <c r="R37" s="83"/>
      <c r="S37" s="83"/>
      <c r="T37" s="83"/>
      <c r="U37" s="105">
        <f t="shared" ref="U37:U56" si="7">SUM(P37:T37)</f>
        <v>0</v>
      </c>
      <c r="V37"/>
      <c r="W37" s="83"/>
      <c r="X37" s="83"/>
      <c r="Y37" s="83"/>
      <c r="Z37" s="83">
        <f>0.35+0.35</f>
        <v>0.7</v>
      </c>
      <c r="AA37" s="38">
        <v>0.3</v>
      </c>
      <c r="AB37" s="105">
        <f t="shared" ref="AB37:AB56" si="8">SUM(W37:AA37)</f>
        <v>1</v>
      </c>
      <c r="AC37"/>
      <c r="AD37" s="112">
        <f t="shared" ref="AD37:AD56" si="9">SUM(AB37,U37,N37)</f>
        <v>1</v>
      </c>
      <c r="AE37" s="44"/>
      <c r="AF37" s="120"/>
      <c r="AH37" s="112">
        <f>SUM(AD37,AF37)</f>
        <v>1</v>
      </c>
    </row>
    <row r="38" spans="1:34" s="42" customFormat="1" ht="13.5" thickBot="1" x14ac:dyDescent="0.25">
      <c r="A38" s="19" t="s">
        <v>28</v>
      </c>
      <c r="B38"/>
      <c r="C38" s="84"/>
      <c r="D38" s="84"/>
      <c r="E38" s="84"/>
      <c r="F38" s="84"/>
      <c r="G38" s="84"/>
      <c r="H38" s="84"/>
      <c r="I38" s="84"/>
      <c r="J38" s="84"/>
      <c r="K38" s="84"/>
      <c r="L38" s="84"/>
      <c r="M38" s="84"/>
      <c r="N38" s="106">
        <f t="shared" si="6"/>
        <v>0</v>
      </c>
      <c r="O38"/>
      <c r="P38" s="85"/>
      <c r="Q38" s="85"/>
      <c r="R38" s="85"/>
      <c r="S38" s="85"/>
      <c r="T38" s="85"/>
      <c r="U38" s="106">
        <f t="shared" si="7"/>
        <v>0</v>
      </c>
      <c r="V38"/>
      <c r="W38" s="46">
        <v>0.20119999999999999</v>
      </c>
      <c r="X38" s="46">
        <v>0.20119999999999999</v>
      </c>
      <c r="Y38" s="46">
        <v>0.20119999999999999</v>
      </c>
      <c r="Z38" s="46">
        <v>0.20119999999999999</v>
      </c>
      <c r="AA38" s="86">
        <v>2</v>
      </c>
      <c r="AB38" s="106">
        <f t="shared" si="8"/>
        <v>2.8048000000000002</v>
      </c>
      <c r="AC38"/>
      <c r="AD38" s="113">
        <f t="shared" si="9"/>
        <v>2.8048000000000002</v>
      </c>
      <c r="AE38" s="44"/>
      <c r="AF38" s="121"/>
      <c r="AH38" s="113">
        <f t="shared" ref="AH38:AH56" si="10">SUM(AD38,AF38)</f>
        <v>2.8048000000000002</v>
      </c>
    </row>
    <row r="39" spans="1:34" s="42" customFormat="1" ht="13.5" thickBot="1" x14ac:dyDescent="0.25">
      <c r="A39" s="19" t="s">
        <v>29</v>
      </c>
      <c r="B39"/>
      <c r="C39" s="84">
        <v>325</v>
      </c>
      <c r="D39" s="84">
        <v>425</v>
      </c>
      <c r="E39" s="84"/>
      <c r="F39" s="84">
        <v>3.5</v>
      </c>
      <c r="G39" s="84">
        <v>5</v>
      </c>
      <c r="H39" s="84">
        <v>154.33799999999999</v>
      </c>
      <c r="I39" s="84"/>
      <c r="J39" s="84">
        <v>75</v>
      </c>
      <c r="K39" s="84">
        <v>75</v>
      </c>
      <c r="L39" s="84">
        <v>75</v>
      </c>
      <c r="M39" s="84">
        <v>75</v>
      </c>
      <c r="N39" s="106">
        <f t="shared" si="6"/>
        <v>1212.838</v>
      </c>
      <c r="O39"/>
      <c r="P39" s="85">
        <v>264.10000000000002</v>
      </c>
      <c r="Q39" s="85">
        <v>268.8</v>
      </c>
      <c r="R39" s="85">
        <v>283.10000000000002</v>
      </c>
      <c r="S39" s="85">
        <f>75+100.6+50</f>
        <v>225.6</v>
      </c>
      <c r="T39" s="85">
        <v>245</v>
      </c>
      <c r="U39" s="106">
        <f t="shared" si="7"/>
        <v>1286.6000000000001</v>
      </c>
      <c r="V39"/>
      <c r="W39" s="86">
        <f>260+14.6048+2.8952+2.5</f>
        <v>280</v>
      </c>
      <c r="X39" s="86">
        <f>300+13.7578+2.5+3.7422</f>
        <v>320</v>
      </c>
      <c r="Y39" s="86">
        <f>325+15</f>
        <v>340</v>
      </c>
      <c r="Z39" s="86">
        <f>300+15+1.544372</f>
        <v>316.54437200000001</v>
      </c>
      <c r="AA39" s="86">
        <v>290</v>
      </c>
      <c r="AB39" s="106">
        <f t="shared" si="8"/>
        <v>1546.5443720000001</v>
      </c>
      <c r="AC39"/>
      <c r="AD39" s="113">
        <f t="shared" si="9"/>
        <v>4045.9823720000004</v>
      </c>
      <c r="AE39" s="44"/>
      <c r="AF39" s="121"/>
      <c r="AH39" s="113">
        <f t="shared" si="10"/>
        <v>4045.9823720000004</v>
      </c>
    </row>
    <row r="40" spans="1:34" ht="26.25" thickBot="1" x14ac:dyDescent="0.25">
      <c r="A40" s="21" t="s">
        <v>46</v>
      </c>
      <c r="C40" s="84"/>
      <c r="D40" s="84"/>
      <c r="E40" s="84"/>
      <c r="F40" s="84"/>
      <c r="G40" s="84"/>
      <c r="H40" s="84"/>
      <c r="I40" s="84"/>
      <c r="J40" s="87"/>
      <c r="K40" s="85"/>
      <c r="L40" s="85"/>
      <c r="M40" s="85"/>
      <c r="N40" s="107">
        <f t="shared" si="6"/>
        <v>0</v>
      </c>
      <c r="P40" s="88"/>
      <c r="Q40" s="88">
        <v>4.3</v>
      </c>
      <c r="R40" s="88">
        <v>2.2000000000000002</v>
      </c>
      <c r="S40" s="88">
        <f>12.5+0.2754</f>
        <v>12.775399999999999</v>
      </c>
      <c r="T40" s="89">
        <v>12.5</v>
      </c>
      <c r="U40" s="107">
        <f t="shared" si="7"/>
        <v>31.775399999999998</v>
      </c>
      <c r="W40" s="89"/>
      <c r="X40" s="89"/>
      <c r="Y40" s="89"/>
      <c r="Z40" s="89"/>
      <c r="AA40" s="89"/>
      <c r="AB40" s="107">
        <f t="shared" si="8"/>
        <v>0</v>
      </c>
      <c r="AD40" s="113">
        <f t="shared" si="9"/>
        <v>31.775399999999998</v>
      </c>
      <c r="AE40" s="44"/>
      <c r="AF40" s="121"/>
      <c r="AH40" s="113">
        <f t="shared" si="10"/>
        <v>31.775399999999998</v>
      </c>
    </row>
    <row r="41" spans="1:34" s="42" customFormat="1" ht="26.25" thickBot="1" x14ac:dyDescent="0.25">
      <c r="A41" s="43" t="s">
        <v>30</v>
      </c>
      <c r="B41"/>
      <c r="C41" s="84"/>
      <c r="D41" s="84"/>
      <c r="E41" s="84"/>
      <c r="F41" s="84"/>
      <c r="G41" s="84"/>
      <c r="H41" s="84"/>
      <c r="I41" s="84"/>
      <c r="J41" s="84"/>
      <c r="K41" s="84"/>
      <c r="L41" s="84"/>
      <c r="M41" s="84"/>
      <c r="N41" s="106">
        <f t="shared" si="6"/>
        <v>0</v>
      </c>
      <c r="O41"/>
      <c r="P41" s="85"/>
      <c r="Q41" s="85"/>
      <c r="R41" s="85"/>
      <c r="S41" s="85"/>
      <c r="T41" s="86"/>
      <c r="U41" s="106">
        <f t="shared" si="7"/>
        <v>0</v>
      </c>
      <c r="V41"/>
      <c r="W41" s="86"/>
      <c r="X41" s="86">
        <v>0.5</v>
      </c>
      <c r="Y41" s="86">
        <v>0.5</v>
      </c>
      <c r="Z41" s="86">
        <v>0.5</v>
      </c>
      <c r="AA41" s="86"/>
      <c r="AB41" s="106">
        <f t="shared" si="8"/>
        <v>1.5</v>
      </c>
      <c r="AC41"/>
      <c r="AD41" s="113">
        <f t="shared" si="9"/>
        <v>1.5</v>
      </c>
      <c r="AE41" s="44"/>
      <c r="AF41" s="121"/>
      <c r="AH41" s="113">
        <f t="shared" si="10"/>
        <v>1.5</v>
      </c>
    </row>
    <row r="42" spans="1:34" s="42" customFormat="1" ht="13.5" thickBot="1" x14ac:dyDescent="0.25">
      <c r="A42" s="19" t="s">
        <v>31</v>
      </c>
      <c r="B42"/>
      <c r="C42" s="84"/>
      <c r="D42" s="84"/>
      <c r="E42" s="84"/>
      <c r="F42" s="84"/>
      <c r="G42" s="84"/>
      <c r="H42" s="84"/>
      <c r="I42" s="84"/>
      <c r="J42" s="84"/>
      <c r="K42" s="84"/>
      <c r="L42" s="84"/>
      <c r="M42" s="90"/>
      <c r="N42" s="106">
        <f t="shared" si="6"/>
        <v>0</v>
      </c>
      <c r="O42"/>
      <c r="P42" s="85"/>
      <c r="Q42" s="85">
        <v>3.2</v>
      </c>
      <c r="R42" s="85">
        <v>6.8552952600000001</v>
      </c>
      <c r="S42" s="85">
        <f>4.20525+1.5662+0.0658</f>
        <v>5.8372500000000009</v>
      </c>
      <c r="T42" s="86">
        <f>3.116+0.7803</f>
        <v>3.8963000000000001</v>
      </c>
      <c r="U42" s="106">
        <f t="shared" si="7"/>
        <v>19.788845260000002</v>
      </c>
      <c r="V42"/>
      <c r="W42" s="86">
        <f>0.66092+1.30805+0.622055</f>
        <v>2.5910250000000001</v>
      </c>
      <c r="X42" s="86">
        <f>1.35152579+1.33697</f>
        <v>2.6884957900000002</v>
      </c>
      <c r="Y42" s="86">
        <v>1.89882</v>
      </c>
      <c r="Z42" s="86">
        <v>0.63432999999999995</v>
      </c>
      <c r="AA42" s="86"/>
      <c r="AB42" s="106">
        <f t="shared" si="8"/>
        <v>7.8126707900000003</v>
      </c>
      <c r="AC42"/>
      <c r="AD42" s="113">
        <f t="shared" si="9"/>
        <v>27.601516050000001</v>
      </c>
      <c r="AE42" s="44"/>
      <c r="AF42" s="121"/>
      <c r="AH42" s="113">
        <f t="shared" si="10"/>
        <v>27.601516050000001</v>
      </c>
    </row>
    <row r="43" spans="1:34" s="42" customFormat="1" ht="26.25" customHeight="1" thickBot="1" x14ac:dyDescent="0.25">
      <c r="A43" s="43" t="s">
        <v>32</v>
      </c>
      <c r="B43"/>
      <c r="C43" s="84"/>
      <c r="D43" s="84"/>
      <c r="E43" s="84"/>
      <c r="F43" s="84"/>
      <c r="G43" s="84"/>
      <c r="H43" s="84"/>
      <c r="I43" s="84"/>
      <c r="J43" s="84"/>
      <c r="K43" s="84"/>
      <c r="L43" s="84"/>
      <c r="M43" s="84"/>
      <c r="N43" s="106">
        <f t="shared" si="6"/>
        <v>0</v>
      </c>
      <c r="O43"/>
      <c r="P43" s="85"/>
      <c r="Q43" s="85"/>
      <c r="R43" s="85"/>
      <c r="S43" s="85">
        <f>0.8+1.2</f>
        <v>2</v>
      </c>
      <c r="T43" s="86"/>
      <c r="U43" s="106">
        <f t="shared" si="7"/>
        <v>2</v>
      </c>
      <c r="V43"/>
      <c r="W43" s="86"/>
      <c r="X43" s="86"/>
      <c r="Y43" s="86">
        <v>0.855078</v>
      </c>
      <c r="Z43" s="86"/>
      <c r="AA43" s="46">
        <v>0.31638899999999998</v>
      </c>
      <c r="AB43" s="106">
        <f t="shared" si="8"/>
        <v>1.171467</v>
      </c>
      <c r="AC43"/>
      <c r="AD43" s="113">
        <f t="shared" si="9"/>
        <v>3.1714669999999998</v>
      </c>
      <c r="AE43" s="44"/>
      <c r="AF43" s="121"/>
      <c r="AH43" s="113">
        <f t="shared" si="10"/>
        <v>3.1714669999999998</v>
      </c>
    </row>
    <row r="44" spans="1:34" s="42" customFormat="1" ht="26.25" thickBot="1" x14ac:dyDescent="0.25">
      <c r="A44" s="19" t="s">
        <v>47</v>
      </c>
      <c r="B44"/>
      <c r="C44" s="84"/>
      <c r="D44" s="84"/>
      <c r="E44" s="84"/>
      <c r="F44" s="84"/>
      <c r="G44" s="84"/>
      <c r="H44" s="84"/>
      <c r="I44" s="84"/>
      <c r="J44" s="87"/>
      <c r="K44" s="85"/>
      <c r="L44" s="85"/>
      <c r="M44" s="85"/>
      <c r="N44" s="107">
        <f t="shared" si="6"/>
        <v>0</v>
      </c>
      <c r="O44"/>
      <c r="P44" s="85">
        <v>14.077608</v>
      </c>
      <c r="Q44" s="85">
        <v>8.8254854999999992</v>
      </c>
      <c r="R44" s="85">
        <v>10.096907</v>
      </c>
      <c r="S44" s="85"/>
      <c r="T44" s="86"/>
      <c r="U44" s="107">
        <f t="shared" si="7"/>
        <v>33.000000499999999</v>
      </c>
      <c r="V44"/>
      <c r="W44" s="86"/>
      <c r="X44" s="86">
        <v>5</v>
      </c>
      <c r="Y44" s="86"/>
      <c r="Z44" s="86"/>
      <c r="AA44" s="86"/>
      <c r="AB44" s="107">
        <f t="shared" si="8"/>
        <v>5</v>
      </c>
      <c r="AC44"/>
      <c r="AD44" s="113">
        <f t="shared" si="9"/>
        <v>38.000000499999999</v>
      </c>
      <c r="AE44" s="44"/>
      <c r="AF44" s="121"/>
      <c r="AH44" s="113">
        <f t="shared" si="10"/>
        <v>38.000000499999999</v>
      </c>
    </row>
    <row r="45" spans="1:34" s="42" customFormat="1" ht="26.25" thickBot="1" x14ac:dyDescent="0.25">
      <c r="A45" s="43" t="s">
        <v>48</v>
      </c>
      <c r="B45"/>
      <c r="C45" s="84"/>
      <c r="D45" s="84"/>
      <c r="E45" s="84"/>
      <c r="F45" s="84"/>
      <c r="G45" s="84"/>
      <c r="H45" s="84"/>
      <c r="I45" s="84"/>
      <c r="J45" s="87"/>
      <c r="K45" s="85"/>
      <c r="L45" s="85"/>
      <c r="M45" s="85"/>
      <c r="N45" s="107">
        <f t="shared" si="6"/>
        <v>0</v>
      </c>
      <c r="O45"/>
      <c r="P45" s="85"/>
      <c r="Q45" s="91"/>
      <c r="R45" s="85"/>
      <c r="S45" s="85"/>
      <c r="T45" s="86"/>
      <c r="U45" s="107">
        <f t="shared" si="7"/>
        <v>0</v>
      </c>
      <c r="V45"/>
      <c r="W45" s="86">
        <f>0.10916441+0.03383559</f>
        <v>0.14300000000000002</v>
      </c>
      <c r="X45" s="86">
        <f>0.075+0.143</f>
        <v>0.21799999999999997</v>
      </c>
      <c r="Y45" s="86">
        <f>0.211+0.5+0.143</f>
        <v>0.85399999999999998</v>
      </c>
      <c r="Z45" s="86">
        <f>0.3+0.143</f>
        <v>0.44299999999999995</v>
      </c>
      <c r="AA45" s="86"/>
      <c r="AB45" s="107">
        <f t="shared" si="8"/>
        <v>1.6579999999999999</v>
      </c>
      <c r="AC45"/>
      <c r="AD45" s="113">
        <f t="shared" si="9"/>
        <v>1.6579999999999999</v>
      </c>
      <c r="AE45" s="44"/>
      <c r="AF45" s="121"/>
      <c r="AH45" s="113">
        <f t="shared" si="10"/>
        <v>1.6579999999999999</v>
      </c>
    </row>
    <row r="46" spans="1:34" ht="13.5" thickBot="1" x14ac:dyDescent="0.25">
      <c r="A46" s="11" t="s">
        <v>33</v>
      </c>
      <c r="C46" s="84"/>
      <c r="D46" s="84"/>
      <c r="E46" s="84"/>
      <c r="F46" s="84"/>
      <c r="G46" s="84"/>
      <c r="H46" s="84"/>
      <c r="I46" s="84"/>
      <c r="J46" s="87"/>
      <c r="K46" s="85">
        <v>5.8</v>
      </c>
      <c r="L46" s="85">
        <v>5.9</v>
      </c>
      <c r="M46" s="85">
        <v>4</v>
      </c>
      <c r="N46" s="107">
        <f t="shared" si="6"/>
        <v>15.7</v>
      </c>
      <c r="P46" s="88">
        <v>3.1</v>
      </c>
      <c r="Q46" s="92">
        <v>2.8415940000000002</v>
      </c>
      <c r="R46" s="85">
        <v>2.0267418500000001</v>
      </c>
      <c r="S46" s="85">
        <f>0.08282487+1.3589+0.41790755-0.05290269</f>
        <v>1.80672973</v>
      </c>
      <c r="T46" s="86">
        <f>0.12171144+1.0905+0.10330079+0.00749712</f>
        <v>1.32300935</v>
      </c>
      <c r="U46" s="107">
        <f t="shared" si="7"/>
        <v>11.098074930000001</v>
      </c>
      <c r="W46" s="86">
        <f>0.54553356+0.02381135+1.09579371+0.52189105+0.15054668</f>
        <v>2.3375763500000004</v>
      </c>
      <c r="X46" s="86">
        <f>0.01439096+0.0742438+0.03536211+1.1219873+0.16116763+0.47137176+0.68446473</f>
        <v>2.5629882899999998</v>
      </c>
      <c r="Y46" s="86">
        <f>0.50279334+1.14379384</f>
        <v>1.64658718</v>
      </c>
      <c r="Z46" s="86">
        <f>2.1173994+1.2991243+1.0956</f>
        <v>4.5121237000000001</v>
      </c>
      <c r="AA46" s="86">
        <v>3.2592562900000002</v>
      </c>
      <c r="AB46" s="107">
        <f t="shared" si="8"/>
        <v>14.31853181</v>
      </c>
      <c r="AD46" s="113">
        <f t="shared" si="9"/>
        <v>41.116606739999995</v>
      </c>
      <c r="AE46" s="44"/>
      <c r="AF46" s="121"/>
      <c r="AH46" s="113">
        <f t="shared" si="10"/>
        <v>41.116606739999995</v>
      </c>
    </row>
    <row r="47" spans="1:34" ht="13.5" thickBot="1" x14ac:dyDescent="0.25">
      <c r="A47" s="20" t="s">
        <v>34</v>
      </c>
      <c r="C47" s="84"/>
      <c r="D47" s="84"/>
      <c r="E47" s="84"/>
      <c r="F47" s="84"/>
      <c r="G47" s="84"/>
      <c r="H47" s="84"/>
      <c r="I47" s="84"/>
      <c r="J47" s="87"/>
      <c r="K47" s="85"/>
      <c r="L47" s="85"/>
      <c r="M47" s="85"/>
      <c r="N47" s="107">
        <f t="shared" si="6"/>
        <v>0</v>
      </c>
      <c r="P47" s="88"/>
      <c r="Q47" s="88">
        <v>1.5</v>
      </c>
      <c r="R47" s="88">
        <v>2.5</v>
      </c>
      <c r="S47" s="88">
        <v>2</v>
      </c>
      <c r="T47" s="89">
        <v>1</v>
      </c>
      <c r="U47" s="107">
        <f t="shared" si="7"/>
        <v>7</v>
      </c>
      <c r="W47" s="89">
        <v>1.2</v>
      </c>
      <c r="X47" s="89">
        <v>1</v>
      </c>
      <c r="Y47" s="89"/>
      <c r="Z47" s="89">
        <v>2.0000499999999999</v>
      </c>
      <c r="AA47" s="89"/>
      <c r="AB47" s="107">
        <f t="shared" si="8"/>
        <v>4.2000500000000001</v>
      </c>
      <c r="AD47" s="113">
        <f t="shared" si="9"/>
        <v>11.200050000000001</v>
      </c>
      <c r="AE47" s="44"/>
      <c r="AF47" s="121"/>
      <c r="AH47" s="113">
        <f t="shared" si="10"/>
        <v>11.200050000000001</v>
      </c>
    </row>
    <row r="48" spans="1:34" ht="13.5" thickBot="1" x14ac:dyDescent="0.25">
      <c r="A48" s="31" t="s">
        <v>35</v>
      </c>
      <c r="C48" s="84"/>
      <c r="D48" s="84"/>
      <c r="E48" s="84"/>
      <c r="F48" s="84"/>
      <c r="G48" s="84"/>
      <c r="H48" s="84"/>
      <c r="I48" s="84"/>
      <c r="J48" s="87"/>
      <c r="K48" s="85"/>
      <c r="L48" s="85"/>
      <c r="M48" s="85"/>
      <c r="N48" s="107">
        <f t="shared" si="6"/>
        <v>0</v>
      </c>
      <c r="P48" s="88"/>
      <c r="Q48" s="88"/>
      <c r="R48" s="88"/>
      <c r="S48" s="88">
        <f>2+3+2.5</f>
        <v>7.5</v>
      </c>
      <c r="T48" s="89">
        <f>2.5+2.5+2.5</f>
        <v>7.5</v>
      </c>
      <c r="U48" s="107">
        <f t="shared" si="7"/>
        <v>15</v>
      </c>
      <c r="W48" s="89">
        <f>1.5+1+2.392+0.108+0.5</f>
        <v>5.4999999999999991</v>
      </c>
      <c r="X48" s="89">
        <f>2+2+1+2.5+2</f>
        <v>9.5</v>
      </c>
      <c r="Y48" s="89"/>
      <c r="Z48" s="89"/>
      <c r="AA48" s="89"/>
      <c r="AB48" s="107">
        <f t="shared" si="8"/>
        <v>15</v>
      </c>
      <c r="AD48" s="113">
        <f t="shared" si="9"/>
        <v>30</v>
      </c>
      <c r="AE48" s="44"/>
      <c r="AF48" s="121"/>
      <c r="AH48" s="113">
        <f t="shared" si="10"/>
        <v>30</v>
      </c>
    </row>
    <row r="49" spans="1:34" ht="26.25" thickBot="1" x14ac:dyDescent="0.25">
      <c r="A49" s="19" t="s">
        <v>36</v>
      </c>
      <c r="C49" s="84"/>
      <c r="D49" s="84"/>
      <c r="E49" s="84"/>
      <c r="F49" s="84"/>
      <c r="G49" s="84"/>
      <c r="H49" s="84"/>
      <c r="I49" s="84"/>
      <c r="J49" s="87"/>
      <c r="K49" s="85"/>
      <c r="L49" s="85"/>
      <c r="M49" s="85"/>
      <c r="N49" s="107">
        <f t="shared" si="6"/>
        <v>0</v>
      </c>
      <c r="P49" s="88"/>
      <c r="Q49" s="92"/>
      <c r="R49" s="85">
        <v>0.65</v>
      </c>
      <c r="S49" s="45">
        <v>0.45</v>
      </c>
      <c r="T49" s="86"/>
      <c r="U49" s="107">
        <f t="shared" si="7"/>
        <v>1.1000000000000001</v>
      </c>
      <c r="W49" s="86"/>
      <c r="X49" s="86"/>
      <c r="Y49" s="86"/>
      <c r="Z49" s="86"/>
      <c r="AA49" s="86"/>
      <c r="AB49" s="107">
        <f t="shared" si="8"/>
        <v>0</v>
      </c>
      <c r="AD49" s="113">
        <f t="shared" si="9"/>
        <v>1.1000000000000001</v>
      </c>
      <c r="AE49" s="44"/>
      <c r="AF49" s="121"/>
      <c r="AH49" s="113">
        <f t="shared" si="10"/>
        <v>1.1000000000000001</v>
      </c>
    </row>
    <row r="50" spans="1:34" ht="13.5" thickBot="1" x14ac:dyDescent="0.25">
      <c r="A50" s="20" t="s">
        <v>37</v>
      </c>
      <c r="C50" s="84"/>
      <c r="D50" s="84"/>
      <c r="E50" s="84"/>
      <c r="F50" s="84"/>
      <c r="G50" s="84"/>
      <c r="H50" s="84"/>
      <c r="I50" s="84"/>
      <c r="J50" s="87"/>
      <c r="K50" s="85"/>
      <c r="L50" s="85"/>
      <c r="M50" s="85"/>
      <c r="N50" s="107">
        <f t="shared" si="6"/>
        <v>0</v>
      </c>
      <c r="P50" s="88"/>
      <c r="Q50" s="88"/>
      <c r="R50" s="88"/>
      <c r="S50" s="88"/>
      <c r="T50" s="89"/>
      <c r="U50" s="107">
        <f t="shared" si="7"/>
        <v>0</v>
      </c>
      <c r="W50" s="89"/>
      <c r="X50" s="89"/>
      <c r="Y50" s="89">
        <v>1.3858200000000001</v>
      </c>
      <c r="Z50" s="89"/>
      <c r="AA50" s="89"/>
      <c r="AB50" s="107">
        <f t="shared" si="8"/>
        <v>1.3858200000000001</v>
      </c>
      <c r="AD50" s="113">
        <f t="shared" si="9"/>
        <v>1.3858200000000001</v>
      </c>
      <c r="AE50" s="44"/>
      <c r="AF50" s="121"/>
      <c r="AH50" s="113">
        <f t="shared" si="10"/>
        <v>1.3858200000000001</v>
      </c>
    </row>
    <row r="51" spans="1:34" ht="13.5" thickBot="1" x14ac:dyDescent="0.25">
      <c r="A51" s="11" t="s">
        <v>38</v>
      </c>
      <c r="C51" s="84"/>
      <c r="D51" s="84"/>
      <c r="E51" s="84"/>
      <c r="F51" s="84"/>
      <c r="G51" s="84"/>
      <c r="H51" s="84"/>
      <c r="I51" s="84"/>
      <c r="J51" s="87"/>
      <c r="K51" s="85"/>
      <c r="L51" s="85"/>
      <c r="M51" s="85"/>
      <c r="N51" s="107">
        <f t="shared" si="6"/>
        <v>0</v>
      </c>
      <c r="P51" s="88"/>
      <c r="Q51" s="92"/>
      <c r="R51" s="85"/>
      <c r="S51" s="85"/>
      <c r="T51" s="86">
        <v>1.05</v>
      </c>
      <c r="U51" s="107">
        <f t="shared" si="7"/>
        <v>1.05</v>
      </c>
      <c r="W51" s="86">
        <f>0.1+2</f>
        <v>2.1</v>
      </c>
      <c r="X51" s="86">
        <v>2</v>
      </c>
      <c r="Y51" s="86">
        <f>0.5+0.5+0.9</f>
        <v>1.9</v>
      </c>
      <c r="Z51" s="46">
        <v>0.1</v>
      </c>
      <c r="AA51" s="86"/>
      <c r="AB51" s="107">
        <f t="shared" si="8"/>
        <v>6.1</v>
      </c>
      <c r="AD51" s="113">
        <f t="shared" si="9"/>
        <v>7.1499999999999995</v>
      </c>
      <c r="AE51" s="44"/>
      <c r="AF51" s="121"/>
      <c r="AH51" s="113">
        <f t="shared" si="10"/>
        <v>7.1499999999999995</v>
      </c>
    </row>
    <row r="52" spans="1:34" ht="15" thickBot="1" x14ac:dyDescent="0.25">
      <c r="A52" s="31" t="s">
        <v>50</v>
      </c>
      <c r="C52" s="84"/>
      <c r="D52" s="84"/>
      <c r="E52" s="84"/>
      <c r="F52" s="84"/>
      <c r="G52" s="84"/>
      <c r="H52" s="84"/>
      <c r="I52" s="84"/>
      <c r="J52" s="87"/>
      <c r="K52" s="85"/>
      <c r="L52" s="85"/>
      <c r="M52" s="85"/>
      <c r="N52" s="107">
        <f t="shared" si="6"/>
        <v>0</v>
      </c>
      <c r="P52" s="88"/>
      <c r="Q52" s="88"/>
      <c r="R52" s="88"/>
      <c r="S52" s="88"/>
      <c r="T52" s="89"/>
      <c r="U52" s="107">
        <f t="shared" si="7"/>
        <v>0</v>
      </c>
      <c r="W52" s="89"/>
      <c r="X52" s="89"/>
      <c r="Y52" s="89"/>
      <c r="Z52" s="89"/>
      <c r="AA52" s="89"/>
      <c r="AB52" s="107">
        <f t="shared" si="8"/>
        <v>0</v>
      </c>
      <c r="AD52" s="113">
        <f t="shared" si="9"/>
        <v>0</v>
      </c>
      <c r="AE52" s="44"/>
      <c r="AF52" s="121">
        <v>30</v>
      </c>
      <c r="AH52" s="113">
        <f t="shared" si="10"/>
        <v>30</v>
      </c>
    </row>
    <row r="53" spans="1:34" ht="13.5" thickBot="1" x14ac:dyDescent="0.25">
      <c r="A53" s="11" t="s">
        <v>45</v>
      </c>
      <c r="C53" s="84"/>
      <c r="D53" s="84"/>
      <c r="E53" s="84"/>
      <c r="F53" s="84"/>
      <c r="G53" s="84"/>
      <c r="H53" s="84"/>
      <c r="I53" s="84"/>
      <c r="J53" s="87"/>
      <c r="K53" s="85"/>
      <c r="L53" s="85"/>
      <c r="M53" s="85"/>
      <c r="N53" s="107">
        <f t="shared" si="6"/>
        <v>0</v>
      </c>
      <c r="P53" s="88"/>
      <c r="Q53" s="92"/>
      <c r="R53" s="85"/>
      <c r="S53" s="85"/>
      <c r="T53" s="86"/>
      <c r="U53" s="107">
        <f t="shared" si="7"/>
        <v>0</v>
      </c>
      <c r="W53" s="86"/>
      <c r="X53" s="86"/>
      <c r="Y53" s="86"/>
      <c r="Z53" s="86">
        <v>3</v>
      </c>
      <c r="AA53" s="86"/>
      <c r="AB53" s="107">
        <f t="shared" si="8"/>
        <v>3</v>
      </c>
      <c r="AD53" s="113">
        <f t="shared" si="9"/>
        <v>3</v>
      </c>
      <c r="AE53" s="44"/>
      <c r="AF53" s="121"/>
      <c r="AH53" s="113">
        <f t="shared" si="10"/>
        <v>3</v>
      </c>
    </row>
    <row r="54" spans="1:34" ht="13.5" thickBot="1" x14ac:dyDescent="0.25">
      <c r="A54" s="31" t="s">
        <v>55</v>
      </c>
      <c r="C54" s="84"/>
      <c r="D54" s="84"/>
      <c r="E54" s="84"/>
      <c r="F54" s="84"/>
      <c r="G54" s="84"/>
      <c r="H54" s="84"/>
      <c r="I54" s="84"/>
      <c r="J54" s="87"/>
      <c r="K54" s="85"/>
      <c r="L54" s="85"/>
      <c r="M54" s="85"/>
      <c r="N54" s="107">
        <f t="shared" si="6"/>
        <v>0</v>
      </c>
      <c r="P54" s="88"/>
      <c r="Q54" s="88"/>
      <c r="R54" s="88"/>
      <c r="S54" s="88"/>
      <c r="T54" s="89"/>
      <c r="U54" s="107">
        <f t="shared" si="7"/>
        <v>0</v>
      </c>
      <c r="W54" s="89"/>
      <c r="X54" s="89"/>
      <c r="Y54" s="89"/>
      <c r="Z54" s="89"/>
      <c r="AA54" s="89">
        <v>5</v>
      </c>
      <c r="AB54" s="107">
        <f t="shared" si="8"/>
        <v>5</v>
      </c>
      <c r="AD54" s="113">
        <f t="shared" si="9"/>
        <v>5</v>
      </c>
      <c r="AE54" s="44"/>
      <c r="AF54" s="121">
        <v>5</v>
      </c>
      <c r="AH54" s="113">
        <f t="shared" si="10"/>
        <v>10</v>
      </c>
    </row>
    <row r="55" spans="1:34" ht="15" thickBot="1" x14ac:dyDescent="0.25">
      <c r="A55" s="34" t="s">
        <v>54</v>
      </c>
      <c r="C55" s="84"/>
      <c r="D55" s="84"/>
      <c r="E55" s="84"/>
      <c r="F55" s="84"/>
      <c r="G55" s="84"/>
      <c r="H55" s="84"/>
      <c r="I55" s="84"/>
      <c r="J55" s="87"/>
      <c r="K55" s="85"/>
      <c r="L55" s="85"/>
      <c r="M55" s="85"/>
      <c r="N55" s="107">
        <f t="shared" si="6"/>
        <v>0</v>
      </c>
      <c r="P55" s="88"/>
      <c r="Q55" s="92"/>
      <c r="R55" s="85"/>
      <c r="S55" s="85"/>
      <c r="T55" s="86"/>
      <c r="U55" s="107">
        <f t="shared" si="7"/>
        <v>0</v>
      </c>
      <c r="W55" s="86">
        <v>1.0444</v>
      </c>
      <c r="X55" s="86">
        <v>1.10490844</v>
      </c>
      <c r="Y55" s="86">
        <v>1.0774045000000001</v>
      </c>
      <c r="Z55" s="86">
        <v>0.55359999999999998</v>
      </c>
      <c r="AA55" s="86"/>
      <c r="AB55" s="107">
        <f t="shared" si="8"/>
        <v>3.78031294</v>
      </c>
      <c r="AD55" s="113">
        <f t="shared" si="9"/>
        <v>3.78031294</v>
      </c>
      <c r="AE55" s="44"/>
      <c r="AF55" s="121"/>
      <c r="AH55" s="113">
        <f t="shared" si="10"/>
        <v>3.78031294</v>
      </c>
    </row>
    <row r="56" spans="1:34" ht="15" thickBot="1" x14ac:dyDescent="0.25">
      <c r="A56" s="30" t="s">
        <v>56</v>
      </c>
      <c r="C56" s="118">
        <v>0.02</v>
      </c>
      <c r="D56" s="85"/>
      <c r="E56" s="85">
        <v>1.6303609999999999</v>
      </c>
      <c r="F56" s="85">
        <v>2.5808469999999999</v>
      </c>
      <c r="G56" s="85">
        <v>1.805051</v>
      </c>
      <c r="H56" s="45">
        <v>0.47348000000000001</v>
      </c>
      <c r="I56" s="85">
        <v>1.904352</v>
      </c>
      <c r="J56" s="85">
        <v>1.1000000000000001</v>
      </c>
      <c r="K56" s="85">
        <v>0.8</v>
      </c>
      <c r="L56" s="85">
        <v>1</v>
      </c>
      <c r="M56" s="85">
        <v>1</v>
      </c>
      <c r="N56" s="107">
        <f t="shared" si="6"/>
        <v>12.314090999999999</v>
      </c>
      <c r="P56" s="85">
        <v>4.1880000000000006</v>
      </c>
      <c r="Q56" s="85">
        <v>3.4104000000000001</v>
      </c>
      <c r="R56" s="85">
        <v>5.7363503400000004</v>
      </c>
      <c r="S56" s="85">
        <v>2.32958709</v>
      </c>
      <c r="T56" s="86">
        <v>0.85855387000000005</v>
      </c>
      <c r="U56" s="107">
        <f t="shared" si="7"/>
        <v>16.522891300000001</v>
      </c>
      <c r="W56" s="46">
        <v>0.12480490000000002</v>
      </c>
      <c r="X56" s="46">
        <v>0.18140292</v>
      </c>
      <c r="Y56" s="46">
        <v>8.4956599999999993E-2</v>
      </c>
      <c r="Z56" s="86">
        <f>0.68882139+0.5+0.25</f>
        <v>1.43882139</v>
      </c>
      <c r="AA56" s="86">
        <v>1.1153273800000001</v>
      </c>
      <c r="AB56" s="107">
        <f t="shared" si="8"/>
        <v>2.9453131900000002</v>
      </c>
      <c r="AD56" s="114">
        <f t="shared" si="9"/>
        <v>31.782295490000003</v>
      </c>
      <c r="AE56" s="44"/>
      <c r="AF56" s="121"/>
      <c r="AH56" s="114">
        <f t="shared" si="10"/>
        <v>31.782295490000003</v>
      </c>
    </row>
    <row r="57" spans="1:34" ht="13.5" thickBot="1" x14ac:dyDescent="0.25">
      <c r="A57" s="16" t="s">
        <v>39</v>
      </c>
      <c r="C57" s="93">
        <f t="shared" ref="C57:AD57" si="11">SUM(C37:C56)</f>
        <v>325.02</v>
      </c>
      <c r="D57" s="93">
        <f t="shared" si="11"/>
        <v>425</v>
      </c>
      <c r="E57" s="93">
        <f t="shared" si="11"/>
        <v>1.6303609999999999</v>
      </c>
      <c r="F57" s="93">
        <f t="shared" si="11"/>
        <v>6.0808470000000003</v>
      </c>
      <c r="G57" s="93">
        <f t="shared" si="11"/>
        <v>6.8050509999999997</v>
      </c>
      <c r="H57" s="93">
        <f t="shared" si="11"/>
        <v>154.81147999999999</v>
      </c>
      <c r="I57" s="93">
        <f t="shared" si="11"/>
        <v>1.904352</v>
      </c>
      <c r="J57" s="93">
        <f t="shared" si="11"/>
        <v>76.099999999999994</v>
      </c>
      <c r="K57" s="93">
        <f t="shared" si="11"/>
        <v>81.599999999999994</v>
      </c>
      <c r="L57" s="93">
        <f t="shared" si="11"/>
        <v>81.900000000000006</v>
      </c>
      <c r="M57" s="93">
        <f t="shared" si="11"/>
        <v>80</v>
      </c>
      <c r="N57" s="126">
        <f t="shared" si="11"/>
        <v>1240.852091</v>
      </c>
      <c r="P57" s="93">
        <f t="shared" si="11"/>
        <v>285.46560800000003</v>
      </c>
      <c r="Q57" s="93">
        <f t="shared" si="11"/>
        <v>292.87747949999999</v>
      </c>
      <c r="R57" s="93">
        <f t="shared" si="11"/>
        <v>313.16529444999998</v>
      </c>
      <c r="S57" s="93">
        <f t="shared" si="11"/>
        <v>260.29896681999998</v>
      </c>
      <c r="T57" s="93">
        <f t="shared" si="11"/>
        <v>273.12786321999999</v>
      </c>
      <c r="U57" s="126">
        <f t="shared" si="11"/>
        <v>1424.93521199</v>
      </c>
      <c r="W57" s="93">
        <f t="shared" si="11"/>
        <v>295.24200624999997</v>
      </c>
      <c r="X57" s="93">
        <f t="shared" si="11"/>
        <v>344.95699543999996</v>
      </c>
      <c r="Y57" s="93">
        <f t="shared" si="11"/>
        <v>350.40386627999993</v>
      </c>
      <c r="Z57" s="93">
        <f t="shared" si="11"/>
        <v>330.62749709000002</v>
      </c>
      <c r="AA57" s="93">
        <f t="shared" si="11"/>
        <v>301.99097267000002</v>
      </c>
      <c r="AB57" s="126">
        <f t="shared" si="11"/>
        <v>1623.2213377299997</v>
      </c>
      <c r="AD57" s="125">
        <f t="shared" si="11"/>
        <v>4289.0086407200015</v>
      </c>
      <c r="AE57" s="13"/>
      <c r="AF57" s="127">
        <f>SUM(AF37:AF56)</f>
        <v>35</v>
      </c>
      <c r="AH57" s="125">
        <f>SUM(AH37:AH56)</f>
        <v>4324.0086407200015</v>
      </c>
    </row>
    <row r="58" spans="1:34" s="42" customFormat="1" ht="13.5" thickBot="1" x14ac:dyDescent="0.25">
      <c r="A58" s="17"/>
      <c r="B58"/>
      <c r="C58" s="94"/>
      <c r="D58" s="94"/>
      <c r="E58" s="94"/>
      <c r="F58" s="94"/>
      <c r="G58" s="94"/>
      <c r="H58" s="94"/>
      <c r="I58" s="94"/>
      <c r="J58" s="94"/>
      <c r="K58" s="94"/>
      <c r="L58" s="94"/>
      <c r="M58" s="94"/>
      <c r="N58" s="22"/>
      <c r="O58"/>
      <c r="P58" s="94"/>
      <c r="Q58" s="94"/>
      <c r="R58" s="94"/>
      <c r="S58" s="94"/>
      <c r="T58" s="94"/>
      <c r="U58" s="22"/>
      <c r="V58"/>
      <c r="W58" s="94"/>
      <c r="X58" s="94"/>
      <c r="Y58" s="94"/>
      <c r="Z58" s="94"/>
      <c r="AA58" s="94"/>
      <c r="AB58" s="22"/>
      <c r="AC58"/>
      <c r="AD58" s="18"/>
      <c r="AE58" s="13"/>
      <c r="AF58" s="123"/>
      <c r="AH58" s="18"/>
    </row>
    <row r="59" spans="1:34" ht="13.5" thickBot="1" x14ac:dyDescent="0.25">
      <c r="A59" s="23" t="s">
        <v>40</v>
      </c>
      <c r="C59" s="95">
        <f t="shared" ref="C59:AH59" si="12">C35+C57</f>
        <v>329.48339999999996</v>
      </c>
      <c r="D59" s="95">
        <f t="shared" si="12"/>
        <v>518.08656439000004</v>
      </c>
      <c r="E59" s="95">
        <f t="shared" si="12"/>
        <v>107.88534496</v>
      </c>
      <c r="F59" s="95">
        <f t="shared" si="12"/>
        <v>116.99487873000001</v>
      </c>
      <c r="G59" s="95">
        <f t="shared" si="12"/>
        <v>167.20320235999998</v>
      </c>
      <c r="H59" s="95">
        <f t="shared" si="12"/>
        <v>429.73539605999997</v>
      </c>
      <c r="I59" s="95">
        <f t="shared" si="12"/>
        <v>218.10446149000003</v>
      </c>
      <c r="J59" s="95">
        <f t="shared" si="12"/>
        <v>358.39137800000003</v>
      </c>
      <c r="K59" s="95">
        <f t="shared" si="12"/>
        <v>350.92929426000001</v>
      </c>
      <c r="L59" s="95">
        <f t="shared" si="12"/>
        <v>337.88825982000003</v>
      </c>
      <c r="M59" s="95">
        <f t="shared" si="12"/>
        <v>332.64002400000004</v>
      </c>
      <c r="N59" s="124">
        <f t="shared" si="12"/>
        <v>3267.3422040699998</v>
      </c>
      <c r="P59" s="95">
        <f t="shared" si="12"/>
        <v>798.35660800000005</v>
      </c>
      <c r="Q59" s="95">
        <f t="shared" si="12"/>
        <v>908.0821338400001</v>
      </c>
      <c r="R59" s="95">
        <f t="shared" si="12"/>
        <v>1307.5018276000001</v>
      </c>
      <c r="S59" s="95">
        <f t="shared" si="12"/>
        <v>1181.1065951600001</v>
      </c>
      <c r="T59" s="95">
        <f t="shared" si="12"/>
        <v>1275.10837741</v>
      </c>
      <c r="U59" s="124">
        <f t="shared" si="12"/>
        <v>5470.1555420099994</v>
      </c>
      <c r="W59" s="95">
        <f t="shared" si="12"/>
        <v>1468.4981930200001</v>
      </c>
      <c r="X59" s="95">
        <f t="shared" si="12"/>
        <v>1470.50115691</v>
      </c>
      <c r="Y59" s="95">
        <f t="shared" si="12"/>
        <v>1488.3740361124999</v>
      </c>
      <c r="Z59" s="95">
        <f t="shared" si="12"/>
        <v>1610.6591853100003</v>
      </c>
      <c r="AA59" s="95">
        <f t="shared" si="12"/>
        <v>1064.513258365816</v>
      </c>
      <c r="AB59" s="124">
        <f t="shared" si="12"/>
        <v>7102.5458297183159</v>
      </c>
      <c r="AD59" s="124">
        <f t="shared" si="12"/>
        <v>15840.043575798318</v>
      </c>
      <c r="AE59" s="13"/>
      <c r="AF59" s="127">
        <f t="shared" si="12"/>
        <v>75.5</v>
      </c>
      <c r="AH59" s="124">
        <f t="shared" si="12"/>
        <v>15915.543575798318</v>
      </c>
    </row>
    <row r="60" spans="1:34" s="25" customFormat="1" ht="13.5" thickBot="1" x14ac:dyDescent="0.25">
      <c r="A60" s="24"/>
      <c r="B60"/>
      <c r="C60" s="94"/>
      <c r="D60" s="94"/>
      <c r="E60" s="94"/>
      <c r="F60" s="94"/>
      <c r="G60" s="94"/>
      <c r="H60" s="94"/>
      <c r="I60" s="94"/>
      <c r="J60" s="94"/>
      <c r="K60" s="94"/>
      <c r="L60" s="94"/>
      <c r="M60" s="94"/>
      <c r="N60" s="22"/>
      <c r="O60"/>
      <c r="P60" s="94"/>
      <c r="Q60" s="94"/>
      <c r="R60" s="94"/>
      <c r="S60" s="94"/>
      <c r="T60" s="94"/>
      <c r="U60" s="22"/>
      <c r="V60"/>
      <c r="W60" s="94"/>
      <c r="X60" s="94"/>
      <c r="Y60" s="94"/>
      <c r="Z60" s="94"/>
      <c r="AA60" s="94"/>
      <c r="AB60" s="22"/>
      <c r="AC60"/>
      <c r="AD60" s="22"/>
      <c r="AE60" s="13"/>
      <c r="AF60" s="40"/>
    </row>
    <row r="61" spans="1:34" ht="15" thickBot="1" x14ac:dyDescent="0.25">
      <c r="A61" s="26" t="s">
        <v>57</v>
      </c>
      <c r="C61" s="80"/>
      <c r="D61" s="80"/>
      <c r="E61" s="80"/>
      <c r="F61" s="80"/>
      <c r="G61" s="80"/>
      <c r="H61" s="80"/>
      <c r="I61" s="80">
        <v>524.74928499999999</v>
      </c>
      <c r="J61" s="80">
        <v>428.268866</v>
      </c>
      <c r="K61" s="80">
        <v>272.63813299999998</v>
      </c>
      <c r="L61" s="80">
        <v>330.02699999999999</v>
      </c>
      <c r="M61" s="80">
        <v>320</v>
      </c>
      <c r="N61" s="125">
        <f t="shared" ref="N61:N62" si="13">SUM(C61:M61)</f>
        <v>1875.683284</v>
      </c>
      <c r="P61" s="80">
        <v>300</v>
      </c>
      <c r="Q61" s="80">
        <v>100</v>
      </c>
      <c r="R61" s="80">
        <v>200</v>
      </c>
      <c r="S61" s="96">
        <v>0</v>
      </c>
      <c r="T61" s="96">
        <v>0</v>
      </c>
      <c r="U61" s="125">
        <f t="shared" ref="U61:U62" si="14">SUM(P61:T61)</f>
        <v>600</v>
      </c>
      <c r="W61" s="96">
        <v>100</v>
      </c>
      <c r="X61" s="96">
        <v>0</v>
      </c>
      <c r="Y61" s="96">
        <v>50</v>
      </c>
      <c r="Z61" s="96">
        <f>65.69998245+250</f>
        <v>315.69998244999999</v>
      </c>
      <c r="AA61" s="96">
        <v>200.36460761999999</v>
      </c>
      <c r="AB61" s="125">
        <f t="shared" ref="AB61:AB62" si="15">SUM(W61:AA61)</f>
        <v>666.06459007000001</v>
      </c>
      <c r="AD61" s="125">
        <f>SUM(AB61,U61,N61)</f>
        <v>3141.7478740699999</v>
      </c>
      <c r="AE61" s="10"/>
    </row>
    <row r="62" spans="1:34" ht="15" thickBot="1" x14ac:dyDescent="0.25">
      <c r="A62" s="26" t="s">
        <v>58</v>
      </c>
      <c r="C62" s="80"/>
      <c r="D62" s="80"/>
      <c r="E62" s="80"/>
      <c r="F62" s="80"/>
      <c r="G62" s="80"/>
      <c r="H62" s="80"/>
      <c r="I62" s="80"/>
      <c r="J62" s="80"/>
      <c r="K62" s="80"/>
      <c r="L62" s="80"/>
      <c r="M62" s="80">
        <v>42.877049999999997</v>
      </c>
      <c r="N62" s="125">
        <f t="shared" si="13"/>
        <v>42.877049999999997</v>
      </c>
      <c r="P62" s="80">
        <f>128165700/1000000</f>
        <v>128.16569999999999</v>
      </c>
      <c r="Q62" s="80">
        <v>223.5</v>
      </c>
      <c r="R62" s="80">
        <v>214.42</v>
      </c>
      <c r="S62" s="80">
        <f>25+65+6+36.72+105</f>
        <v>237.72</v>
      </c>
      <c r="T62" s="80">
        <f>10+100+12.96</f>
        <v>122.96000000000001</v>
      </c>
      <c r="U62" s="125">
        <f t="shared" si="14"/>
        <v>926.76570000000004</v>
      </c>
      <c r="W62" s="80">
        <f>17+73+8.5+8.64</f>
        <v>107.14</v>
      </c>
      <c r="X62" s="80">
        <f>18.21725+16.5</f>
        <v>34.71725</v>
      </c>
      <c r="Y62" s="80">
        <f>25+20+11.5425</f>
        <v>56.542500000000004</v>
      </c>
      <c r="Z62" s="80">
        <f>55+7.695+6.7625</f>
        <v>69.457499999999996</v>
      </c>
      <c r="AA62" s="80">
        <v>27</v>
      </c>
      <c r="AB62" s="125">
        <f t="shared" si="15"/>
        <v>294.85724999999996</v>
      </c>
      <c r="AD62" s="125">
        <f>SUM(AB62,U62,N62)</f>
        <v>1264.5</v>
      </c>
      <c r="AE62" s="10"/>
      <c r="AF62" s="48"/>
    </row>
    <row r="63" spans="1:34" s="42" customFormat="1" ht="13.5" thickBot="1" x14ac:dyDescent="0.25">
      <c r="A63" s="24"/>
      <c r="B63"/>
      <c r="C63" s="81"/>
      <c r="D63" s="81"/>
      <c r="E63" s="81"/>
      <c r="F63" s="81"/>
      <c r="G63" s="81"/>
      <c r="H63" s="81"/>
      <c r="I63" s="81"/>
      <c r="J63" s="81"/>
      <c r="K63" s="81"/>
      <c r="L63" s="81"/>
      <c r="M63" s="81"/>
      <c r="N63" s="18"/>
      <c r="O63"/>
      <c r="P63" s="81"/>
      <c r="Q63" s="81"/>
      <c r="R63" s="81"/>
      <c r="S63" s="81"/>
      <c r="T63" s="81"/>
      <c r="U63" s="18"/>
      <c r="V63"/>
      <c r="W63" s="81"/>
      <c r="X63" s="81"/>
      <c r="Y63" s="81"/>
      <c r="Z63" s="81"/>
      <c r="AA63" s="81"/>
      <c r="AB63" s="18"/>
      <c r="AC63"/>
      <c r="AD63" s="18"/>
      <c r="AE63" s="13"/>
      <c r="AF63" s="40"/>
      <c r="AG63" s="40"/>
      <c r="AH63" s="40"/>
    </row>
    <row r="64" spans="1:34" ht="13.5" thickBot="1" x14ac:dyDescent="0.25">
      <c r="A64" s="27" t="s">
        <v>41</v>
      </c>
      <c r="C64" s="97">
        <f t="shared" ref="C64:AD64" si="16">SUM(C59:C62)</f>
        <v>329.48339999999996</v>
      </c>
      <c r="D64" s="97">
        <f t="shared" si="16"/>
        <v>518.08656439000004</v>
      </c>
      <c r="E64" s="97">
        <f t="shared" si="16"/>
        <v>107.88534496</v>
      </c>
      <c r="F64" s="97">
        <f t="shared" si="16"/>
        <v>116.99487873000001</v>
      </c>
      <c r="G64" s="97">
        <f t="shared" si="16"/>
        <v>167.20320235999998</v>
      </c>
      <c r="H64" s="97">
        <f t="shared" si="16"/>
        <v>429.73539605999997</v>
      </c>
      <c r="I64" s="97">
        <f t="shared" si="16"/>
        <v>742.85374649000005</v>
      </c>
      <c r="J64" s="97">
        <f t="shared" si="16"/>
        <v>786.66024400000003</v>
      </c>
      <c r="K64" s="97">
        <f t="shared" si="16"/>
        <v>623.56742725999993</v>
      </c>
      <c r="L64" s="97">
        <f t="shared" si="16"/>
        <v>667.91525982000007</v>
      </c>
      <c r="M64" s="97">
        <f t="shared" si="16"/>
        <v>695.51707400000009</v>
      </c>
      <c r="N64" s="124">
        <f t="shared" si="16"/>
        <v>5185.9025380699995</v>
      </c>
      <c r="P64" s="97">
        <f t="shared" si="16"/>
        <v>1226.5223080000001</v>
      </c>
      <c r="Q64" s="97">
        <f t="shared" si="16"/>
        <v>1231.5821338400001</v>
      </c>
      <c r="R64" s="97">
        <f t="shared" si="16"/>
        <v>1721.9218276000001</v>
      </c>
      <c r="S64" s="97">
        <f t="shared" si="16"/>
        <v>1418.8265951600001</v>
      </c>
      <c r="T64" s="97">
        <f t="shared" si="16"/>
        <v>1398.06837741</v>
      </c>
      <c r="U64" s="124">
        <f t="shared" si="16"/>
        <v>6996.9212420099993</v>
      </c>
      <c r="W64" s="97">
        <f t="shared" si="16"/>
        <v>1675.6381930200002</v>
      </c>
      <c r="X64" s="97">
        <f t="shared" si="16"/>
        <v>1505.2184069099999</v>
      </c>
      <c r="Y64" s="97">
        <f t="shared" si="16"/>
        <v>1594.9165361124999</v>
      </c>
      <c r="Z64" s="97">
        <f t="shared" si="16"/>
        <v>1995.8166677600002</v>
      </c>
      <c r="AA64" s="97">
        <f t="shared" si="16"/>
        <v>1291.877865985816</v>
      </c>
      <c r="AB64" s="124">
        <f t="shared" si="16"/>
        <v>8063.467669788316</v>
      </c>
      <c r="AD64" s="124">
        <f t="shared" si="16"/>
        <v>20246.291449868317</v>
      </c>
      <c r="AE64" s="13"/>
      <c r="AF64" s="47"/>
    </row>
    <row r="65" spans="1:34" x14ac:dyDescent="0.2">
      <c r="C65" s="28"/>
      <c r="D65" s="28"/>
      <c r="E65" s="28"/>
      <c r="F65" s="28"/>
      <c r="G65" s="28"/>
      <c r="H65" s="28"/>
      <c r="I65" s="28"/>
      <c r="J65" s="28"/>
      <c r="K65" s="28"/>
      <c r="L65" s="28"/>
      <c r="M65" s="28"/>
      <c r="N65" s="28"/>
      <c r="P65" s="28"/>
      <c r="Q65" s="28"/>
      <c r="R65" s="28"/>
      <c r="S65" s="28"/>
      <c r="T65" s="28"/>
      <c r="U65" s="28"/>
      <c r="W65" s="28"/>
      <c r="X65" s="28"/>
      <c r="Y65" s="28"/>
      <c r="Z65" s="28"/>
      <c r="AA65" s="28"/>
      <c r="AB65" s="28"/>
      <c r="AD65" s="28"/>
    </row>
    <row r="66" spans="1:34" ht="14.25" customHeight="1" x14ac:dyDescent="0.2">
      <c r="A66" s="29" t="s">
        <v>59</v>
      </c>
      <c r="C66" s="28"/>
      <c r="D66" s="28"/>
      <c r="E66" s="28"/>
      <c r="F66" s="28"/>
      <c r="G66" s="28"/>
      <c r="H66" s="28"/>
      <c r="I66" s="28"/>
      <c r="J66" s="28"/>
      <c r="K66" s="28"/>
      <c r="L66" s="28"/>
      <c r="M66" s="28"/>
      <c r="N66" s="28"/>
      <c r="P66" s="28"/>
      <c r="Q66" s="28"/>
      <c r="R66" s="28"/>
      <c r="S66" s="28"/>
      <c r="T66" s="28"/>
      <c r="U66" s="28"/>
      <c r="W66" s="28"/>
      <c r="X66" s="28"/>
      <c r="Y66" s="28"/>
      <c r="Z66" s="28"/>
      <c r="AA66" s="28"/>
      <c r="AB66" s="28"/>
      <c r="AD66" s="28"/>
      <c r="AE66" s="28"/>
      <c r="AF66" s="13"/>
    </row>
    <row r="67" spans="1:34" ht="30" customHeight="1" x14ac:dyDescent="0.2">
      <c r="A67" s="130" t="s">
        <v>60</v>
      </c>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row>
    <row r="68" spans="1:34" ht="18.75" customHeight="1" x14ac:dyDescent="0.2">
      <c r="A68" s="29" t="s">
        <v>61</v>
      </c>
      <c r="L68" s="4"/>
      <c r="M68" s="4"/>
      <c r="N68" s="4"/>
      <c r="P68" s="4"/>
      <c r="Q68" s="4"/>
      <c r="R68" s="4"/>
      <c r="S68" s="4"/>
      <c r="T68" s="4"/>
      <c r="U68" s="4"/>
      <c r="W68" s="4"/>
      <c r="X68" s="4"/>
      <c r="Y68" s="4"/>
      <c r="Z68" s="4"/>
      <c r="AA68" s="4"/>
      <c r="AB68" s="4"/>
    </row>
    <row r="69" spans="1:34" ht="68.25" customHeight="1" x14ac:dyDescent="0.2">
      <c r="A69" s="131" t="s">
        <v>69</v>
      </c>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row>
    <row r="70" spans="1:34" ht="21.75" customHeight="1" x14ac:dyDescent="0.2">
      <c r="A70" s="29" t="s">
        <v>62</v>
      </c>
    </row>
    <row r="73" spans="1:34" ht="42" customHeight="1" x14ac:dyDescent="0.35">
      <c r="A73" s="36" t="s">
        <v>42</v>
      </c>
    </row>
    <row r="74" spans="1:34" ht="15.75" x14ac:dyDescent="0.25">
      <c r="A74" s="2" t="s">
        <v>52</v>
      </c>
      <c r="P74" s="1"/>
      <c r="Q74" s="1"/>
      <c r="R74" s="1"/>
      <c r="S74" s="1"/>
      <c r="T74" s="1"/>
      <c r="W74" s="1"/>
      <c r="X74" s="1"/>
      <c r="Y74" s="1"/>
      <c r="Z74" s="1"/>
      <c r="AA74" s="1"/>
    </row>
    <row r="75" spans="1:34" ht="15.75" x14ac:dyDescent="0.25">
      <c r="A75" s="3" t="s">
        <v>1</v>
      </c>
      <c r="C75" s="4"/>
      <c r="D75" s="4"/>
      <c r="E75" s="4"/>
      <c r="F75" s="4"/>
      <c r="G75" s="4"/>
      <c r="H75" s="4"/>
      <c r="I75" s="4"/>
      <c r="J75" s="4"/>
    </row>
    <row r="76" spans="1:34" ht="13.5" thickBot="1" x14ac:dyDescent="0.25"/>
    <row r="77" spans="1:34" ht="30.75" thickBot="1" x14ac:dyDescent="0.3">
      <c r="A77" s="5"/>
      <c r="C77" s="6">
        <v>2000</v>
      </c>
      <c r="D77" s="6">
        <v>2001</v>
      </c>
      <c r="E77" s="6">
        <v>2002</v>
      </c>
      <c r="F77" s="6">
        <v>2003</v>
      </c>
      <c r="G77" s="6">
        <v>2004</v>
      </c>
      <c r="H77" s="7">
        <v>2005</v>
      </c>
      <c r="I77" s="8">
        <v>2006</v>
      </c>
      <c r="J77" s="7">
        <v>2007</v>
      </c>
      <c r="K77" s="8">
        <v>2008</v>
      </c>
      <c r="L77" s="7">
        <v>2009</v>
      </c>
      <c r="M77" s="7">
        <v>2010</v>
      </c>
      <c r="N77" s="52" t="s">
        <v>63</v>
      </c>
      <c r="P77" s="7">
        <v>2011</v>
      </c>
      <c r="Q77" s="7">
        <v>2012</v>
      </c>
      <c r="R77" s="7">
        <v>2013</v>
      </c>
      <c r="S77" s="7">
        <v>2014</v>
      </c>
      <c r="T77" s="7">
        <v>2015</v>
      </c>
      <c r="U77" s="52" t="s">
        <v>64</v>
      </c>
      <c r="W77" s="7">
        <v>2016</v>
      </c>
      <c r="X77" s="7">
        <v>2017</v>
      </c>
      <c r="Y77" s="7">
        <v>2018</v>
      </c>
      <c r="Z77" s="7">
        <v>2019</v>
      </c>
      <c r="AA77" s="7">
        <v>2020</v>
      </c>
      <c r="AB77" s="52" t="s">
        <v>65</v>
      </c>
      <c r="AD77" s="53" t="s">
        <v>66</v>
      </c>
    </row>
    <row r="78" spans="1:34" ht="13.5" thickBot="1" x14ac:dyDescent="0.25">
      <c r="A78" s="11" t="s">
        <v>17</v>
      </c>
      <c r="C78" s="54"/>
      <c r="D78" s="63"/>
      <c r="E78" s="63"/>
      <c r="F78" s="63"/>
      <c r="G78" s="63"/>
      <c r="H78" s="64"/>
      <c r="I78" s="60"/>
      <c r="J78" s="69"/>
      <c r="K78" s="61"/>
      <c r="L78" s="60"/>
      <c r="M78" s="60"/>
      <c r="N78" s="105"/>
      <c r="P78" s="60"/>
      <c r="Q78" s="62"/>
      <c r="R78" s="62"/>
      <c r="S78" s="62">
        <v>30.742000000000001</v>
      </c>
      <c r="T78" s="62">
        <v>24.263000000000002</v>
      </c>
      <c r="U78" s="105">
        <f t="shared" ref="U78:U79" si="17">SUM(P78:T78)</f>
        <v>55.005000000000003</v>
      </c>
      <c r="W78" s="62">
        <v>22.976890000000001</v>
      </c>
      <c r="X78" s="62">
        <v>22.191076850000002</v>
      </c>
      <c r="Y78" s="62">
        <v>24.479173379999999</v>
      </c>
      <c r="Z78" s="62">
        <v>22.397200000000002</v>
      </c>
      <c r="AA78" s="62"/>
      <c r="AB78" s="105">
        <f t="shared" ref="AB78:AB79" si="18">SUM(W78:AA78)</f>
        <v>92.044340229999989</v>
      </c>
      <c r="AD78" s="115">
        <f t="shared" ref="AD78:AD79" si="19">SUM(AB78,U78,N78)</f>
        <v>147.04934022999998</v>
      </c>
    </row>
    <row r="79" spans="1:34" ht="13.5" thickBot="1" x14ac:dyDescent="0.25">
      <c r="A79" s="34" t="s">
        <v>25</v>
      </c>
      <c r="C79" s="54"/>
      <c r="D79" s="63"/>
      <c r="E79" s="63"/>
      <c r="F79" s="63"/>
      <c r="G79" s="63"/>
      <c r="H79" s="64"/>
      <c r="I79" s="60"/>
      <c r="J79" s="69"/>
      <c r="K79" s="61"/>
      <c r="L79" s="60"/>
      <c r="M79" s="60"/>
      <c r="N79" s="107"/>
      <c r="P79" s="60"/>
      <c r="Q79" s="62"/>
      <c r="R79" s="62"/>
      <c r="S79" s="62"/>
      <c r="T79" s="62">
        <v>4.7321999999999997</v>
      </c>
      <c r="U79" s="107">
        <f t="shared" si="17"/>
        <v>4.7321999999999997</v>
      </c>
      <c r="W79" s="62">
        <v>18.600539999999999</v>
      </c>
      <c r="X79" s="62">
        <v>11.45331</v>
      </c>
      <c r="Y79" s="62">
        <v>5.2708399999999997</v>
      </c>
      <c r="Z79" s="62"/>
      <c r="AA79" s="62"/>
      <c r="AB79" s="107">
        <f t="shared" si="18"/>
        <v>35.324689999999997</v>
      </c>
      <c r="AD79" s="115">
        <f t="shared" si="19"/>
        <v>40.056889999999996</v>
      </c>
    </row>
    <row r="80" spans="1:34" ht="13.5" thickBot="1" x14ac:dyDescent="0.25">
      <c r="A80" s="16" t="s">
        <v>27</v>
      </c>
      <c r="C80" s="80"/>
      <c r="D80" s="80"/>
      <c r="E80" s="80"/>
      <c r="F80" s="80"/>
      <c r="G80" s="80"/>
      <c r="H80" s="80"/>
      <c r="I80" s="80"/>
      <c r="J80" s="80"/>
      <c r="K80" s="80"/>
      <c r="L80" s="80"/>
      <c r="M80" s="80"/>
      <c r="N80" s="125"/>
      <c r="P80" s="80"/>
      <c r="Q80" s="80"/>
      <c r="R80" s="80"/>
      <c r="S80" s="80">
        <f t="shared" ref="S80:AD80" si="20">SUM(S78:S79)</f>
        <v>30.742000000000001</v>
      </c>
      <c r="T80" s="80">
        <f t="shared" si="20"/>
        <v>28.995200000000001</v>
      </c>
      <c r="U80" s="108">
        <f t="shared" si="20"/>
        <v>59.737200000000001</v>
      </c>
      <c r="W80" s="80">
        <f t="shared" si="20"/>
        <v>41.57743</v>
      </c>
      <c r="X80" s="80">
        <f t="shared" si="20"/>
        <v>33.644386850000004</v>
      </c>
      <c r="Y80" s="80">
        <f t="shared" si="20"/>
        <v>29.750013379999999</v>
      </c>
      <c r="Z80" s="80">
        <f t="shared" si="20"/>
        <v>22.397200000000002</v>
      </c>
      <c r="AA80" s="80">
        <f t="shared" si="20"/>
        <v>0</v>
      </c>
      <c r="AB80" s="108">
        <f t="shared" si="20"/>
        <v>127.36903022999999</v>
      </c>
      <c r="AD80" s="125">
        <f t="shared" si="20"/>
        <v>187.10623022999999</v>
      </c>
    </row>
    <row r="81" spans="1:32" ht="13.5" thickBot="1" x14ac:dyDescent="0.25">
      <c r="C81" s="4"/>
      <c r="D81" s="4"/>
      <c r="E81" s="4"/>
      <c r="F81" s="4"/>
      <c r="G81" s="4"/>
      <c r="H81" s="4"/>
      <c r="I81" s="4"/>
      <c r="J81" s="4"/>
      <c r="K81" s="4"/>
      <c r="L81" s="4"/>
      <c r="M81" s="4"/>
      <c r="P81" s="4"/>
      <c r="Q81" s="4"/>
      <c r="R81" s="4"/>
      <c r="S81" s="4"/>
      <c r="T81" s="4"/>
      <c r="W81" s="4"/>
      <c r="X81" s="4"/>
      <c r="Y81" s="4"/>
      <c r="Z81" s="4"/>
      <c r="AA81" s="4"/>
    </row>
    <row r="82" spans="1:32" s="42" customFormat="1" ht="13.5" thickBot="1" x14ac:dyDescent="0.25">
      <c r="A82" s="35" t="s">
        <v>29</v>
      </c>
      <c r="B82"/>
      <c r="C82" s="98"/>
      <c r="D82" s="98"/>
      <c r="E82" s="98"/>
      <c r="F82" s="98"/>
      <c r="G82" s="98"/>
      <c r="H82" s="98"/>
      <c r="I82" s="98"/>
      <c r="J82" s="98"/>
      <c r="K82" s="98"/>
      <c r="L82" s="98"/>
      <c r="M82" s="98"/>
      <c r="N82" s="105"/>
      <c r="O82"/>
      <c r="P82" s="99"/>
      <c r="Q82" s="99"/>
      <c r="R82" s="99"/>
      <c r="S82" s="99"/>
      <c r="T82" s="100">
        <v>105</v>
      </c>
      <c r="U82" s="105">
        <f t="shared" ref="U82" si="21">SUM(P82:T82)</f>
        <v>105</v>
      </c>
      <c r="V82"/>
      <c r="W82" s="100">
        <v>51.6</v>
      </c>
      <c r="X82" s="100">
        <v>40</v>
      </c>
      <c r="Y82" s="100">
        <v>44.6</v>
      </c>
      <c r="Z82" s="100"/>
      <c r="AA82" s="100"/>
      <c r="AB82" s="105">
        <f t="shared" ref="AB82" si="22">SUM(W82:AA82)</f>
        <v>136.19999999999999</v>
      </c>
      <c r="AC82"/>
      <c r="AD82" s="116">
        <f t="shared" ref="AD82" si="23">SUM(AB82,U82,N82)</f>
        <v>241.2</v>
      </c>
      <c r="AE82" s="44"/>
      <c r="AF82" s="40"/>
    </row>
    <row r="83" spans="1:32" ht="13.5" thickBot="1" x14ac:dyDescent="0.25">
      <c r="A83" s="16" t="s">
        <v>39</v>
      </c>
      <c r="C83" s="93"/>
      <c r="D83" s="93"/>
      <c r="E83" s="93"/>
      <c r="F83" s="93"/>
      <c r="G83" s="93"/>
      <c r="H83" s="93"/>
      <c r="I83" s="93"/>
      <c r="J83" s="93"/>
      <c r="K83" s="93"/>
      <c r="L83" s="93"/>
      <c r="M83" s="93"/>
      <c r="N83" s="125"/>
      <c r="P83" s="93"/>
      <c r="Q83" s="93"/>
      <c r="R83" s="93"/>
      <c r="S83" s="93"/>
      <c r="T83" s="93">
        <f t="shared" ref="T83:AD83" si="24">SUM(T82)</f>
        <v>105</v>
      </c>
      <c r="U83" s="108">
        <f t="shared" si="24"/>
        <v>105</v>
      </c>
      <c r="W83" s="93">
        <f t="shared" si="24"/>
        <v>51.6</v>
      </c>
      <c r="X83" s="93">
        <f t="shared" si="24"/>
        <v>40</v>
      </c>
      <c r="Y83" s="93">
        <f t="shared" si="24"/>
        <v>44.6</v>
      </c>
      <c r="Z83" s="93">
        <f t="shared" si="24"/>
        <v>0</v>
      </c>
      <c r="AA83" s="93">
        <f t="shared" si="24"/>
        <v>0</v>
      </c>
      <c r="AB83" s="108">
        <f t="shared" si="24"/>
        <v>136.19999999999999</v>
      </c>
      <c r="AD83" s="125">
        <f t="shared" si="24"/>
        <v>241.2</v>
      </c>
      <c r="AE83" s="13"/>
    </row>
    <row r="84" spans="1:32" ht="13.5" thickBot="1" x14ac:dyDescent="0.25">
      <c r="C84" s="4"/>
      <c r="D84" s="4"/>
      <c r="E84" s="4"/>
      <c r="F84" s="4"/>
      <c r="G84" s="4"/>
      <c r="H84" s="4"/>
      <c r="I84" s="4"/>
      <c r="J84" s="4"/>
      <c r="K84" s="4"/>
      <c r="L84" s="4"/>
      <c r="M84" s="4"/>
      <c r="P84" s="4"/>
      <c r="Q84" s="4"/>
      <c r="R84" s="4"/>
      <c r="S84" s="4"/>
      <c r="T84" s="4"/>
      <c r="W84" s="4"/>
      <c r="X84" s="4"/>
      <c r="Y84" s="4"/>
      <c r="Z84" s="4"/>
      <c r="AA84" s="4"/>
    </row>
    <row r="85" spans="1:32" ht="13.5" thickBot="1" x14ac:dyDescent="0.25">
      <c r="A85" s="27" t="s">
        <v>41</v>
      </c>
      <c r="C85" s="97"/>
      <c r="D85" s="97"/>
      <c r="E85" s="97"/>
      <c r="F85" s="97"/>
      <c r="G85" s="97"/>
      <c r="H85" s="97"/>
      <c r="I85" s="97"/>
      <c r="J85" s="97"/>
      <c r="K85" s="97"/>
      <c r="L85" s="97"/>
      <c r="M85" s="97"/>
      <c r="N85" s="124"/>
      <c r="P85" s="97"/>
      <c r="Q85" s="97"/>
      <c r="R85" s="97"/>
      <c r="S85" s="97">
        <f t="shared" ref="S85:AD85" si="25">SUM(S80,S83)</f>
        <v>30.742000000000001</v>
      </c>
      <c r="T85" s="97">
        <f t="shared" si="25"/>
        <v>133.99520000000001</v>
      </c>
      <c r="U85" s="124">
        <f t="shared" si="25"/>
        <v>164.7372</v>
      </c>
      <c r="W85" s="97">
        <f t="shared" si="25"/>
        <v>93.177430000000001</v>
      </c>
      <c r="X85" s="97">
        <f t="shared" si="25"/>
        <v>73.644386850000004</v>
      </c>
      <c r="Y85" s="97">
        <f t="shared" si="25"/>
        <v>74.350013380000007</v>
      </c>
      <c r="Z85" s="97">
        <f t="shared" si="25"/>
        <v>22.397200000000002</v>
      </c>
      <c r="AA85" s="97">
        <f t="shared" si="25"/>
        <v>0</v>
      </c>
      <c r="AB85" s="124">
        <f t="shared" si="25"/>
        <v>263.56903022999995</v>
      </c>
      <c r="AD85" s="124">
        <f t="shared" si="25"/>
        <v>428.30623022999998</v>
      </c>
    </row>
  </sheetData>
  <mergeCells count="3">
    <mergeCell ref="AH5:AH6"/>
    <mergeCell ref="A67:AH67"/>
    <mergeCell ref="A69:AH69"/>
  </mergeCells>
  <pageMargins left="0.31496062992125984" right="0.31496062992125984" top="0.35433070866141736" bottom="0.35433070866141736" header="0.31496062992125984" footer="0.31496062992125984"/>
  <pageSetup paperSize="9" scale="50" orientation="portrait" r:id="rId1"/>
  <headerFooter alignWithMargins="0">
    <oddHeader>&amp;L&amp;"Calibri"&amp;10&amp;K000000Classified as 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7a992bc-bd44-4bca-8c15-5d6bcceffd31">GAVI-1705067222-919917</_dlc_DocId>
    <_dlc_DocIdUrl xmlns="57a992bc-bd44-4bca-8c15-5d6bcceffd31">
      <Url>https://gavinet.sharepoint.com/teams/fop/fin/_layouts/15/DocIdRedir.aspx?ID=GAVI-1705067222-919917</Url>
      <Description>GAVI-1705067222-919917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3cb0222-e980-4273-ad97-85dba3159c09" ContentTypeId="0x01010091DD660C2743444EACB0CAF777412263" PreviousValue="false"/>
</file>

<file path=customXml/item5.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4" ma:contentTypeDescription="" ma:contentTypeScope="" ma:versionID="88d8a96c6cc1472efad75b41e1bd40f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a098a0d2b40ecf2885968a29269e3785"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406B0-95D0-4740-A7D1-06B9443BB4FE}">
  <ds:schemaRefs>
    <ds:schemaRef ds:uri="http://schemas.microsoft.com/sharepoint/events"/>
  </ds:schemaRefs>
</ds:datastoreItem>
</file>

<file path=customXml/itemProps2.xml><?xml version="1.0" encoding="utf-8"?>
<ds:datastoreItem xmlns:ds="http://schemas.openxmlformats.org/officeDocument/2006/customXml" ds:itemID="{A7FB11A6-D140-4432-835C-73F5F457BFA5}">
  <ds:schemaRefs>
    <ds:schemaRef ds:uri="d0706217-df7c-4bf4-936d-b09aa3b837af"/>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7a992bc-bd44-4bca-8c15-5d6bcceffd31"/>
  </ds:schemaRefs>
</ds:datastoreItem>
</file>

<file path=customXml/itemProps3.xml><?xml version="1.0" encoding="utf-8"?>
<ds:datastoreItem xmlns:ds="http://schemas.openxmlformats.org/officeDocument/2006/customXml" ds:itemID="{C33CB698-E48C-4AEA-A68D-BFB61021464A}">
  <ds:schemaRefs>
    <ds:schemaRef ds:uri="http://schemas.microsoft.com/sharepoint/v3/contenttype/forms"/>
  </ds:schemaRefs>
</ds:datastoreItem>
</file>

<file path=customXml/itemProps4.xml><?xml version="1.0" encoding="utf-8"?>
<ds:datastoreItem xmlns:ds="http://schemas.openxmlformats.org/officeDocument/2006/customXml" ds:itemID="{89ADC4EF-CFB0-4C4F-A9FB-30BEED9253B2}">
  <ds:schemaRefs>
    <ds:schemaRef ds:uri="Microsoft.SharePoint.Taxonomy.ContentTypeSync"/>
  </ds:schemaRefs>
</ds:datastoreItem>
</file>

<file path=customXml/itemProps5.xml><?xml version="1.0" encoding="utf-8"?>
<ds:datastoreItem xmlns:ds="http://schemas.openxmlformats.org/officeDocument/2006/customXml" ds:itemID="{5D921A81-1099-4062-AC4F-93E433BCC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2000-2020 Cash Receipts</vt:lpstr>
      <vt:lpstr>'2000-2020 Cash Receipts'!Print_Area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Gavi Alliance</dc:creator>
  <cp:keywords/>
  <dc:description/>
  <cp:lastModifiedBy>Eric Godfrey</cp:lastModifiedBy>
  <cp:revision/>
  <dcterms:created xsi:type="dcterms:W3CDTF">2013-01-25T10:21:26Z</dcterms:created>
  <dcterms:modified xsi:type="dcterms:W3CDTF">2021-01-26T10:45:30Z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7;#;UserInfo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2013-01-25T09:21:26Z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944;#Finance|70c92294-fade-490c-ae2b-2f46f3fe0636</vt:lpwstr>
  </property>
  <property fmtid="{D5CDD505-2E9C-101B-9397-08002B2CF9AE}" pid="17" name="International_x0020_Development">
    <vt:lpwstr/>
  </property>
  <property fmtid="{D5CDD505-2E9C-101B-9397-08002B2CF9AE}" pid="18" name="Modified">
    <vt:filetime>2016-04-07T14:36:37Z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bfa2f894-eb7f-4be8-83a3-fcb4badfbef6</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5">
    <vt:lpwstr>119</vt:lpwstr>
  </property>
  <property fmtid="{D5CDD505-2E9C-101B-9397-08002B2CF9AE}" pid="33" name="AuthorIds_UIVersion_1">
    <vt:lpwstr>119</vt:lpwstr>
  </property>
  <property fmtid="{D5CDD505-2E9C-101B-9397-08002B2CF9AE}" pid="34" name="AuthorIds_UIVersion_2">
    <vt:lpwstr>115</vt:lpwstr>
  </property>
  <property fmtid="{D5CDD505-2E9C-101B-9397-08002B2CF9AE}" pid="35" name="AuthorIds_UIVersion_4">
    <vt:lpwstr>119</vt:lpwstr>
  </property>
  <property fmtid="{D5CDD505-2E9C-101B-9397-08002B2CF9AE}" pid="36" name="Risk">
    <vt:lpwstr/>
  </property>
  <property fmtid="{D5CDD505-2E9C-101B-9397-08002B2CF9AE}" pid="37" name="da385a37dcdd43e7963145fe41f4539b">
    <vt:lpwstr/>
  </property>
  <property fmtid="{D5CDD505-2E9C-101B-9397-08002B2CF9AE}" pid="38" name="Donors and Partners">
    <vt:lpwstr/>
  </property>
  <property fmtid="{D5CDD505-2E9C-101B-9397-08002B2CF9AE}" pid="39" name="g46430f4398c4f35a5ec9f78edc038fa">
    <vt:lpwstr/>
  </property>
  <property fmtid="{D5CDD505-2E9C-101B-9397-08002B2CF9AE}" pid="40" name="Market Shaping">
    <vt:lpwstr/>
  </property>
  <property fmtid="{D5CDD505-2E9C-101B-9397-08002B2CF9AE}" pid="41" name="b71aade8ae9f44a1b207db6dd32da3e9">
    <vt:lpwstr/>
  </property>
  <property fmtid="{D5CDD505-2E9C-101B-9397-08002B2CF9AE}" pid="42" name="Strategy and Policy">
    <vt:lpwstr/>
  </property>
  <property fmtid="{D5CDD505-2E9C-101B-9397-08002B2CF9AE}" pid="43" name="e17ceaa0d61b4bfeb3c21883d9680a10">
    <vt:lpwstr/>
  </property>
  <property fmtid="{D5CDD505-2E9C-101B-9397-08002B2CF9AE}" pid="44" name="e27ceaa0d61b4bfeb3c21883d9680a10">
    <vt:lpwstr/>
  </property>
  <property fmtid="{D5CDD505-2E9C-101B-9397-08002B2CF9AE}" pid="45" name="Country Type">
    <vt:lpwstr/>
  </property>
  <property fmtid="{D5CDD505-2E9C-101B-9397-08002B2CF9AE}" pid="46" name="Document Type">
    <vt:lpwstr/>
  </property>
  <property fmtid="{D5CDD505-2E9C-101B-9397-08002B2CF9AE}" pid="47" name="Finance">
    <vt:lpwstr/>
  </property>
  <property fmtid="{D5CDD505-2E9C-101B-9397-08002B2CF9AE}" pid="48" name="p09ff1d2f026403cb92ff345796610f6">
    <vt:lpwstr/>
  </property>
  <property fmtid="{D5CDD505-2E9C-101B-9397-08002B2CF9AE}" pid="49" name="fc06a084bffd4a2cbb1b503815818f56">
    <vt:lpwstr/>
  </property>
  <property fmtid="{D5CDD505-2E9C-101B-9397-08002B2CF9AE}" pid="50" name="Language">
    <vt:lpwstr/>
  </property>
  <property fmtid="{D5CDD505-2E9C-101B-9397-08002B2CF9AE}" pid="51" name="c42a17fc557b46a5b9bcad4067cce71e">
    <vt:lpwstr/>
  </property>
  <property fmtid="{D5CDD505-2E9C-101B-9397-08002B2CF9AE}" pid="52" name="n169e2c9352346cf85f9723e82b9094d">
    <vt:lpwstr/>
  </property>
  <property fmtid="{D5CDD505-2E9C-101B-9397-08002B2CF9AE}" pid="53" name="IT Systems">
    <vt:lpwstr/>
  </property>
  <property fmtid="{D5CDD505-2E9C-101B-9397-08002B2CF9AE}" pid="54" name="Location">
    <vt:lpwstr/>
  </property>
  <property fmtid="{D5CDD505-2E9C-101B-9397-08002B2CF9AE}" pid="55" name="k22dc2e0c2174860996c8c9cbd411b1e">
    <vt:lpwstr/>
  </property>
  <property fmtid="{D5CDD505-2E9C-101B-9397-08002B2CF9AE}" pid="56" name="i37a087ac91a4078a555152c5cd63046">
    <vt:lpwstr/>
  </property>
  <property fmtid="{D5CDD505-2E9C-101B-9397-08002B2CF9AE}" pid="57" name="le9d97f3bd374b61b397133b88eb0f9d">
    <vt:lpwstr/>
  </property>
  <property fmtid="{D5CDD505-2E9C-101B-9397-08002B2CF9AE}" pid="58" name="MSIP_Label_8f5e72d3-b6ef-4c9c-b371-eb3c79f627ee_Enabled">
    <vt:lpwstr>true</vt:lpwstr>
  </property>
  <property fmtid="{D5CDD505-2E9C-101B-9397-08002B2CF9AE}" pid="59" name="MSIP_Label_8f5e72d3-b6ef-4c9c-b371-eb3c79f627ee_SetDate">
    <vt:lpwstr>2020-02-03T14:44:26Z</vt:lpwstr>
  </property>
  <property fmtid="{D5CDD505-2E9C-101B-9397-08002B2CF9AE}" pid="60" name="MSIP_Label_8f5e72d3-b6ef-4c9c-b371-eb3c79f627ee_Method">
    <vt:lpwstr>Privileged</vt:lpwstr>
  </property>
  <property fmtid="{D5CDD505-2E9C-101B-9397-08002B2CF9AE}" pid="61" name="MSIP_Label_8f5e72d3-b6ef-4c9c-b371-eb3c79f627ee_Name">
    <vt:lpwstr>8f5e72d3-b6ef-4c9c-b371-eb3c79f627ee</vt:lpwstr>
  </property>
  <property fmtid="{D5CDD505-2E9C-101B-9397-08002B2CF9AE}" pid="62" name="MSIP_Label_8f5e72d3-b6ef-4c9c-b371-eb3c79f627ee_SiteId">
    <vt:lpwstr>1de6d9f3-0daf-4df6-b9d6-5959f16f6118</vt:lpwstr>
  </property>
  <property fmtid="{D5CDD505-2E9C-101B-9397-08002B2CF9AE}" pid="63" name="MSIP_Label_8f5e72d3-b6ef-4c9c-b371-eb3c79f627ee_ActionId">
    <vt:lpwstr>1ddb797a-1d2f-4a90-9d97-0000d07cabd8</vt:lpwstr>
  </property>
  <property fmtid="{D5CDD505-2E9C-101B-9397-08002B2CF9AE}" pid="64" name="MSIP_Label_8f5e72d3-b6ef-4c9c-b371-eb3c79f627ee_ContentBits">
    <vt:lpwstr>1</vt:lpwstr>
  </property>
  <property fmtid="{D5CDD505-2E9C-101B-9397-08002B2CF9AE}" pid="65" name="e37ceaa0d61b4bfeb3c21883d9680a10">
    <vt:lpwstr>Finance|70c92294-fade-490c-ae2b-2f46f3fe0636</vt:lpwstr>
  </property>
</Properties>
</file>