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5/H2 2025/Web Reports/"/>
    </mc:Choice>
  </mc:AlternateContent>
  <xr:revisionPtr revIDLastSave="63" documentId="8_{925210D2-7B88-4D1A-87EE-75DAEBD67A6F}" xr6:coauthVersionLast="47" xr6:coauthVersionMax="47" xr10:uidLastSave="{8DDA3223-B7A1-462C-9FAB-08C2CD2FDB94}"/>
  <bookViews>
    <workbookView xWindow="38280" yWindow="15" windowWidth="38640" windowHeight="21120" xr2:uid="{00000000-000D-0000-FFFF-FFFF00000000}"/>
  </bookViews>
  <sheets>
    <sheet name="2000-2025 Cash Receipts" sheetId="5" r:id="rId1"/>
  </sheets>
  <definedNames>
    <definedName name="_xlnm.Print_Area" localSheetId="0">'2000-2025 Cash Receipts'!$A$1:$AK$188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0" i="5" l="1"/>
  <c r="AS159" i="5"/>
  <c r="AS129" i="5" l="1"/>
  <c r="AS63" i="5"/>
  <c r="AS131" i="5"/>
  <c r="AR127" i="5"/>
  <c r="AR147" i="5"/>
  <c r="AQ147" i="5"/>
  <c r="AR157" i="5"/>
  <c r="AR63" i="5"/>
  <c r="AQ63" i="5"/>
  <c r="AS62" i="5"/>
  <c r="AS60" i="5"/>
  <c r="AS59" i="5"/>
  <c r="AS58" i="5"/>
  <c r="AS57" i="5"/>
  <c r="AS56" i="5"/>
  <c r="AS54" i="5"/>
  <c r="AS53" i="5"/>
  <c r="AS52" i="5"/>
  <c r="AS51" i="5"/>
  <c r="AS47" i="5"/>
  <c r="AS45" i="5"/>
  <c r="AS44" i="5"/>
  <c r="AS42" i="5"/>
  <c r="AS38" i="5"/>
  <c r="AS37" i="5"/>
  <c r="AS36" i="5"/>
  <c r="AS35" i="5"/>
  <c r="AS34" i="5"/>
  <c r="AS26" i="5"/>
  <c r="AS24" i="5"/>
  <c r="AS23" i="5"/>
  <c r="AS19" i="5"/>
  <c r="AS17" i="5"/>
  <c r="AS16" i="5"/>
  <c r="AS13" i="5"/>
  <c r="AS11" i="5"/>
  <c r="AS10" i="5"/>
  <c r="AS9" i="5"/>
  <c r="AR129" i="5" l="1"/>
  <c r="AR134" i="5" s="1"/>
  <c r="AH127" i="5" l="1"/>
  <c r="AI132" i="5" l="1"/>
  <c r="AI124" i="5"/>
  <c r="AI122" i="5"/>
  <c r="AI121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4" i="5"/>
  <c r="AI93" i="5"/>
  <c r="AI92" i="5"/>
  <c r="AI91" i="5"/>
  <c r="AI90" i="5"/>
  <c r="AI88" i="5"/>
  <c r="AI86" i="5"/>
  <c r="AI85" i="5"/>
  <c r="AI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69" i="5"/>
  <c r="AI68" i="5"/>
  <c r="AI67" i="5"/>
  <c r="AI66" i="5"/>
  <c r="AI65" i="5"/>
  <c r="AI62" i="5"/>
  <c r="AI58" i="5"/>
  <c r="AI56" i="5"/>
  <c r="AI55" i="5"/>
  <c r="AI54" i="5"/>
  <c r="AI53" i="5"/>
  <c r="AI52" i="5"/>
  <c r="AI51" i="5"/>
  <c r="AI48" i="5"/>
  <c r="AI47" i="5"/>
  <c r="AI46" i="5"/>
  <c r="AI45" i="5"/>
  <c r="AI44" i="5"/>
  <c r="AI42" i="5"/>
  <c r="AI41" i="5"/>
  <c r="AI39" i="5"/>
  <c r="AI38" i="5"/>
  <c r="AI37" i="5"/>
  <c r="AI36" i="5"/>
  <c r="AI35" i="5"/>
  <c r="AI34" i="5"/>
  <c r="AI33" i="5"/>
  <c r="AI32" i="5"/>
  <c r="AI31" i="5"/>
  <c r="AI30" i="5"/>
  <c r="AI28" i="5"/>
  <c r="AI27" i="5"/>
  <c r="AI25" i="5"/>
  <c r="AI24" i="5"/>
  <c r="AI22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H63" i="5"/>
  <c r="AG131" i="5"/>
  <c r="AO89" i="5"/>
  <c r="AE89" i="5"/>
  <c r="AG49" i="5"/>
  <c r="AI49" i="5" s="1"/>
  <c r="AG123" i="5"/>
  <c r="AG120" i="5"/>
  <c r="AI120" i="5" s="1"/>
  <c r="AG59" i="5"/>
  <c r="AG43" i="5"/>
  <c r="AG23" i="5"/>
  <c r="AH129" i="5" l="1"/>
  <c r="AH134" i="5" s="1"/>
  <c r="AG60" i="5"/>
  <c r="AP161" i="5" l="1"/>
  <c r="AP157" i="5"/>
  <c r="AP143" i="5"/>
  <c r="AP147" i="5" s="1"/>
  <c r="AP126" i="5"/>
  <c r="AP124" i="5"/>
  <c r="AP121" i="5"/>
  <c r="AP89" i="5"/>
  <c r="AP29" i="5"/>
  <c r="AP12" i="5"/>
  <c r="AP63" i="5" s="1"/>
  <c r="AP127" i="5" l="1"/>
  <c r="AP129" i="5" s="1"/>
  <c r="AP134" i="5" s="1"/>
  <c r="AG127" i="5"/>
  <c r="AG7" i="5"/>
  <c r="AG63" i="5" s="1"/>
  <c r="AQ161" i="5"/>
  <c r="AQ157" i="5"/>
  <c r="AF126" i="5"/>
  <c r="AF125" i="5"/>
  <c r="AI125" i="5" s="1"/>
  <c r="AF123" i="5"/>
  <c r="AI123" i="5" s="1"/>
  <c r="AF95" i="5"/>
  <c r="AF89" i="5"/>
  <c r="AI89" i="5" s="1"/>
  <c r="AF87" i="5"/>
  <c r="AF70" i="5"/>
  <c r="AI70" i="5" s="1"/>
  <c r="AF60" i="5"/>
  <c r="AF43" i="5"/>
  <c r="AF40" i="5"/>
  <c r="AF29" i="5"/>
  <c r="AF23" i="5"/>
  <c r="AF21" i="5"/>
  <c r="AI21" i="5" s="1"/>
  <c r="AF7" i="5"/>
  <c r="AI7" i="5" s="1"/>
  <c r="AE126" i="5"/>
  <c r="AI126" i="5" s="1"/>
  <c r="AO126" i="5"/>
  <c r="R127" i="5"/>
  <c r="Q127" i="5"/>
  <c r="P127" i="5"/>
  <c r="M127" i="5"/>
  <c r="L127" i="5"/>
  <c r="K127" i="5"/>
  <c r="J127" i="5"/>
  <c r="I127" i="5"/>
  <c r="H127" i="5"/>
  <c r="G127" i="5"/>
  <c r="F127" i="5"/>
  <c r="E127" i="5"/>
  <c r="D127" i="5"/>
  <c r="C127" i="5"/>
  <c r="AF127" i="5" l="1"/>
  <c r="AQ127" i="5"/>
  <c r="AQ129" i="5" s="1"/>
  <c r="AQ134" i="5" s="1"/>
  <c r="AF63" i="5"/>
  <c r="AS77" i="5"/>
  <c r="AB77" i="5"/>
  <c r="U77" i="5"/>
  <c r="N77" i="5"/>
  <c r="AF129" i="5" l="1"/>
  <c r="AF134" i="5" s="1"/>
  <c r="AK77" i="5"/>
  <c r="AU77" i="5" s="1"/>
  <c r="AN74" i="5"/>
  <c r="AS74" i="5" s="1"/>
  <c r="AB74" i="5"/>
  <c r="U74" i="5"/>
  <c r="N74" i="5"/>
  <c r="AK74" i="5" l="1"/>
  <c r="AU74" i="5" s="1"/>
  <c r="AN126" i="5"/>
  <c r="AO155" i="5" l="1"/>
  <c r="AS150" i="5"/>
  <c r="AM126" i="5"/>
  <c r="AM127" i="5" s="1"/>
  <c r="AS143" i="5"/>
  <c r="AS100" i="5"/>
  <c r="AB100" i="5"/>
  <c r="U100" i="5"/>
  <c r="N100" i="5"/>
  <c r="AB52" i="5"/>
  <c r="U52" i="5"/>
  <c r="N52" i="5"/>
  <c r="AO161" i="5"/>
  <c r="AO151" i="5"/>
  <c r="AO141" i="5"/>
  <c r="AO138" i="5"/>
  <c r="AO124" i="5"/>
  <c r="AO127" i="5"/>
  <c r="AO55" i="5"/>
  <c r="AS55" i="5" s="1"/>
  <c r="AO50" i="5"/>
  <c r="AO40" i="5"/>
  <c r="AO33" i="5"/>
  <c r="AO32" i="5"/>
  <c r="AO29" i="5"/>
  <c r="AO25" i="5"/>
  <c r="AO21" i="5"/>
  <c r="AS21" i="5" s="1"/>
  <c r="AO20" i="5"/>
  <c r="AO15" i="5"/>
  <c r="AS15" i="5" s="1"/>
  <c r="AO12" i="5"/>
  <c r="AE131" i="5"/>
  <c r="AE119" i="5"/>
  <c r="AI119" i="5" s="1"/>
  <c r="AE95" i="5"/>
  <c r="AE87" i="5"/>
  <c r="AI87" i="5" s="1"/>
  <c r="AE61" i="5"/>
  <c r="AE59" i="5"/>
  <c r="AI59" i="5" s="1"/>
  <c r="AE57" i="5"/>
  <c r="AE50" i="5"/>
  <c r="AI50" i="5" s="1"/>
  <c r="AE43" i="5"/>
  <c r="AE40" i="5"/>
  <c r="AI40" i="5" s="1"/>
  <c r="AE29" i="5"/>
  <c r="AI29" i="5" s="1"/>
  <c r="AE23" i="5"/>
  <c r="AN41" i="5"/>
  <c r="AS41" i="5" s="1"/>
  <c r="AS12" i="5" l="1"/>
  <c r="AO63" i="5"/>
  <c r="AO147" i="5"/>
  <c r="AE127" i="5"/>
  <c r="AO157" i="5"/>
  <c r="AE63" i="5"/>
  <c r="AK100" i="5"/>
  <c r="AU100" i="5" s="1"/>
  <c r="AK52" i="5"/>
  <c r="AU52" i="5" s="1"/>
  <c r="AO129" i="5"/>
  <c r="AO134" i="5" s="1"/>
  <c r="AN25" i="5"/>
  <c r="AS25" i="5" s="1"/>
  <c r="AE129" i="5" l="1"/>
  <c r="AE134" i="5" s="1"/>
  <c r="AN43" i="5"/>
  <c r="AM43" i="5"/>
  <c r="AS43" i="5" s="1"/>
  <c r="AN20" i="5"/>
  <c r="AS20" i="5" s="1"/>
  <c r="AB45" i="5" l="1"/>
  <c r="U45" i="5"/>
  <c r="N45" i="5"/>
  <c r="AB11" i="5"/>
  <c r="U11" i="5"/>
  <c r="N11" i="5"/>
  <c r="AS123" i="5"/>
  <c r="AB123" i="5"/>
  <c r="U123" i="5"/>
  <c r="N123" i="5"/>
  <c r="AK11" i="5" l="1"/>
  <c r="AU11" i="5" s="1"/>
  <c r="AK45" i="5"/>
  <c r="AU45" i="5" s="1"/>
  <c r="AK123" i="5"/>
  <c r="AU123" i="5" s="1"/>
  <c r="AS153" i="5"/>
  <c r="AS139" i="5"/>
  <c r="AS81" i="5"/>
  <c r="AB81" i="5"/>
  <c r="U81" i="5"/>
  <c r="N81" i="5"/>
  <c r="AS124" i="5"/>
  <c r="AB124" i="5"/>
  <c r="U124" i="5"/>
  <c r="N124" i="5"/>
  <c r="AK124" i="5" l="1"/>
  <c r="AU124" i="5" s="1"/>
  <c r="AK81" i="5"/>
  <c r="AU81" i="5" s="1"/>
  <c r="AS70" i="5" l="1"/>
  <c r="AB70" i="5"/>
  <c r="U70" i="5"/>
  <c r="N70" i="5"/>
  <c r="AB59" i="5"/>
  <c r="U59" i="5"/>
  <c r="N59" i="5"/>
  <c r="AB56" i="5"/>
  <c r="U56" i="5"/>
  <c r="N56" i="5"/>
  <c r="AS79" i="5"/>
  <c r="AB79" i="5"/>
  <c r="U79" i="5"/>
  <c r="N79" i="5"/>
  <c r="AK70" i="5" l="1"/>
  <c r="AU70" i="5" s="1"/>
  <c r="AK79" i="5"/>
  <c r="AU79" i="5" s="1"/>
  <c r="AK59" i="5"/>
  <c r="AU59" i="5" s="1"/>
  <c r="AK56" i="5"/>
  <c r="AU56" i="5" s="1"/>
  <c r="AS142" i="5" l="1"/>
  <c r="AS151" i="5"/>
  <c r="AM157" i="5"/>
  <c r="AM147" i="5"/>
  <c r="AN147" i="5"/>
  <c r="AS149" i="5"/>
  <c r="AS137" i="5"/>
  <c r="AS92" i="5" l="1"/>
  <c r="AB92" i="5"/>
  <c r="U92" i="5"/>
  <c r="N92" i="5"/>
  <c r="AS86" i="5"/>
  <c r="AB86" i="5"/>
  <c r="U86" i="5"/>
  <c r="N86" i="5"/>
  <c r="AK86" i="5" l="1"/>
  <c r="AU86" i="5" s="1"/>
  <c r="AK92" i="5"/>
  <c r="AU92" i="5" s="1"/>
  <c r="AS156" i="5" l="1"/>
  <c r="AS154" i="5"/>
  <c r="AS152" i="5"/>
  <c r="AS146" i="5"/>
  <c r="AS145" i="5"/>
  <c r="AS144" i="5"/>
  <c r="AS141" i="5"/>
  <c r="AS140" i="5"/>
  <c r="AS138" i="5"/>
  <c r="AS126" i="5"/>
  <c r="AS125" i="5"/>
  <c r="AS122" i="5"/>
  <c r="AS120" i="5"/>
  <c r="AS119" i="5"/>
  <c r="AS118" i="5"/>
  <c r="AS117" i="5"/>
  <c r="AS116" i="5"/>
  <c r="AS115" i="5"/>
  <c r="AS114" i="5"/>
  <c r="AS113" i="5"/>
  <c r="AS112" i="5"/>
  <c r="AS111" i="5"/>
  <c r="AS110" i="5"/>
  <c r="AS109" i="5"/>
  <c r="AS108" i="5"/>
  <c r="AS106" i="5"/>
  <c r="AS105" i="5"/>
  <c r="AS104" i="5"/>
  <c r="AS102" i="5"/>
  <c r="AS101" i="5"/>
  <c r="AS99" i="5"/>
  <c r="AS98" i="5"/>
  <c r="AS97" i="5"/>
  <c r="AS95" i="5"/>
  <c r="AS94" i="5"/>
  <c r="AS91" i="5"/>
  <c r="AS90" i="5"/>
  <c r="AS93" i="5"/>
  <c r="AS88" i="5"/>
  <c r="AS85" i="5"/>
  <c r="AS84" i="5"/>
  <c r="AS83" i="5"/>
  <c r="AS82" i="5"/>
  <c r="AS80" i="5"/>
  <c r="AS78" i="5"/>
  <c r="AS76" i="5"/>
  <c r="AS73" i="5"/>
  <c r="AS72" i="5"/>
  <c r="AS68" i="5"/>
  <c r="AS66" i="5"/>
  <c r="AS69" i="5"/>
  <c r="AS67" i="5"/>
  <c r="AS65" i="5"/>
  <c r="AG129" i="5"/>
  <c r="AG134" i="5" s="1"/>
  <c r="AN155" i="5"/>
  <c r="AS147" i="5" l="1"/>
  <c r="AS155" i="5"/>
  <c r="AS157" i="5" s="1"/>
  <c r="AN157" i="5"/>
  <c r="AN14" i="5" l="1"/>
  <c r="AS14" i="5" s="1"/>
  <c r="AN29" i="5"/>
  <c r="AN161" i="5"/>
  <c r="AM161" i="5"/>
  <c r="AB125" i="5"/>
  <c r="U125" i="5"/>
  <c r="N125" i="5"/>
  <c r="AN121" i="5"/>
  <c r="AS121" i="5" s="1"/>
  <c r="AB117" i="5"/>
  <c r="U117" i="5"/>
  <c r="N117" i="5"/>
  <c r="AB118" i="5"/>
  <c r="U118" i="5"/>
  <c r="N118" i="5"/>
  <c r="AN89" i="5"/>
  <c r="AS89" i="5" s="1"/>
  <c r="AB113" i="5"/>
  <c r="U113" i="5"/>
  <c r="N113" i="5"/>
  <c r="AB82" i="5"/>
  <c r="U82" i="5"/>
  <c r="N82" i="5"/>
  <c r="AB109" i="5"/>
  <c r="U109" i="5"/>
  <c r="N109" i="5"/>
  <c r="AB111" i="5"/>
  <c r="U111" i="5"/>
  <c r="N111" i="5"/>
  <c r="AN107" i="5"/>
  <c r="AS107" i="5" s="1"/>
  <c r="AB106" i="5"/>
  <c r="U106" i="5"/>
  <c r="N106" i="5"/>
  <c r="AB102" i="5"/>
  <c r="U102" i="5"/>
  <c r="N102" i="5"/>
  <c r="AS96" i="5"/>
  <c r="AB88" i="5"/>
  <c r="U88" i="5"/>
  <c r="N88" i="5"/>
  <c r="AB85" i="5"/>
  <c r="U85" i="5"/>
  <c r="N85" i="5"/>
  <c r="AB84" i="5"/>
  <c r="U84" i="5"/>
  <c r="N84" i="5"/>
  <c r="AB93" i="5"/>
  <c r="U93" i="5"/>
  <c r="N93" i="5"/>
  <c r="AB76" i="5"/>
  <c r="U76" i="5"/>
  <c r="N76" i="5"/>
  <c r="AB80" i="5"/>
  <c r="U80" i="5"/>
  <c r="N80" i="5"/>
  <c r="AS75" i="5"/>
  <c r="AB75" i="5"/>
  <c r="U75" i="5"/>
  <c r="N75" i="5"/>
  <c r="AB73" i="5"/>
  <c r="U73" i="5"/>
  <c r="N73" i="5"/>
  <c r="AB72" i="5"/>
  <c r="U72" i="5"/>
  <c r="N72" i="5"/>
  <c r="AB78" i="5"/>
  <c r="U78" i="5"/>
  <c r="N78" i="5"/>
  <c r="AN87" i="5"/>
  <c r="AS87" i="5" s="1"/>
  <c r="AB67" i="5"/>
  <c r="U67" i="5"/>
  <c r="N67" i="5"/>
  <c r="AK102" i="5" l="1"/>
  <c r="AU102" i="5" s="1"/>
  <c r="AK111" i="5"/>
  <c r="AU111" i="5" s="1"/>
  <c r="AK72" i="5"/>
  <c r="AU72" i="5" s="1"/>
  <c r="AK88" i="5"/>
  <c r="AU88" i="5" s="1"/>
  <c r="AK106" i="5"/>
  <c r="AU106" i="5" s="1"/>
  <c r="AK82" i="5"/>
  <c r="AU82" i="5" s="1"/>
  <c r="AK67" i="5"/>
  <c r="AU67" i="5" s="1"/>
  <c r="AK76" i="5"/>
  <c r="AU76" i="5" s="1"/>
  <c r="AK125" i="5"/>
  <c r="AU125" i="5" s="1"/>
  <c r="AK109" i="5"/>
  <c r="AU109" i="5" s="1"/>
  <c r="AK113" i="5"/>
  <c r="AU113" i="5" s="1"/>
  <c r="AK84" i="5"/>
  <c r="AU84" i="5" s="1"/>
  <c r="AK73" i="5"/>
  <c r="AU73" i="5" s="1"/>
  <c r="AK117" i="5"/>
  <c r="AU117" i="5" s="1"/>
  <c r="AK118" i="5"/>
  <c r="AU118" i="5" s="1"/>
  <c r="AK75" i="5"/>
  <c r="AU75" i="5" s="1"/>
  <c r="AK78" i="5"/>
  <c r="AU78" i="5" s="1"/>
  <c r="AK80" i="5"/>
  <c r="AU80" i="5" s="1"/>
  <c r="AK93" i="5"/>
  <c r="AU93" i="5" s="1"/>
  <c r="AK85" i="5"/>
  <c r="AU85" i="5" s="1"/>
  <c r="AS161" i="5"/>
  <c r="AB69" i="5" l="1"/>
  <c r="U69" i="5"/>
  <c r="N69" i="5"/>
  <c r="AB65" i="5"/>
  <c r="U65" i="5"/>
  <c r="N65" i="5"/>
  <c r="AN61" i="5"/>
  <c r="AS61" i="5" s="1"/>
  <c r="AD61" i="5"/>
  <c r="AI61" i="5" s="1"/>
  <c r="AB61" i="5"/>
  <c r="U61" i="5"/>
  <c r="N61" i="5"/>
  <c r="AB54" i="5"/>
  <c r="U54" i="5"/>
  <c r="N54" i="5"/>
  <c r="AB110" i="5"/>
  <c r="U110" i="5"/>
  <c r="N110" i="5"/>
  <c r="AN30" i="5"/>
  <c r="AS30" i="5" s="1"/>
  <c r="AN48" i="5"/>
  <c r="AS48" i="5" s="1"/>
  <c r="AN46" i="5"/>
  <c r="AS46" i="5" s="1"/>
  <c r="AN40" i="5"/>
  <c r="AS40" i="5" s="1"/>
  <c r="AB37" i="5"/>
  <c r="U37" i="5"/>
  <c r="N37" i="5"/>
  <c r="AB38" i="5"/>
  <c r="U38" i="5"/>
  <c r="N38" i="5"/>
  <c r="AB34" i="5"/>
  <c r="U34" i="5"/>
  <c r="N34" i="5"/>
  <c r="AA36" i="5"/>
  <c r="AB35" i="5"/>
  <c r="U35" i="5"/>
  <c r="N35" i="5"/>
  <c r="AN33" i="5"/>
  <c r="AS33" i="5" s="1"/>
  <c r="AN32" i="5"/>
  <c r="AS32" i="5" s="1"/>
  <c r="AN31" i="5"/>
  <c r="AS31" i="5" s="1"/>
  <c r="AN50" i="5"/>
  <c r="AS50" i="5" s="1"/>
  <c r="AN28" i="5"/>
  <c r="AS28" i="5" s="1"/>
  <c r="AN27" i="5"/>
  <c r="AS27" i="5" s="1"/>
  <c r="AN22" i="5"/>
  <c r="AS22" i="5" s="1"/>
  <c r="AB17" i="5"/>
  <c r="U17" i="5"/>
  <c r="N17" i="5"/>
  <c r="AB9" i="5"/>
  <c r="U9" i="5"/>
  <c r="N9" i="5"/>
  <c r="AN8" i="5"/>
  <c r="AS8" i="5" s="1"/>
  <c r="AD95" i="5"/>
  <c r="AI95" i="5" s="1"/>
  <c r="AD60" i="5"/>
  <c r="AI60" i="5" s="1"/>
  <c r="AD57" i="5"/>
  <c r="AI57" i="5" s="1"/>
  <c r="AB51" i="5"/>
  <c r="U51" i="5"/>
  <c r="N51" i="5"/>
  <c r="AD127" i="5" l="1"/>
  <c r="AI127" i="5" s="1"/>
  <c r="AK35" i="5"/>
  <c r="AU35" i="5" s="1"/>
  <c r="AK65" i="5"/>
  <c r="AK9" i="5"/>
  <c r="AU9" i="5" s="1"/>
  <c r="AK38" i="5"/>
  <c r="AU38" i="5" s="1"/>
  <c r="AK51" i="5"/>
  <c r="AU51" i="5" s="1"/>
  <c r="AK54" i="5"/>
  <c r="AU54" i="5" s="1"/>
  <c r="AK37" i="5"/>
  <c r="AU37" i="5" s="1"/>
  <c r="AK110" i="5"/>
  <c r="AU110" i="5" s="1"/>
  <c r="AK61" i="5"/>
  <c r="AU61" i="5" s="1"/>
  <c r="AK17" i="5"/>
  <c r="AU17" i="5" s="1"/>
  <c r="AK34" i="5"/>
  <c r="AU34" i="5" s="1"/>
  <c r="AK69" i="5"/>
  <c r="AU69" i="5" s="1"/>
  <c r="AU65" i="5" l="1"/>
  <c r="AD43" i="5"/>
  <c r="AI43" i="5" s="1"/>
  <c r="AD26" i="5"/>
  <c r="AI26" i="5" s="1"/>
  <c r="AD23" i="5"/>
  <c r="AI23" i="5" s="1"/>
  <c r="AD20" i="5"/>
  <c r="AI20" i="5" s="1"/>
  <c r="AB112" i="5" l="1"/>
  <c r="U112" i="5"/>
  <c r="N112" i="5"/>
  <c r="AK112" i="5" l="1"/>
  <c r="AU112" i="5" s="1"/>
  <c r="AB96" i="5"/>
  <c r="U96" i="5"/>
  <c r="N96" i="5"/>
  <c r="AK96" i="5" l="1"/>
  <c r="AU96" i="5" s="1"/>
  <c r="AB101" i="5"/>
  <c r="U101" i="5"/>
  <c r="N101" i="5"/>
  <c r="AK101" i="5" l="1"/>
  <c r="AU101" i="5" s="1"/>
  <c r="Z91" i="5" l="1"/>
  <c r="Y91" i="5"/>
  <c r="X91" i="5"/>
  <c r="W91" i="5"/>
  <c r="U91" i="5"/>
  <c r="N91" i="5"/>
  <c r="AB91" i="5" l="1"/>
  <c r="AK91" i="5" l="1"/>
  <c r="AU91" i="5" s="1"/>
  <c r="AN103" i="5" l="1"/>
  <c r="AS103" i="5" s="1"/>
  <c r="AB103" i="5"/>
  <c r="U103" i="5"/>
  <c r="N103" i="5"/>
  <c r="AN131" i="5"/>
  <c r="AB122" i="5"/>
  <c r="U122" i="5"/>
  <c r="N122" i="5"/>
  <c r="AB121" i="5"/>
  <c r="U121" i="5"/>
  <c r="N121" i="5"/>
  <c r="AB116" i="5"/>
  <c r="U116" i="5"/>
  <c r="N116" i="5"/>
  <c r="AB107" i="5"/>
  <c r="U107" i="5"/>
  <c r="N107" i="5"/>
  <c r="AB99" i="5"/>
  <c r="U99" i="5"/>
  <c r="N99" i="5"/>
  <c r="AB97" i="5"/>
  <c r="U97" i="5"/>
  <c r="N97" i="5"/>
  <c r="AB89" i="5"/>
  <c r="U89" i="5"/>
  <c r="N89" i="5"/>
  <c r="AN71" i="5"/>
  <c r="AS71" i="5" s="1"/>
  <c r="AB71" i="5"/>
  <c r="U71" i="5"/>
  <c r="N71" i="5"/>
  <c r="AS127" i="5" l="1"/>
  <c r="AK89" i="5"/>
  <c r="AU89" i="5" s="1"/>
  <c r="AK122" i="5"/>
  <c r="AU122" i="5" s="1"/>
  <c r="AK99" i="5"/>
  <c r="AU99" i="5" s="1"/>
  <c r="AK116" i="5"/>
  <c r="AU116" i="5" s="1"/>
  <c r="AK71" i="5"/>
  <c r="AK97" i="5"/>
  <c r="AU97" i="5" s="1"/>
  <c r="AK121" i="5"/>
  <c r="AU121" i="5" s="1"/>
  <c r="AK103" i="5"/>
  <c r="AU103" i="5" s="1"/>
  <c r="AK107" i="5"/>
  <c r="AU107" i="5" s="1"/>
  <c r="AN127" i="5"/>
  <c r="AU71" i="5" l="1"/>
  <c r="AN49" i="5"/>
  <c r="AS49" i="5" s="1"/>
  <c r="AB47" i="5"/>
  <c r="U47" i="5"/>
  <c r="N47" i="5"/>
  <c r="AB32" i="5"/>
  <c r="U32" i="5"/>
  <c r="N32" i="5"/>
  <c r="AB24" i="5"/>
  <c r="U24" i="5"/>
  <c r="N24" i="5"/>
  <c r="AN18" i="5"/>
  <c r="AS18" i="5" s="1"/>
  <c r="AB10" i="5"/>
  <c r="U10" i="5"/>
  <c r="N10" i="5"/>
  <c r="AN7" i="5"/>
  <c r="AD131" i="5"/>
  <c r="AI131" i="5" s="1"/>
  <c r="AB48" i="5"/>
  <c r="U48" i="5"/>
  <c r="N48" i="5"/>
  <c r="AB12" i="5"/>
  <c r="U12" i="5"/>
  <c r="N12" i="5"/>
  <c r="AN63" i="5" l="1"/>
  <c r="AS7" i="5"/>
  <c r="AK32" i="5"/>
  <c r="AU32" i="5" s="1"/>
  <c r="AK48" i="5"/>
  <c r="AU48" i="5" s="1"/>
  <c r="AK24" i="5"/>
  <c r="AU24" i="5" s="1"/>
  <c r="AK12" i="5"/>
  <c r="AU12" i="5" s="1"/>
  <c r="AK47" i="5"/>
  <c r="AU47" i="5" s="1"/>
  <c r="AK10" i="5"/>
  <c r="AU10" i="5" s="1"/>
  <c r="AB53" i="5" l="1"/>
  <c r="U53" i="5"/>
  <c r="N53" i="5"/>
  <c r="AB94" i="5"/>
  <c r="U94" i="5"/>
  <c r="N94" i="5"/>
  <c r="AB46" i="5"/>
  <c r="U46" i="5"/>
  <c r="N46" i="5"/>
  <c r="AB114" i="5"/>
  <c r="U114" i="5"/>
  <c r="N114" i="5"/>
  <c r="AB13" i="5"/>
  <c r="U13" i="5"/>
  <c r="N13" i="5"/>
  <c r="AB42" i="5"/>
  <c r="U42" i="5"/>
  <c r="N42" i="5"/>
  <c r="AK42" i="5" l="1"/>
  <c r="AU42" i="5" s="1"/>
  <c r="AK94" i="5"/>
  <c r="AU94" i="5" s="1"/>
  <c r="AK114" i="5"/>
  <c r="AU114" i="5" s="1"/>
  <c r="AK13" i="5"/>
  <c r="AU13" i="5" s="1"/>
  <c r="AK46" i="5"/>
  <c r="AU46" i="5" s="1"/>
  <c r="AK53" i="5"/>
  <c r="AU53" i="5" s="1"/>
  <c r="AN129" i="5"/>
  <c r="AN134" i="5" s="1"/>
  <c r="AB8" i="5" l="1"/>
  <c r="U8" i="5"/>
  <c r="N8" i="5"/>
  <c r="AK8" i="5" l="1"/>
  <c r="AU8" i="5" s="1"/>
  <c r="AM29" i="5"/>
  <c r="AS29" i="5" s="1"/>
  <c r="AA29" i="5"/>
  <c r="AD63" i="5" l="1"/>
  <c r="AB120" i="5"/>
  <c r="U120" i="5"/>
  <c r="N120" i="5"/>
  <c r="AD129" i="5" l="1"/>
  <c r="AI63" i="5"/>
  <c r="AD134" i="5"/>
  <c r="AI134" i="5" s="1"/>
  <c r="AI129" i="5"/>
  <c r="AK120" i="5"/>
  <c r="AU120" i="5" s="1"/>
  <c r="AA39" i="5"/>
  <c r="AB108" i="5" l="1"/>
  <c r="U108" i="5"/>
  <c r="N108" i="5"/>
  <c r="AK108" i="5" l="1"/>
  <c r="AU108" i="5" s="1"/>
  <c r="AB41" i="5"/>
  <c r="U41" i="5"/>
  <c r="N41" i="5"/>
  <c r="AM39" i="5"/>
  <c r="AS39" i="5" s="1"/>
  <c r="AK41" i="5" l="1"/>
  <c r="AU41" i="5" s="1"/>
  <c r="AB115" i="5" l="1"/>
  <c r="U115" i="5"/>
  <c r="N115" i="5"/>
  <c r="AK115" i="5" l="1"/>
  <c r="AU115" i="5" s="1"/>
  <c r="AB19" i="5"/>
  <c r="U19" i="5"/>
  <c r="N19" i="5"/>
  <c r="AA131" i="5"/>
  <c r="AA132" i="5"/>
  <c r="AA58" i="5"/>
  <c r="AA30" i="5"/>
  <c r="AA40" i="5"/>
  <c r="AK19" i="5" l="1"/>
  <c r="AU19" i="5" s="1"/>
  <c r="AA119" i="5" l="1"/>
  <c r="AA95" i="5"/>
  <c r="AA87" i="5"/>
  <c r="AA23" i="5"/>
  <c r="AB21" i="5"/>
  <c r="U21" i="5"/>
  <c r="N21" i="5"/>
  <c r="AA7" i="5"/>
  <c r="AA68" i="5"/>
  <c r="AA127" i="5" l="1"/>
  <c r="AK21" i="5"/>
  <c r="AU21" i="5" s="1"/>
  <c r="AB185" i="5" l="1"/>
  <c r="U185" i="5"/>
  <c r="U186" i="5" s="1"/>
  <c r="AB182" i="5"/>
  <c r="AB181" i="5"/>
  <c r="U182" i="5"/>
  <c r="U181" i="5"/>
  <c r="AB119" i="5"/>
  <c r="AB105" i="5"/>
  <c r="AB104" i="5"/>
  <c r="AB98" i="5"/>
  <c r="AB90" i="5"/>
  <c r="AB83" i="5"/>
  <c r="AB68" i="5"/>
  <c r="AB62" i="5"/>
  <c r="AB58" i="5"/>
  <c r="AB55" i="5"/>
  <c r="AB50" i="5"/>
  <c r="AB49" i="5"/>
  <c r="AB44" i="5"/>
  <c r="AB39" i="5"/>
  <c r="AB36" i="5"/>
  <c r="AB33" i="5"/>
  <c r="AB31" i="5"/>
  <c r="AB28" i="5"/>
  <c r="AB27" i="5"/>
  <c r="AB25" i="5"/>
  <c r="AB22" i="5"/>
  <c r="AB18" i="5"/>
  <c r="AB16" i="5"/>
  <c r="AB15" i="5"/>
  <c r="U131" i="5"/>
  <c r="U126" i="5"/>
  <c r="U119" i="5"/>
  <c r="U105" i="5"/>
  <c r="U104" i="5"/>
  <c r="U98" i="5"/>
  <c r="U90" i="5"/>
  <c r="U68" i="5"/>
  <c r="U66" i="5"/>
  <c r="U62" i="5"/>
  <c r="U58" i="5"/>
  <c r="U57" i="5"/>
  <c r="U55" i="5"/>
  <c r="U30" i="5"/>
  <c r="U50" i="5"/>
  <c r="U49" i="5"/>
  <c r="U44" i="5"/>
  <c r="U40" i="5"/>
  <c r="U39" i="5"/>
  <c r="U36" i="5"/>
  <c r="U33" i="5"/>
  <c r="U31" i="5"/>
  <c r="U29" i="5"/>
  <c r="U28" i="5"/>
  <c r="U27" i="5"/>
  <c r="U25" i="5"/>
  <c r="U22" i="5"/>
  <c r="U20" i="5"/>
  <c r="U18" i="5"/>
  <c r="U16" i="5"/>
  <c r="U15" i="5"/>
  <c r="N132" i="5"/>
  <c r="N131" i="5"/>
  <c r="N126" i="5"/>
  <c r="N119" i="5"/>
  <c r="N105" i="5"/>
  <c r="N104" i="5"/>
  <c r="N98" i="5"/>
  <c r="N95" i="5"/>
  <c r="N90" i="5"/>
  <c r="N83" i="5"/>
  <c r="N87" i="5"/>
  <c r="N68" i="5"/>
  <c r="N66" i="5"/>
  <c r="N62" i="5"/>
  <c r="N60" i="5"/>
  <c r="N58" i="5"/>
  <c r="N57" i="5"/>
  <c r="N55" i="5"/>
  <c r="N30" i="5"/>
  <c r="N50" i="5"/>
  <c r="N49" i="5"/>
  <c r="N44" i="5"/>
  <c r="N43" i="5"/>
  <c r="N40" i="5"/>
  <c r="N39" i="5"/>
  <c r="N36" i="5"/>
  <c r="N33" i="5"/>
  <c r="N31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N127" i="5" l="1"/>
  <c r="AK15" i="5"/>
  <c r="AU15" i="5" s="1"/>
  <c r="AK16" i="5"/>
  <c r="AU16" i="5" s="1"/>
  <c r="AK36" i="5"/>
  <c r="AU36" i="5" s="1"/>
  <c r="AK33" i="5"/>
  <c r="AU33" i="5" s="1"/>
  <c r="AK18" i="5"/>
  <c r="AU18" i="5" s="1"/>
  <c r="AK62" i="5"/>
  <c r="AU62" i="5" s="1"/>
  <c r="AK104" i="5"/>
  <c r="AU104" i="5" s="1"/>
  <c r="AK50" i="5"/>
  <c r="AU50" i="5" s="1"/>
  <c r="AK28" i="5"/>
  <c r="AU28" i="5" s="1"/>
  <c r="AK55" i="5"/>
  <c r="AU55" i="5" s="1"/>
  <c r="AK105" i="5"/>
  <c r="AU105" i="5" s="1"/>
  <c r="AK27" i="5"/>
  <c r="AU27" i="5" s="1"/>
  <c r="AK31" i="5"/>
  <c r="AU31" i="5" s="1"/>
  <c r="AK58" i="5"/>
  <c r="AU58" i="5" s="1"/>
  <c r="AK119" i="5"/>
  <c r="AU119" i="5" s="1"/>
  <c r="AK39" i="5"/>
  <c r="AU39" i="5" s="1"/>
  <c r="AK22" i="5"/>
  <c r="AU22" i="5" s="1"/>
  <c r="AK44" i="5"/>
  <c r="AU44" i="5" s="1"/>
  <c r="AK90" i="5"/>
  <c r="AU90" i="5" s="1"/>
  <c r="AK68" i="5"/>
  <c r="AU68" i="5" s="1"/>
  <c r="AK25" i="5"/>
  <c r="AU25" i="5" s="1"/>
  <c r="AK49" i="5"/>
  <c r="AU49" i="5" s="1"/>
  <c r="AK98" i="5"/>
  <c r="AU98" i="5" s="1"/>
  <c r="U183" i="5"/>
  <c r="U188" i="5" s="1"/>
  <c r="AK185" i="5"/>
  <c r="AK182" i="5"/>
  <c r="N63" i="5"/>
  <c r="AK181" i="5"/>
  <c r="AB186" i="5"/>
  <c r="AB183" i="5"/>
  <c r="N129" i="5" l="1"/>
  <c r="N134" i="5" s="1"/>
  <c r="AB188" i="5"/>
  <c r="AA186" i="5"/>
  <c r="Z186" i="5"/>
  <c r="Y186" i="5"/>
  <c r="X186" i="5"/>
  <c r="W186" i="5"/>
  <c r="T186" i="5"/>
  <c r="AK186" i="5"/>
  <c r="AA183" i="5"/>
  <c r="Z183" i="5"/>
  <c r="Y183" i="5"/>
  <c r="X183" i="5"/>
  <c r="W183" i="5"/>
  <c r="T183" i="5"/>
  <c r="S183" i="5"/>
  <c r="S188" i="5" s="1"/>
  <c r="Z132" i="5"/>
  <c r="Y132" i="5"/>
  <c r="X132" i="5"/>
  <c r="W132" i="5"/>
  <c r="T132" i="5"/>
  <c r="S132" i="5"/>
  <c r="P132" i="5"/>
  <c r="Z131" i="5"/>
  <c r="AB131" i="5" s="1"/>
  <c r="Z95" i="5"/>
  <c r="Y95" i="5"/>
  <c r="X95" i="5"/>
  <c r="W95" i="5"/>
  <c r="T95" i="5"/>
  <c r="T127" i="5" s="1"/>
  <c r="S95" i="5"/>
  <c r="S83" i="5"/>
  <c r="U83" i="5" s="1"/>
  <c r="AK83" i="5" s="1"/>
  <c r="Z87" i="5"/>
  <c r="Y87" i="5"/>
  <c r="Y127" i="5" s="1"/>
  <c r="X87" i="5"/>
  <c r="W87" i="5"/>
  <c r="W127" i="5" s="1"/>
  <c r="S87" i="5"/>
  <c r="Z66" i="5"/>
  <c r="AM63" i="5"/>
  <c r="AS134" i="5" s="1"/>
  <c r="W63" i="5"/>
  <c r="R63" i="5"/>
  <c r="Q63" i="5"/>
  <c r="P63" i="5"/>
  <c r="M63" i="5"/>
  <c r="L63" i="5"/>
  <c r="K63" i="5"/>
  <c r="J63" i="5"/>
  <c r="I63" i="5"/>
  <c r="H63" i="5"/>
  <c r="G63" i="5"/>
  <c r="F63" i="5"/>
  <c r="E63" i="5"/>
  <c r="D63" i="5"/>
  <c r="C63" i="5"/>
  <c r="Y60" i="5"/>
  <c r="AB60" i="5" s="1"/>
  <c r="T60" i="5"/>
  <c r="Z57" i="5"/>
  <c r="AB57" i="5" s="1"/>
  <c r="AK57" i="5" s="1"/>
  <c r="Z30" i="5"/>
  <c r="Y30" i="5"/>
  <c r="X30" i="5"/>
  <c r="Z43" i="5"/>
  <c r="Y43" i="5"/>
  <c r="X43" i="5"/>
  <c r="S43" i="5"/>
  <c r="Z40" i="5"/>
  <c r="Y40" i="5"/>
  <c r="X40" i="5"/>
  <c r="AA63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X127" i="5" l="1"/>
  <c r="AB66" i="5"/>
  <c r="Z127" i="5"/>
  <c r="U87" i="5"/>
  <c r="S127" i="5"/>
  <c r="AK14" i="5"/>
  <c r="AU14" i="5" s="1"/>
  <c r="AK131" i="5"/>
  <c r="AU131" i="5" s="1"/>
  <c r="AK66" i="5"/>
  <c r="U23" i="5"/>
  <c r="U95" i="5"/>
  <c r="AU57" i="5"/>
  <c r="AU83" i="5"/>
  <c r="AB95" i="5"/>
  <c r="AB30" i="5"/>
  <c r="F129" i="5"/>
  <c r="F134" i="5" s="1"/>
  <c r="P129" i="5"/>
  <c r="P134" i="5" s="1"/>
  <c r="X188" i="5"/>
  <c r="U132" i="5"/>
  <c r="AB43" i="5"/>
  <c r="AM129" i="5"/>
  <c r="AM134" i="5" s="1"/>
  <c r="AB126" i="5"/>
  <c r="AK126" i="5" s="1"/>
  <c r="Y63" i="5"/>
  <c r="AB20" i="5"/>
  <c r="AK20" i="5" s="1"/>
  <c r="U26" i="5"/>
  <c r="U43" i="5"/>
  <c r="S63" i="5"/>
  <c r="U7" i="5"/>
  <c r="Z63" i="5"/>
  <c r="X63" i="5"/>
  <c r="AB7" i="5"/>
  <c r="U60" i="5"/>
  <c r="T63" i="5"/>
  <c r="AB132" i="5"/>
  <c r="AK132" i="5" s="1"/>
  <c r="Y188" i="5"/>
  <c r="AB23" i="5"/>
  <c r="AB87" i="5"/>
  <c r="AK87" i="5" s="1"/>
  <c r="AB29" i="5"/>
  <c r="AK29" i="5" s="1"/>
  <c r="AB40" i="5"/>
  <c r="AK40" i="5" s="1"/>
  <c r="AA129" i="5"/>
  <c r="AA134" i="5" s="1"/>
  <c r="W188" i="5"/>
  <c r="AK183" i="5"/>
  <c r="AK188" i="5" s="1"/>
  <c r="AA188" i="5"/>
  <c r="J129" i="5"/>
  <c r="J134" i="5" s="1"/>
  <c r="M129" i="5"/>
  <c r="M134" i="5" s="1"/>
  <c r="T188" i="5"/>
  <c r="Z188" i="5"/>
  <c r="K129" i="5"/>
  <c r="K134" i="5" s="1"/>
  <c r="C129" i="5"/>
  <c r="C134" i="5" s="1"/>
  <c r="G129" i="5"/>
  <c r="G134" i="5" s="1"/>
  <c r="Q129" i="5"/>
  <c r="Q134" i="5" s="1"/>
  <c r="L129" i="5"/>
  <c r="L134" i="5" s="1"/>
  <c r="H129" i="5"/>
  <c r="H134" i="5" s="1"/>
  <c r="R129" i="5"/>
  <c r="R134" i="5" s="1"/>
  <c r="D129" i="5"/>
  <c r="D134" i="5" s="1"/>
  <c r="I129" i="5"/>
  <c r="I134" i="5" s="1"/>
  <c r="E129" i="5"/>
  <c r="E134" i="5" s="1"/>
  <c r="U127" i="5" l="1"/>
  <c r="AU66" i="5"/>
  <c r="AB127" i="5"/>
  <c r="W129" i="5"/>
  <c r="W134" i="5" s="1"/>
  <c r="AK23" i="5"/>
  <c r="AU23" i="5" s="1"/>
  <c r="AK43" i="5"/>
  <c r="AU43" i="5" s="1"/>
  <c r="AK7" i="5"/>
  <c r="AU7" i="5" s="1"/>
  <c r="AK95" i="5"/>
  <c r="AU95" i="5" s="1"/>
  <c r="AK26" i="5"/>
  <c r="AU26" i="5" s="1"/>
  <c r="AK60" i="5"/>
  <c r="AU60" i="5" s="1"/>
  <c r="AK30" i="5"/>
  <c r="AU30" i="5" s="1"/>
  <c r="Y129" i="5"/>
  <c r="Y134" i="5" s="1"/>
  <c r="AU132" i="5"/>
  <c r="AU87" i="5"/>
  <c r="AU126" i="5"/>
  <c r="AU29" i="5"/>
  <c r="AU40" i="5"/>
  <c r="AU20" i="5"/>
  <c r="T129" i="5"/>
  <c r="T134" i="5" s="1"/>
  <c r="Z129" i="5"/>
  <c r="Z134" i="5" s="1"/>
  <c r="X129" i="5"/>
  <c r="X134" i="5" s="1"/>
  <c r="AB63" i="5"/>
  <c r="U63" i="5"/>
  <c r="S129" i="5"/>
  <c r="S134" i="5" s="1"/>
  <c r="AK127" i="5" l="1"/>
  <c r="AU127" i="5"/>
  <c r="AK63" i="5"/>
  <c r="U129" i="5"/>
  <c r="U134" i="5" s="1"/>
  <c r="AU63" i="5"/>
  <c r="AB129" i="5"/>
  <c r="AB134" i="5" s="1"/>
  <c r="AU129" i="5" l="1"/>
  <c r="AU134" i="5" s="1"/>
  <c r="AK129" i="5"/>
  <c r="AK134" i="5" s="1"/>
</calcChain>
</file>

<file path=xl/sharedStrings.xml><?xml version="1.0" encoding="utf-8"?>
<sst xmlns="http://schemas.openxmlformats.org/spreadsheetml/2006/main" count="184" uniqueCount="160">
  <si>
    <t>Cash Received by Gavi</t>
  </si>
  <si>
    <t>Proceeds, as of 31 December 2025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</si>
  <si>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</si>
  <si>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</si>
  <si>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</si>
  <si>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</si>
  <si>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</si>
  <si>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</si>
  <si>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</si>
  <si>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2021-2025 TOTAL</t>
  </si>
  <si>
    <t>GRAND TOTAL</t>
  </si>
  <si>
    <t>TOTAL</t>
  </si>
  <si>
    <r>
      <t>Australia</t>
    </r>
    <r>
      <rPr>
        <vertAlign val="superscript"/>
        <sz val="10"/>
        <rFont val="Arial"/>
        <family val="2"/>
      </rPr>
      <t>1</t>
    </r>
  </si>
  <si>
    <t>Austria</t>
  </si>
  <si>
    <t>Bahrain</t>
  </si>
  <si>
    <t>Belgium</t>
  </si>
  <si>
    <t>Bhutan</t>
  </si>
  <si>
    <r>
      <t>Brazil</t>
    </r>
    <r>
      <rPr>
        <vertAlign val="superscript"/>
        <sz val="10"/>
        <rFont val="Arial"/>
        <family val="2"/>
      </rPr>
      <t>1</t>
    </r>
  </si>
  <si>
    <t>Burkina Faso</t>
  </si>
  <si>
    <r>
      <t>Canada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</si>
  <si>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</si>
  <si>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t>Colombia</t>
  </si>
  <si>
    <t>Croatia</t>
  </si>
  <si>
    <t>Denmark</t>
  </si>
  <si>
    <t>Estonia</t>
  </si>
  <si>
    <r>
      <t>European Commission (EC)</t>
    </r>
    <r>
      <rPr>
        <vertAlign val="superscript"/>
        <sz val="10"/>
        <rFont val="Arial"/>
        <family val="2"/>
      </rPr>
      <t>1</t>
    </r>
  </si>
  <si>
    <t>Finland</t>
  </si>
  <si>
    <t>France</t>
  </si>
  <si>
    <t>Germany</t>
  </si>
  <si>
    <t>Greece</t>
  </si>
  <si>
    <r>
      <t>Iceland</t>
    </r>
    <r>
      <rPr>
        <vertAlign val="superscript"/>
        <sz val="10"/>
        <rFont val="Arial"/>
        <family val="2"/>
      </rPr>
      <t>1</t>
    </r>
  </si>
  <si>
    <t>India</t>
  </si>
  <si>
    <t>Ireland</t>
  </si>
  <si>
    <t>Italy</t>
  </si>
  <si>
    <r>
      <t>Japan</t>
    </r>
    <r>
      <rPr>
        <vertAlign val="superscript"/>
        <sz val="10"/>
        <rFont val="Arial"/>
        <family val="2"/>
      </rPr>
      <t>1</t>
    </r>
  </si>
  <si>
    <r>
      <t>Kingdom of Saudi Arabia</t>
    </r>
    <r>
      <rPr>
        <vertAlign val="superscript"/>
        <sz val="10"/>
        <rFont val="Arial"/>
        <family val="2"/>
      </rPr>
      <t>1</t>
    </r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</si>
  <si>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</si>
  <si>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</si>
  <si>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</si>
  <si>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</si>
  <si>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</si>
  <si>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</si>
  <si>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</si>
  <si>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</si>
  <si>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r>
      <t>Monaco</t>
    </r>
    <r>
      <rPr>
        <vertAlign val="superscript"/>
        <sz val="10"/>
        <rFont val="Arial"/>
        <family val="2"/>
      </rPr>
      <t>1</t>
    </r>
  </si>
  <si>
    <t>Netherlands</t>
  </si>
  <si>
    <t>New Zealand</t>
  </si>
  <si>
    <t>Niger</t>
  </si>
  <si>
    <r>
      <t>Norway</t>
    </r>
    <r>
      <rPr>
        <vertAlign val="superscript"/>
        <sz val="10"/>
        <rFont val="Arial"/>
        <family val="2"/>
      </rPr>
      <t>1</t>
    </r>
  </si>
  <si>
    <t>Oman</t>
  </si>
  <si>
    <r>
      <t>Palau</t>
    </r>
    <r>
      <rPr>
        <vertAlign val="superscript"/>
        <sz val="10"/>
        <rFont val="Arial"/>
        <family val="2"/>
      </rPr>
      <t>1</t>
    </r>
  </si>
  <si>
    <t>Philippines</t>
  </si>
  <si>
    <t>Poland</t>
  </si>
  <si>
    <t>Portugal</t>
  </si>
  <si>
    <t>Qatar</t>
  </si>
  <si>
    <r>
      <t>Republic of Korea</t>
    </r>
    <r>
      <rPr>
        <vertAlign val="superscript"/>
        <sz val="10"/>
        <rFont val="Arial"/>
        <family val="2"/>
      </rPr>
      <t>1</t>
    </r>
  </si>
  <si>
    <t>Russia</t>
  </si>
  <si>
    <t>Scotland</t>
  </si>
  <si>
    <t>Singapore</t>
  </si>
  <si>
    <t>Slovenia</t>
  </si>
  <si>
    <r>
      <t>Spain</t>
    </r>
    <r>
      <rPr>
        <vertAlign val="superscript"/>
        <sz val="10"/>
        <rFont val="Arial"/>
        <family val="2"/>
      </rPr>
      <t>2</t>
    </r>
  </si>
  <si>
    <t>Stadt Zug</t>
  </si>
  <si>
    <t xml:space="preserve">Sweden </t>
  </si>
  <si>
    <t>Switzerland</t>
  </si>
  <si>
    <t>Uganda</t>
  </si>
  <si>
    <r>
      <t>United Kingdom</t>
    </r>
    <r>
      <rPr>
        <vertAlign val="superscript"/>
        <sz val="10"/>
        <rFont val="Arial"/>
        <family val="2"/>
      </rPr>
      <t>1</t>
    </r>
  </si>
  <si>
    <t>United States</t>
  </si>
  <si>
    <t>Vietnam</t>
  </si>
  <si>
    <t>Donor Governments and EC</t>
  </si>
  <si>
    <t>AerCap Ireland Limited</t>
  </si>
  <si>
    <t>Al Ansari Exchange</t>
  </si>
  <si>
    <t>Alight Solutions</t>
  </si>
  <si>
    <t>Alwaleed Philanthropies</t>
  </si>
  <si>
    <t>Analog Devices Foundation</t>
  </si>
  <si>
    <t>Arm Limited</t>
  </si>
  <si>
    <t>Asia Philanthropy Circle</t>
  </si>
  <si>
    <t>BlackBerry</t>
  </si>
  <si>
    <t>Centene Charitable Foundation</t>
  </si>
  <si>
    <t>Charities Trust</t>
  </si>
  <si>
    <t>Children's Investment Fund Foundation (CIFF)</t>
  </si>
  <si>
    <t>The Church of Jesus Christ of Latter-day Saints</t>
  </si>
  <si>
    <r>
      <t>Cisco</t>
    </r>
    <r>
      <rPr>
        <vertAlign val="superscript"/>
        <sz val="10"/>
        <rFont val="Arial"/>
        <family val="2"/>
      </rPr>
      <t>5</t>
    </r>
  </si>
  <si>
    <t>Coca-Cola Foundation</t>
  </si>
  <si>
    <t>CODE(RED) Campaign</t>
  </si>
  <si>
    <t>Collins Aerospace (Goodrich Corporation)</t>
  </si>
  <si>
    <t>Croda Foundation</t>
  </si>
  <si>
    <t>Dolby Laboratories Charitable Fund</t>
  </si>
  <si>
    <t>ELMA Vaccines and Immunization Foundation</t>
  </si>
  <si>
    <t>Epiroc AB</t>
  </si>
  <si>
    <t>Etsy</t>
  </si>
  <si>
    <t>Gamers Without Borders</t>
  </si>
  <si>
    <t>Gates Foundation</t>
  </si>
  <si>
    <t>Gates Philanthropy Partners</t>
  </si>
  <si>
    <t>Google.org</t>
  </si>
  <si>
    <t>His Highness Sheikh Mohamed bin Zayed Al Nahyan</t>
  </si>
  <si>
    <t>International Federation of Pharmaceutical Wholesalers (IFPW)</t>
  </si>
  <si>
    <t>Kerk in Actie</t>
  </si>
  <si>
    <t>King Baudouin Foundation</t>
  </si>
  <si>
    <t>KS Relief</t>
  </si>
  <si>
    <t>"la Caixa" Foundation</t>
  </si>
  <si>
    <r>
      <t>Mastercard</t>
    </r>
    <r>
      <rPr>
        <vertAlign val="superscript"/>
        <sz val="10"/>
        <rFont val="Arial"/>
        <family val="2"/>
      </rPr>
      <t>3</t>
    </r>
  </si>
  <si>
    <t>McHugh O'Donovan Foundation</t>
  </si>
  <si>
    <t>OPEC Fund for International Development (OFID)</t>
  </si>
  <si>
    <t>PagerDuty</t>
  </si>
  <si>
    <t>Portuguese private sector</t>
  </si>
  <si>
    <r>
      <t>Power of Nutrition</t>
    </r>
    <r>
      <rPr>
        <vertAlign val="superscript"/>
        <sz val="10"/>
        <rFont val="Arial"/>
        <family val="2"/>
      </rPr>
      <t>5</t>
    </r>
  </si>
  <si>
    <t>Pratt &amp; Whitney</t>
  </si>
  <si>
    <t>Procter &amp; Gamble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</si>
  <si>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</si>
  <si>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</si>
  <si>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</si>
  <si>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</si>
  <si>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</si>
  <si>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</si>
  <si>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</si>
  <si>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</si>
  <si>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</si>
  <si>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</si>
  <si>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</si>
  <si>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</si>
  <si>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r>
      <t>Toyota Tsusho</t>
    </r>
    <r>
      <rPr>
        <vertAlign val="superscript"/>
        <sz val="10"/>
        <rFont val="Arial"/>
        <family val="2"/>
      </rPr>
      <t>4</t>
    </r>
  </si>
  <si>
    <t>Twilio</t>
  </si>
  <si>
    <t>UBS Optimus Foundation</t>
  </si>
  <si>
    <r>
      <t>Unilever</t>
    </r>
    <r>
      <rPr>
        <vertAlign val="superscript"/>
        <sz val="10"/>
        <rFont val="Arial"/>
        <family val="2"/>
      </rPr>
      <t>5</t>
    </r>
  </si>
  <si>
    <t>UPS</t>
  </si>
  <si>
    <t>Vaccine Forward Initiative</t>
  </si>
  <si>
    <t>Visa Foundation</t>
  </si>
  <si>
    <t>Wellcome Trust</t>
  </si>
  <si>
    <t>WHO Foundation - Go Give One Campaign</t>
  </si>
  <si>
    <t>Workday Foundation</t>
  </si>
  <si>
    <r>
      <t>Other private</t>
    </r>
    <r>
      <rPr>
        <vertAlign val="superscript"/>
        <sz val="10"/>
        <rFont val="Arial"/>
        <family val="2"/>
      </rPr>
      <t>6</t>
    </r>
  </si>
  <si>
    <t>Foundations, organisations, corporations and institutions</t>
  </si>
  <si>
    <t>Sub-total</t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</si>
  <si>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</si>
  <si>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</si>
  <si>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Total contributions</t>
  </si>
  <si>
    <t>Vaccine Delivery and/or Logistics to Gavi COVAX AMC</t>
  </si>
  <si>
    <t>Canada</t>
  </si>
  <si>
    <t>European Commission</t>
  </si>
  <si>
    <t>Japan</t>
  </si>
  <si>
    <t>Bill &amp; Melinda Gates Foundation</t>
  </si>
  <si>
    <t>COVAX Dose Sharing - Ancillary Costs</t>
  </si>
  <si>
    <t>Australia</t>
  </si>
  <si>
    <t>United Kingdom</t>
  </si>
  <si>
    <t>COVAX Humanitarian Buffer</t>
  </si>
  <si>
    <t>Notes:</t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</si>
  <si>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</si>
  <si>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</si>
  <si>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raised funds via a consumer-based fundraising campaign through its donation platform.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</si>
  <si>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</si>
  <si>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5 - Cisco, Power of Nutrition and Unilever provide resources to Gavi on a leveraged partnership project</t>
  </si>
  <si>
    <t>6 - Includes contributions from other private sector corporations, foundations, individuals, institutions and organisations</t>
  </si>
  <si>
    <t>7 - IFFIm Proceeds:  cash disbursements from the World Bank: to the GFA (2006-2012), to Gavi (2013-2024)</t>
  </si>
  <si>
    <t>8 - In 2018, the Gavi Board approved Gavi support for research and development of new vaccines by the Coalition for Epidemic Preparedness Innovations (CEPI) through an IFFIm transaction of NOK 600 million (US$ 66 million) to frontload an equivalent Norway grant for this purpose. Subsequently in 2020, the Gavi Board approved Gavi support for research and development of new COVID-19 vaccines by CEPI, through a similar IFFIm arrangement. To date, IFFIm has raised US$ 354 million for this initiative supported by additional grants from Norway,  Italy, and Spain.</t>
  </si>
  <si>
    <t>9 - AMC Proceeds: cash transfers from the World Bank to Gavi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</si>
  <si>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</si>
  <si>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 xml:space="preserve">Norway </t>
  </si>
  <si>
    <t>Private Contributions</t>
  </si>
  <si>
    <t>2025¹⁰</t>
  </si>
  <si>
    <t>10 - The EC’s contribution recorded in 2025 under the COVAX AMC table relates to AVMA.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</si>
</sst>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  <numFmt numFmtId="173" formatCode="_(* #,##0.00000000_);_(* \(#,##0.00000000\);_(* &quot;-&quot;_);_(@_)"/>
    <numFmt numFmtId="174" formatCode="_-* #,##0\ _€_-;\-* #,##0\ _€_-;_-* &quot;-&quot;??\ _€_-;_-@_-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41" fontId="0" fillId="0" borderId="0" xfId="0" applyNumberFormat="1"/>
    <xf numFmtId="0" fontId="22" fillId="0" borderId="0" xfId="0" applyFont="1"/>
    <xf numFmtId="171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1" fontId="7" fillId="5" borderId="30" xfId="0" applyNumberFormat="1" applyFont="1" applyFill="1" applyBorder="1" applyAlignment="1">
      <alignment horizontal="right" vertical="center"/>
    </xf>
    <xf numFmtId="41" fontId="7" fillId="5" borderId="31" xfId="0" applyNumberFormat="1" applyFont="1" applyFill="1" applyBorder="1" applyAlignment="1">
      <alignment horizontal="right" vertical="center"/>
    </xf>
    <xf numFmtId="41" fontId="7" fillId="5" borderId="29" xfId="0" applyNumberFormat="1" applyFont="1" applyFill="1" applyBorder="1" applyAlignment="1">
      <alignment horizontal="right" vertical="center"/>
    </xf>
    <xf numFmtId="41" fontId="6" fillId="6" borderId="32" xfId="0" applyNumberFormat="1" applyFont="1" applyFill="1" applyBorder="1" applyAlignment="1">
      <alignment horizontal="right" vertical="center"/>
    </xf>
    <xf numFmtId="43" fontId="0" fillId="0" borderId="0" xfId="0" applyNumberFormat="1"/>
    <xf numFmtId="41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73" fontId="23" fillId="0" borderId="0" xfId="0" applyNumberFormat="1" applyFont="1"/>
    <xf numFmtId="168" fontId="0" fillId="0" borderId="0" xfId="0" applyNumberFormat="1"/>
    <xf numFmtId="1" fontId="6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7" fillId="0" borderId="9" xfId="0" applyNumberFormat="1" applyFont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7" fillId="2" borderId="4" xfId="1" applyNumberFormat="1" applyFont="1" applyFill="1" applyBorder="1" applyAlignment="1">
      <alignment vertical="center"/>
    </xf>
    <xf numFmtId="1" fontId="7" fillId="2" borderId="6" xfId="1" applyNumberFormat="1" applyFont="1" applyFill="1" applyBorder="1" applyAlignment="1">
      <alignment vertical="center"/>
    </xf>
    <xf numFmtId="1" fontId="7" fillId="0" borderId="6" xfId="1" applyNumberFormat="1" applyFont="1" applyFill="1" applyBorder="1" applyAlignment="1">
      <alignment vertical="center"/>
    </xf>
    <xf numFmtId="1" fontId="8" fillId="3" borderId="1" xfId="2" applyNumberFormat="1" applyFont="1" applyFill="1" applyBorder="1" applyAlignment="1">
      <alignment vertical="center"/>
    </xf>
    <xf numFmtId="1" fontId="8" fillId="0" borderId="0" xfId="2" applyNumberFormat="1" applyFont="1" applyFill="1" applyBorder="1" applyAlignment="1">
      <alignment horizontal="right" vertical="center"/>
    </xf>
    <xf numFmtId="1" fontId="8" fillId="3" borderId="2" xfId="0" applyNumberFormat="1" applyFont="1" applyFill="1" applyBorder="1" applyAlignment="1">
      <alignment horizontal="right" vertical="center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 vertical="center" wrapText="1"/>
    </xf>
    <xf numFmtId="41" fontId="7" fillId="5" borderId="34" xfId="0" applyNumberFormat="1" applyFont="1" applyFill="1" applyBorder="1" applyAlignment="1">
      <alignment horizontal="right" vertical="center"/>
    </xf>
    <xf numFmtId="41" fontId="7" fillId="5" borderId="35" xfId="0" applyNumberFormat="1" applyFont="1" applyFill="1" applyBorder="1" applyAlignment="1">
      <alignment horizontal="right" vertical="center"/>
    </xf>
    <xf numFmtId="41" fontId="7" fillId="5" borderId="36" xfId="0" applyNumberFormat="1" applyFont="1" applyFill="1" applyBorder="1" applyAlignment="1">
      <alignment horizontal="right" vertical="center"/>
    </xf>
    <xf numFmtId="41" fontId="6" fillId="6" borderId="33" xfId="0" applyNumberFormat="1" applyFont="1" applyFill="1" applyBorder="1" applyAlignment="1">
      <alignment horizontal="right" vertical="center"/>
    </xf>
    <xf numFmtId="41" fontId="0" fillId="0" borderId="27" xfId="0" applyNumberFormat="1" applyBorder="1"/>
    <xf numFmtId="41" fontId="23" fillId="0" borderId="37" xfId="0" applyNumberFormat="1" applyFont="1" applyBorder="1"/>
    <xf numFmtId="41" fontId="0" fillId="0" borderId="38" xfId="0" applyNumberFormat="1" applyBorder="1"/>
    <xf numFmtId="41" fontId="0" fillId="0" borderId="37" xfId="0" applyNumberFormat="1" applyBorder="1"/>
    <xf numFmtId="41" fontId="8" fillId="0" borderId="27" xfId="2" applyNumberFormat="1" applyFont="1" applyFill="1" applyBorder="1" applyAlignment="1">
      <alignment horizontal="right" vertical="center"/>
    </xf>
    <xf numFmtId="41" fontId="8" fillId="0" borderId="27" xfId="0" applyNumberFormat="1" applyFont="1" applyBorder="1" applyAlignment="1">
      <alignment horizontal="right" vertical="center"/>
    </xf>
    <xf numFmtId="173" fontId="24" fillId="0" borderId="0" xfId="0" applyNumberFormat="1" applyFont="1"/>
    <xf numFmtId="0" fontId="24" fillId="0" borderId="0" xfId="0" applyFont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74" fontId="7" fillId="5" borderId="31" xfId="1" applyNumberFormat="1" applyFont="1" applyFill="1" applyBorder="1" applyAlignment="1">
      <alignment horizontal="right" vertical="center"/>
    </xf>
    <xf numFmtId="174" fontId="7" fillId="5" borderId="35" xfId="1" applyNumberFormat="1" applyFont="1" applyFill="1" applyBorder="1" applyAlignment="1">
      <alignment horizontal="right" vertical="center"/>
    </xf>
    <xf numFmtId="41" fontId="23" fillId="0" borderId="0" xfId="0" applyNumberFormat="1" applyFon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952F9DE-CD73-48EC-8ABA-CAEC56639382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1" defaultTableStyle="TableStyleMedium2" defaultPivotStyle="PivotStyleLight16">
    <tableStyle name="Invisible" pivot="0" table="0" count="0" xr9:uid="{879FD450-0F1B-4DB1-B6E5-72205CEBB81E}"/>
  </tableStyles>
  <colors>
    <mruColors>
      <color rgb="FF0000FF"/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797659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X188"/>
  <sheetViews>
    <sheetView showGridLines="0" tabSelected="1" zoomScaleNormal="100" zoomScaleSheetLayoutView="110" workbookViewId="0">
      <pane xSplit="1" ySplit="6" topLeftCell="B93" activePane="bottomRight" state="frozen"/>
      <selection pane="topRight" activeCell="B1" sqref="B1"/>
      <selection pane="bottomLeft" activeCell="A7" sqref="A7"/>
      <selection pane="bottomRight" activeCell="AR138" sqref="AR138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3" width="8.140625" bestFit="1" customWidth="1" outlineLevel="1"/>
    <col min="34" max="34" width="8.7109375" customWidth="1" outlineLevel="1"/>
    <col min="35" max="35" width="13.140625" customWidth="1"/>
    <col min="36" max="36" width="2.5703125" customWidth="1"/>
    <col min="37" max="37" width="13.42578125" customWidth="1"/>
    <col min="38" max="38" width="4.42578125" customWidth="1"/>
    <col min="39" max="44" width="8.7109375" customWidth="1"/>
    <col min="45" max="45" width="13.140625" customWidth="1"/>
    <col min="46" max="46" width="2.5703125" customWidth="1"/>
    <col min="47" max="47" width="13.42578125" customWidth="1"/>
    <col min="48" max="48" width="2.7109375" customWidth="1"/>
    <col min="49" max="49" width="16.85546875" customWidth="1"/>
    <col min="50" max="50" width="12.7109375" bestFit="1" customWidth="1"/>
  </cols>
  <sheetData>
    <row r="1" spans="1:47" ht="70.5" customHeight="1" x14ac:dyDescent="0.2"/>
    <row r="2" spans="1:47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  <c r="AG2" s="1"/>
      <c r="AH2" s="1"/>
      <c r="AI2" s="1"/>
    </row>
    <row r="3" spans="1:47" ht="15.75" x14ac:dyDescent="0.25">
      <c r="A3" s="2" t="s">
        <v>1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G3" s="1"/>
      <c r="AH3" s="1"/>
      <c r="AI3" s="1"/>
      <c r="AN3" s="126"/>
    </row>
    <row r="4" spans="1:47" ht="16.5" thickBot="1" x14ac:dyDescent="0.3">
      <c r="A4" s="3" t="s">
        <v>2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7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M5" s="182" t="s">
        <v>3</v>
      </c>
      <c r="AN5" s="183"/>
      <c r="AO5" s="183"/>
      <c r="AP5" s="183"/>
      <c r="AQ5" s="183"/>
      <c r="AR5" s="183"/>
      <c r="AS5" s="184"/>
      <c r="AU5" s="179" t="s">
        <v>4</v>
      </c>
    </row>
    <row r="6" spans="1:47" ht="30.75" thickBot="1" x14ac:dyDescent="0.25">
      <c r="A6" s="39" t="s">
        <v>5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6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7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8</v>
      </c>
      <c r="AD6" s="7">
        <v>2021</v>
      </c>
      <c r="AE6" s="7">
        <v>2022</v>
      </c>
      <c r="AF6" s="140">
        <v>2023</v>
      </c>
      <c r="AG6" s="140">
        <v>2024</v>
      </c>
      <c r="AH6" s="140">
        <v>2025</v>
      </c>
      <c r="AI6" s="40" t="s">
        <v>9</v>
      </c>
      <c r="AK6" s="41" t="s">
        <v>10</v>
      </c>
      <c r="AM6" s="111">
        <v>2020</v>
      </c>
      <c r="AN6" s="127">
        <v>2021</v>
      </c>
      <c r="AO6" s="136">
        <v>2022</v>
      </c>
      <c r="AP6" s="155">
        <v>2023</v>
      </c>
      <c r="AQ6" s="128">
        <v>2024</v>
      </c>
      <c r="AR6" s="128" t="s">
        <v>158</v>
      </c>
      <c r="AS6" s="116" t="s">
        <v>11</v>
      </c>
      <c r="AU6" s="180"/>
    </row>
    <row r="7" spans="1:47" ht="15" thickBot="1" x14ac:dyDescent="0.25">
      <c r="A7" s="135" t="s">
        <v>12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141">
        <f>37.19+29.752+14.86609534</f>
        <v>81.808095339999994</v>
      </c>
      <c r="AG7" s="141">
        <f>33.57740466+3.29749758</f>
        <v>36.874902239999997</v>
      </c>
      <c r="AH7" s="141">
        <v>78.852300417800009</v>
      </c>
      <c r="AI7" s="82">
        <f>SUM(AD7:AH7)</f>
        <v>218.44829799780001</v>
      </c>
      <c r="AK7" s="90">
        <f>SUM(AB7,U7,N7,AI7)</f>
        <v>646.26258549780005</v>
      </c>
      <c r="AL7" s="32"/>
      <c r="AM7" s="105">
        <v>28.511231739999999</v>
      </c>
      <c r="AN7" s="129">
        <f>1.90273211+3.09078161</f>
        <v>4.9935137200000002</v>
      </c>
      <c r="AO7" s="129">
        <v>56.088769999999997</v>
      </c>
      <c r="AP7" s="156"/>
      <c r="AQ7" s="152"/>
      <c r="AR7" s="152"/>
      <c r="AS7" s="112">
        <f t="shared" ref="AS7:AS19" si="0">SUM(AM7:AR7)</f>
        <v>89.593515459999992</v>
      </c>
      <c r="AU7" s="90">
        <f t="shared" ref="AU7:AU38" si="1">SUM(AK7,AS7)</f>
        <v>735.85610095779998</v>
      </c>
    </row>
    <row r="8" spans="1:47" ht="13.5" thickBot="1" x14ac:dyDescent="0.25">
      <c r="A8" s="27" t="s">
        <v>13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2">SUM(C8:M8)</f>
        <v>0</v>
      </c>
      <c r="P8" s="42"/>
      <c r="Q8" s="48"/>
      <c r="R8" s="48"/>
      <c r="S8" s="48"/>
      <c r="T8" s="48"/>
      <c r="U8" s="83">
        <f t="shared" ref="U8:U12" si="3">SUM(P8:T8)</f>
        <v>0</v>
      </c>
      <c r="W8" s="48"/>
      <c r="X8" s="48"/>
      <c r="Y8" s="48"/>
      <c r="Z8" s="48"/>
      <c r="AA8" s="48"/>
      <c r="AB8" s="83">
        <f t="shared" ref="AB8:AB12" si="4">SUM(W8:AA8)</f>
        <v>0</v>
      </c>
      <c r="AD8" s="48"/>
      <c r="AE8" s="48"/>
      <c r="AF8" s="142"/>
      <c r="AG8" s="142"/>
      <c r="AH8" s="142"/>
      <c r="AI8" s="83">
        <f t="shared" ref="AI8:AI71" si="5">SUM(AD8:AH8)</f>
        <v>0</v>
      </c>
      <c r="AK8" s="91">
        <f t="shared" ref="AK8:AK62" si="6">SUM(AB8,U8,N8,AI8)</f>
        <v>0</v>
      </c>
      <c r="AL8" s="32"/>
      <c r="AM8" s="106"/>
      <c r="AN8" s="130">
        <f>2.83512+2.94775+2.82975</f>
        <v>8.6126199999999997</v>
      </c>
      <c r="AO8" s="130"/>
      <c r="AP8" s="157"/>
      <c r="AQ8" s="153"/>
      <c r="AR8" s="153"/>
      <c r="AS8" s="113">
        <f t="shared" si="0"/>
        <v>8.6126199999999997</v>
      </c>
      <c r="AU8" s="91">
        <f t="shared" si="1"/>
        <v>8.6126199999999997</v>
      </c>
    </row>
    <row r="9" spans="1:47" ht="13.5" thickBot="1" x14ac:dyDescent="0.25">
      <c r="A9" s="27" t="s">
        <v>14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142"/>
      <c r="AG9" s="142"/>
      <c r="AH9" s="142"/>
      <c r="AI9" s="83">
        <f t="shared" si="5"/>
        <v>0</v>
      </c>
      <c r="AK9" s="91">
        <f t="shared" si="6"/>
        <v>0</v>
      </c>
      <c r="AL9" s="32"/>
      <c r="AM9" s="106"/>
      <c r="AN9" s="130">
        <v>2.5</v>
      </c>
      <c r="AO9" s="130"/>
      <c r="AP9" s="157"/>
      <c r="AQ9" s="153"/>
      <c r="AR9" s="153"/>
      <c r="AS9" s="113">
        <f t="shared" si="0"/>
        <v>2.5</v>
      </c>
      <c r="AU9" s="91">
        <f t="shared" si="1"/>
        <v>2.5</v>
      </c>
    </row>
    <row r="10" spans="1:47" ht="13.5" thickBot="1" x14ac:dyDescent="0.25">
      <c r="A10" s="27" t="s">
        <v>15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0">SUM(C10:M10)</f>
        <v>0</v>
      </c>
      <c r="P10" s="42"/>
      <c r="Q10" s="48"/>
      <c r="R10" s="48"/>
      <c r="S10" s="48"/>
      <c r="T10" s="48"/>
      <c r="U10" s="83">
        <f t="shared" ref="U10:U11" si="11">SUM(P10:T10)</f>
        <v>0</v>
      </c>
      <c r="W10" s="48"/>
      <c r="X10" s="48"/>
      <c r="Y10" s="48"/>
      <c r="Z10" s="48"/>
      <c r="AA10" s="48"/>
      <c r="AB10" s="83">
        <f t="shared" ref="AB10:AB11" si="12">SUM(W10:AA10)</f>
        <v>0</v>
      </c>
      <c r="AD10" s="48"/>
      <c r="AE10" s="48"/>
      <c r="AF10" s="142">
        <v>3.2271000000000001</v>
      </c>
      <c r="AG10" s="142"/>
      <c r="AH10" s="142"/>
      <c r="AI10" s="83">
        <f t="shared" si="5"/>
        <v>3.2271000000000001</v>
      </c>
      <c r="AK10" s="91">
        <f t="shared" si="6"/>
        <v>3.2271000000000001</v>
      </c>
      <c r="AL10" s="32"/>
      <c r="AM10" s="106"/>
      <c r="AN10" s="130">
        <v>4.8844000000000003</v>
      </c>
      <c r="AO10" s="130">
        <v>4.5464000000000002</v>
      </c>
      <c r="AP10" s="157"/>
      <c r="AQ10" s="153"/>
      <c r="AR10" s="153"/>
      <c r="AS10" s="113">
        <f t="shared" si="0"/>
        <v>9.4308000000000014</v>
      </c>
      <c r="AU10" s="91">
        <f t="shared" si="1"/>
        <v>12.657900000000001</v>
      </c>
    </row>
    <row r="11" spans="1:47" ht="13.5" thickBot="1" x14ac:dyDescent="0.25">
      <c r="A11" s="27" t="s">
        <v>16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0"/>
        <v>0</v>
      </c>
      <c r="P11" s="42"/>
      <c r="Q11" s="48"/>
      <c r="R11" s="48"/>
      <c r="S11" s="48"/>
      <c r="T11" s="48"/>
      <c r="U11" s="83">
        <f t="shared" si="11"/>
        <v>0</v>
      </c>
      <c r="W11" s="48"/>
      <c r="X11" s="48"/>
      <c r="Y11" s="48"/>
      <c r="Z11" s="48"/>
      <c r="AA11" s="48"/>
      <c r="AB11" s="83">
        <f t="shared" si="12"/>
        <v>0</v>
      </c>
      <c r="AD11" s="48"/>
      <c r="AE11" s="48"/>
      <c r="AF11" s="142"/>
      <c r="AG11" s="142"/>
      <c r="AH11" s="142"/>
      <c r="AI11" s="83">
        <f t="shared" si="5"/>
        <v>0</v>
      </c>
      <c r="AK11" s="91">
        <f t="shared" ref="AK11" si="13">SUM(AB11,U11,N11,AI11)</f>
        <v>0</v>
      </c>
      <c r="AL11" s="32"/>
      <c r="AM11" s="106"/>
      <c r="AN11" s="130">
        <v>5.0000000000000001E-3</v>
      </c>
      <c r="AO11" s="130"/>
      <c r="AP11" s="157"/>
      <c r="AQ11" s="153"/>
      <c r="AR11" s="153"/>
      <c r="AS11" s="113">
        <f t="shared" si="0"/>
        <v>5.0000000000000001E-3</v>
      </c>
      <c r="AU11" s="91">
        <f t="shared" si="1"/>
        <v>5.0000000000000001E-3</v>
      </c>
    </row>
    <row r="12" spans="1:47" ht="15" thickBot="1" x14ac:dyDescent="0.25">
      <c r="A12" s="27" t="s">
        <v>17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2"/>
        <v>0</v>
      </c>
      <c r="P12" s="42"/>
      <c r="Q12" s="48"/>
      <c r="R12" s="48"/>
      <c r="S12" s="48"/>
      <c r="T12" s="48"/>
      <c r="U12" s="83">
        <f t="shared" si="3"/>
        <v>0</v>
      </c>
      <c r="W12" s="48"/>
      <c r="X12" s="48"/>
      <c r="Y12" s="48"/>
      <c r="Z12" s="48"/>
      <c r="AA12" s="48"/>
      <c r="AB12" s="83">
        <f t="shared" si="4"/>
        <v>0</v>
      </c>
      <c r="AD12" s="48"/>
      <c r="AE12" s="48"/>
      <c r="AF12" s="142"/>
      <c r="AG12" s="142"/>
      <c r="AH12" s="142"/>
      <c r="AI12" s="83">
        <f t="shared" si="5"/>
        <v>0</v>
      </c>
      <c r="AK12" s="91">
        <f t="shared" si="6"/>
        <v>0</v>
      </c>
      <c r="AL12" s="32"/>
      <c r="AM12" s="106"/>
      <c r="AN12" s="130"/>
      <c r="AO12" s="130">
        <f>2.30364+20.4768</f>
        <v>22.780440000000002</v>
      </c>
      <c r="AP12" s="157">
        <f>86.71254+34.20474</f>
        <v>120.91728000000001</v>
      </c>
      <c r="AQ12" s="153"/>
      <c r="AR12" s="153"/>
      <c r="AS12" s="113">
        <f t="shared" si="0"/>
        <v>143.69772</v>
      </c>
      <c r="AU12" s="91">
        <f t="shared" si="1"/>
        <v>143.69772</v>
      </c>
    </row>
    <row r="13" spans="1:47" ht="13.5" thickBot="1" x14ac:dyDescent="0.25">
      <c r="A13" s="27" t="s">
        <v>18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4">SUM(C13:M13)</f>
        <v>0</v>
      </c>
      <c r="P13" s="42"/>
      <c r="Q13" s="48"/>
      <c r="R13" s="48"/>
      <c r="S13" s="48"/>
      <c r="T13" s="48"/>
      <c r="U13" s="83">
        <f t="shared" ref="U13" si="15">SUM(P13:T13)</f>
        <v>0</v>
      </c>
      <c r="W13" s="48"/>
      <c r="X13" s="48"/>
      <c r="Y13" s="48"/>
      <c r="Z13" s="48"/>
      <c r="AA13" s="48"/>
      <c r="AB13" s="83">
        <f t="shared" ref="AB13" si="16">SUM(W13:AA13)</f>
        <v>0</v>
      </c>
      <c r="AD13" s="48">
        <v>1</v>
      </c>
      <c r="AE13" s="48"/>
      <c r="AF13" s="142"/>
      <c r="AG13" s="142"/>
      <c r="AH13" s="142"/>
      <c r="AI13" s="83">
        <f t="shared" si="5"/>
        <v>1</v>
      </c>
      <c r="AK13" s="91">
        <f t="shared" si="6"/>
        <v>1</v>
      </c>
      <c r="AL13" s="32"/>
      <c r="AM13" s="106"/>
      <c r="AN13" s="130"/>
      <c r="AO13" s="130"/>
      <c r="AP13" s="157"/>
      <c r="AQ13" s="153"/>
      <c r="AR13" s="153"/>
      <c r="AS13" s="113">
        <f t="shared" si="0"/>
        <v>0</v>
      </c>
      <c r="AU13" s="91">
        <f t="shared" si="1"/>
        <v>1</v>
      </c>
    </row>
    <row r="14" spans="1:47" ht="15" thickBot="1" x14ac:dyDescent="0.25">
      <c r="A14" s="27" t="s">
        <v>19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2" si="17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2" si="18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2" si="19">SUM(W14:AA14)</f>
        <v>409.7486164316</v>
      </c>
      <c r="AD14" s="48">
        <v>73.72460212</v>
      </c>
      <c r="AE14" s="48">
        <v>73.183004999999994</v>
      </c>
      <c r="AF14" s="142">
        <v>74.46848516</v>
      </c>
      <c r="AG14" s="142">
        <v>86.186542676770301</v>
      </c>
      <c r="AH14" s="142">
        <v>54.607513343111883</v>
      </c>
      <c r="AI14" s="83">
        <f t="shared" si="5"/>
        <v>362.17014829988216</v>
      </c>
      <c r="AK14" s="91">
        <f t="shared" si="6"/>
        <v>1043.206427221482</v>
      </c>
      <c r="AL14" s="32"/>
      <c r="AM14" s="106"/>
      <c r="AN14" s="130">
        <f>25+86.17988092+87.97184901+175.31277393</f>
        <v>374.46450385999998</v>
      </c>
      <c r="AO14" s="130">
        <v>36.960378470000002</v>
      </c>
      <c r="AP14" s="157">
        <v>37.350900000000003</v>
      </c>
      <c r="AQ14" s="153"/>
      <c r="AR14" s="153"/>
      <c r="AS14" s="113">
        <f t="shared" si="0"/>
        <v>448.77578233000003</v>
      </c>
      <c r="AU14" s="91">
        <f t="shared" si="1"/>
        <v>1491.9822095514821</v>
      </c>
    </row>
    <row r="15" spans="1:47" ht="15" thickBot="1" x14ac:dyDescent="0.25">
      <c r="A15" s="27" t="s">
        <v>20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17"/>
        <v>0</v>
      </c>
      <c r="P15" s="42"/>
      <c r="Q15" s="48"/>
      <c r="R15" s="48"/>
      <c r="S15" s="48"/>
      <c r="T15" s="48"/>
      <c r="U15" s="83">
        <f t="shared" si="18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19"/>
        <v>5</v>
      </c>
      <c r="AD15" s="48">
        <v>4</v>
      </c>
      <c r="AE15" s="48">
        <v>4</v>
      </c>
      <c r="AF15" s="142">
        <v>4</v>
      </c>
      <c r="AG15" s="142">
        <v>4</v>
      </c>
      <c r="AH15" s="142">
        <v>4</v>
      </c>
      <c r="AI15" s="83">
        <f t="shared" si="5"/>
        <v>20</v>
      </c>
      <c r="AK15" s="91">
        <f t="shared" si="6"/>
        <v>25</v>
      </c>
      <c r="AL15" s="32"/>
      <c r="AM15" s="106"/>
      <c r="AN15" s="130"/>
      <c r="AO15" s="130">
        <f>20+80</f>
        <v>100</v>
      </c>
      <c r="AP15" s="157"/>
      <c r="AQ15" s="153"/>
      <c r="AR15" s="153"/>
      <c r="AS15" s="113">
        <f t="shared" si="0"/>
        <v>100</v>
      </c>
      <c r="AU15" s="91">
        <f t="shared" si="1"/>
        <v>125</v>
      </c>
    </row>
    <row r="16" spans="1:47" ht="13.5" thickBot="1" x14ac:dyDescent="0.25">
      <c r="A16" s="27" t="s">
        <v>21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17"/>
        <v>0</v>
      </c>
      <c r="P16" s="42"/>
      <c r="Q16" s="48"/>
      <c r="R16" s="48"/>
      <c r="S16" s="48"/>
      <c r="T16" s="48"/>
      <c r="U16" s="83">
        <f t="shared" si="18"/>
        <v>0</v>
      </c>
      <c r="W16" s="48"/>
      <c r="X16" s="48"/>
      <c r="Y16" s="48"/>
      <c r="Z16" s="48"/>
      <c r="AA16" s="48"/>
      <c r="AB16" s="83">
        <f t="shared" si="19"/>
        <v>0</v>
      </c>
      <c r="AD16" s="48"/>
      <c r="AE16" s="48"/>
      <c r="AF16" s="142"/>
      <c r="AG16" s="142"/>
      <c r="AH16" s="142"/>
      <c r="AI16" s="83">
        <f t="shared" si="5"/>
        <v>0</v>
      </c>
      <c r="AK16" s="91">
        <f t="shared" si="6"/>
        <v>0</v>
      </c>
      <c r="AL16" s="32"/>
      <c r="AM16" s="106">
        <v>0.5</v>
      </c>
      <c r="AN16" s="130"/>
      <c r="AO16" s="130"/>
      <c r="AP16" s="157"/>
      <c r="AQ16" s="153"/>
      <c r="AR16" s="153"/>
      <c r="AS16" s="113">
        <f t="shared" si="0"/>
        <v>0.5</v>
      </c>
      <c r="AU16" s="91">
        <f t="shared" si="1"/>
        <v>0.5</v>
      </c>
    </row>
    <row r="17" spans="1:47" ht="13.5" thickBot="1" x14ac:dyDescent="0.25">
      <c r="A17" s="27" t="s">
        <v>22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0">SUM(P17:T17)</f>
        <v>0</v>
      </c>
      <c r="W17" s="48"/>
      <c r="X17" s="48"/>
      <c r="Y17" s="48"/>
      <c r="Z17" s="48"/>
      <c r="AA17" s="48"/>
      <c r="AB17" s="83">
        <f t="shared" ref="AB17" si="21">SUM(W17:AA17)</f>
        <v>0</v>
      </c>
      <c r="AD17" s="48"/>
      <c r="AE17" s="48"/>
      <c r="AF17" s="142"/>
      <c r="AG17" s="142"/>
      <c r="AH17" s="142">
        <v>1.1596</v>
      </c>
      <c r="AI17" s="83">
        <f t="shared" si="5"/>
        <v>1.1596</v>
      </c>
      <c r="AK17" s="91">
        <f t="shared" si="6"/>
        <v>1.1596</v>
      </c>
      <c r="AL17" s="32"/>
      <c r="AM17" s="106"/>
      <c r="AN17" s="130">
        <v>0.59</v>
      </c>
      <c r="AO17" s="130"/>
      <c r="AP17" s="157"/>
      <c r="AQ17" s="153"/>
      <c r="AR17" s="153"/>
      <c r="AS17" s="113">
        <f t="shared" si="0"/>
        <v>0.59</v>
      </c>
      <c r="AU17" s="91">
        <f t="shared" si="1"/>
        <v>1.7496</v>
      </c>
    </row>
    <row r="18" spans="1:47" ht="13.5" thickBot="1" x14ac:dyDescent="0.25">
      <c r="A18" s="9" t="s">
        <v>23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17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18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19"/>
        <v>15.354493569999999</v>
      </c>
      <c r="AD18" s="48"/>
      <c r="AE18" s="48">
        <v>3.4750500400000002</v>
      </c>
      <c r="AF18" s="142">
        <v>3.6544482399999998</v>
      </c>
      <c r="AG18" s="142">
        <v>3.6172838500000002</v>
      </c>
      <c r="AH18" s="142">
        <v>5.4719579400000011</v>
      </c>
      <c r="AI18" s="83">
        <f t="shared" si="5"/>
        <v>16.218740070000003</v>
      </c>
      <c r="AK18" s="91">
        <f t="shared" si="6"/>
        <v>77.27899549</v>
      </c>
      <c r="AL18" s="32"/>
      <c r="AM18" s="106"/>
      <c r="AN18" s="130">
        <f>7.91851255+7.99475263</f>
        <v>15.91326518</v>
      </c>
      <c r="AO18" s="130">
        <v>10.687056139999999</v>
      </c>
      <c r="AP18" s="157"/>
      <c r="AQ18" s="153"/>
      <c r="AR18" s="153"/>
      <c r="AS18" s="113">
        <f t="shared" si="0"/>
        <v>26.600321319999999</v>
      </c>
      <c r="AU18" s="91">
        <f t="shared" si="1"/>
        <v>103.87931681000001</v>
      </c>
    </row>
    <row r="19" spans="1:47" ht="13.5" thickBot="1" x14ac:dyDescent="0.25">
      <c r="A19" s="9" t="s">
        <v>24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17"/>
        <v>0</v>
      </c>
      <c r="P19" s="42"/>
      <c r="Q19" s="48"/>
      <c r="R19" s="48"/>
      <c r="S19" s="48"/>
      <c r="T19" s="48"/>
      <c r="U19" s="83">
        <f t="shared" si="18"/>
        <v>0</v>
      </c>
      <c r="W19" s="48"/>
      <c r="X19" s="48"/>
      <c r="Y19" s="48"/>
      <c r="Z19" s="48"/>
      <c r="AA19" s="48"/>
      <c r="AB19" s="83">
        <f t="shared" si="19"/>
        <v>0</v>
      </c>
      <c r="AD19" s="48"/>
      <c r="AE19" s="48"/>
      <c r="AF19" s="142"/>
      <c r="AG19" s="142"/>
      <c r="AH19" s="142"/>
      <c r="AI19" s="83">
        <f t="shared" si="5"/>
        <v>0</v>
      </c>
      <c r="AK19" s="91">
        <f t="shared" si="6"/>
        <v>0</v>
      </c>
      <c r="AL19" s="32"/>
      <c r="AM19" s="107">
        <v>8.5266999999999996E-2</v>
      </c>
      <c r="AN19" s="130">
        <v>8.2963999999999996E-2</v>
      </c>
      <c r="AO19" s="130">
        <v>4.0644E-2</v>
      </c>
      <c r="AP19" s="157"/>
      <c r="AQ19" s="153"/>
      <c r="AR19" s="153"/>
      <c r="AS19" s="114">
        <f t="shared" si="0"/>
        <v>0.20887499999999998</v>
      </c>
      <c r="AU19" s="91">
        <f t="shared" si="1"/>
        <v>0.20887499999999998</v>
      </c>
    </row>
    <row r="20" spans="1:47" ht="15" thickBot="1" x14ac:dyDescent="0.25">
      <c r="A20" s="27" t="s">
        <v>25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17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18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19"/>
        <v>182.80281886</v>
      </c>
      <c r="AD20" s="48">
        <f>30.83275+1.0966+8.9696</f>
        <v>40.898949999999999</v>
      </c>
      <c r="AE20" s="48">
        <v>16.350000000000001</v>
      </c>
      <c r="AF20" s="142">
        <v>149.64750000000001</v>
      </c>
      <c r="AG20" s="142">
        <v>149.64750000000001</v>
      </c>
      <c r="AH20" s="142">
        <v>17.640750000000001</v>
      </c>
      <c r="AI20" s="83">
        <f t="shared" si="5"/>
        <v>374.18470000000002</v>
      </c>
      <c r="AK20" s="91">
        <f t="shared" si="6"/>
        <v>649.67381537999995</v>
      </c>
      <c r="AL20" s="32"/>
      <c r="AM20" s="106"/>
      <c r="AN20" s="130">
        <f>338.85+(55.2358+148.986)</f>
        <v>543.07179999999994</v>
      </c>
      <c r="AO20" s="130">
        <f>63.95246087+4.62573913</f>
        <v>68.57820000000001</v>
      </c>
      <c r="AP20" s="157"/>
      <c r="AQ20" s="153"/>
      <c r="AR20" s="153">
        <v>215.25867</v>
      </c>
      <c r="AS20" s="113">
        <f>SUM(AM20:AR20)</f>
        <v>826.90867000000003</v>
      </c>
      <c r="AU20" s="91">
        <f t="shared" si="1"/>
        <v>1476.58248538</v>
      </c>
    </row>
    <row r="21" spans="1:47" ht="13.5" thickBot="1" x14ac:dyDescent="0.25">
      <c r="A21" s="9" t="s">
        <v>26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17"/>
        <v>0</v>
      </c>
      <c r="P21" s="51"/>
      <c r="Q21" s="48"/>
      <c r="R21" s="48"/>
      <c r="S21" s="48"/>
      <c r="T21" s="48"/>
      <c r="U21" s="83">
        <f t="shared" si="18"/>
        <v>0</v>
      </c>
      <c r="W21" s="48"/>
      <c r="X21" s="48"/>
      <c r="Y21" s="48"/>
      <c r="Z21" s="48"/>
      <c r="AA21" s="48">
        <v>3.0407500000000001</v>
      </c>
      <c r="AB21" s="83">
        <f t="shared" si="19"/>
        <v>3.0407500000000001</v>
      </c>
      <c r="AD21" s="48"/>
      <c r="AE21" s="48"/>
      <c r="AF21" s="142">
        <f>1.7727125+0.42254484375</f>
        <v>2.1952573437499998</v>
      </c>
      <c r="AG21" s="142"/>
      <c r="AH21" s="142"/>
      <c r="AI21" s="83">
        <f t="shared" si="5"/>
        <v>2.1952573437499998</v>
      </c>
      <c r="AK21" s="91">
        <f t="shared" si="6"/>
        <v>5.2360073437499999</v>
      </c>
      <c r="AL21" s="32"/>
      <c r="AM21" s="106"/>
      <c r="AN21" s="130"/>
      <c r="AO21" s="130">
        <f>2.24626+11.2313+3.67348194+2.03051</f>
        <v>19.181551939999999</v>
      </c>
      <c r="AP21" s="157"/>
      <c r="AQ21" s="153"/>
      <c r="AR21" s="153"/>
      <c r="AS21" s="113">
        <f t="shared" ref="AS21:AS62" si="22">SUM(AM21:AR21)</f>
        <v>19.181551939999999</v>
      </c>
      <c r="AU21" s="91">
        <f t="shared" si="1"/>
        <v>24.417559283749998</v>
      </c>
    </row>
    <row r="22" spans="1:47" ht="13.5" thickBot="1" x14ac:dyDescent="0.25">
      <c r="A22" s="27" t="s">
        <v>27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17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18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19"/>
        <v>152.70728</v>
      </c>
      <c r="AD22" s="48">
        <v>33.595423799999999</v>
      </c>
      <c r="AE22" s="48">
        <v>55.400096400000002</v>
      </c>
      <c r="AF22" s="142">
        <v>54.774999999999999</v>
      </c>
      <c r="AG22" s="142">
        <v>55.177</v>
      </c>
      <c r="AH22" s="142"/>
      <c r="AI22" s="83">
        <f t="shared" si="5"/>
        <v>198.94752019999999</v>
      </c>
      <c r="AK22" s="91">
        <f t="shared" si="6"/>
        <v>472.55236411999999</v>
      </c>
      <c r="AL22" s="32"/>
      <c r="AM22" s="106"/>
      <c r="AN22" s="130">
        <f>42.845544+29.6775+84.42825+20.60977162+23.29758782</f>
        <v>200.85865344000001</v>
      </c>
      <c r="AO22" s="130"/>
      <c r="AP22" s="157">
        <v>37.0974</v>
      </c>
      <c r="AQ22" s="153">
        <v>36.555123000000002</v>
      </c>
      <c r="AR22" s="153"/>
      <c r="AS22" s="113">
        <f t="shared" si="22"/>
        <v>274.51117643999999</v>
      </c>
      <c r="AU22" s="91">
        <f t="shared" si="1"/>
        <v>747.06354055999998</v>
      </c>
    </row>
    <row r="23" spans="1:47" ht="13.5" thickBot="1" x14ac:dyDescent="0.25">
      <c r="A23" s="9" t="s">
        <v>28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17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18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19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142">
        <f>56.3393125+56.3626375+22.68625</f>
        <v>135.38819999999998</v>
      </c>
      <c r="AG23" s="142">
        <f>57.20671875+57.20671875+22.8826875</f>
        <v>137.29612499999999</v>
      </c>
      <c r="AH23" s="142">
        <v>138.68930628000001</v>
      </c>
      <c r="AI23" s="83">
        <f t="shared" si="5"/>
        <v>716.28513127999997</v>
      </c>
      <c r="AK23" s="91">
        <f t="shared" si="6"/>
        <v>1592.1009217699998</v>
      </c>
      <c r="AL23" s="32"/>
      <c r="AM23" s="106">
        <v>121.14499313</v>
      </c>
      <c r="AN23" s="130">
        <v>827.16319318000001</v>
      </c>
      <c r="AO23" s="130"/>
      <c r="AP23" s="157"/>
      <c r="AQ23" s="153"/>
      <c r="AR23" s="153"/>
      <c r="AS23" s="113">
        <f t="shared" si="22"/>
        <v>948.30818631</v>
      </c>
      <c r="AU23" s="91">
        <f t="shared" si="1"/>
        <v>2540.4091080799999</v>
      </c>
    </row>
    <row r="24" spans="1:47" ht="13.5" thickBot="1" x14ac:dyDescent="0.25">
      <c r="A24" s="27" t="s">
        <v>29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17"/>
        <v>0</v>
      </c>
      <c r="P24" s="42"/>
      <c r="Q24" s="48"/>
      <c r="R24" s="48"/>
      <c r="S24" s="48"/>
      <c r="T24" s="48"/>
      <c r="U24" s="83">
        <f t="shared" ref="U24" si="23">SUM(P24:T24)</f>
        <v>0</v>
      </c>
      <c r="W24" s="48"/>
      <c r="X24" s="48"/>
      <c r="Y24" s="48"/>
      <c r="Z24" s="48"/>
      <c r="AA24" s="48"/>
      <c r="AB24" s="83">
        <f t="shared" ref="AB24" si="24">SUM(W24:AA24)</f>
        <v>0</v>
      </c>
      <c r="AD24" s="48"/>
      <c r="AE24" s="48"/>
      <c r="AF24" s="142"/>
      <c r="AG24" s="142"/>
      <c r="AH24" s="142"/>
      <c r="AI24" s="83">
        <f t="shared" si="5"/>
        <v>0</v>
      </c>
      <c r="AK24" s="91">
        <f t="shared" si="6"/>
        <v>0</v>
      </c>
      <c r="AL24" s="32"/>
      <c r="AM24" s="106"/>
      <c r="AN24" s="130">
        <v>1.80585</v>
      </c>
      <c r="AO24" s="130"/>
      <c r="AP24" s="157"/>
      <c r="AQ24" s="153"/>
      <c r="AR24" s="153"/>
      <c r="AS24" s="113">
        <f t="shared" si="22"/>
        <v>1.80585</v>
      </c>
      <c r="AU24" s="91">
        <f t="shared" si="1"/>
        <v>1.80585</v>
      </c>
    </row>
    <row r="25" spans="1:47" ht="15" thickBot="1" x14ac:dyDescent="0.25">
      <c r="A25" s="27" t="s">
        <v>30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17"/>
        <v>0</v>
      </c>
      <c r="P25" s="42"/>
      <c r="Q25" s="48"/>
      <c r="R25" s="48"/>
      <c r="S25" s="48"/>
      <c r="T25" s="48"/>
      <c r="U25" s="83">
        <f t="shared" si="18"/>
        <v>0</v>
      </c>
      <c r="W25" s="48"/>
      <c r="X25" s="48"/>
      <c r="Y25" s="48">
        <v>1</v>
      </c>
      <c r="Z25" s="48"/>
      <c r="AA25" s="48"/>
      <c r="AB25" s="83">
        <f t="shared" si="19"/>
        <v>1</v>
      </c>
      <c r="AD25" s="48"/>
      <c r="AE25" s="48"/>
      <c r="AF25" s="142"/>
      <c r="AG25" s="142"/>
      <c r="AH25" s="142"/>
      <c r="AI25" s="83">
        <f t="shared" si="5"/>
        <v>0</v>
      </c>
      <c r="AK25" s="91">
        <f t="shared" si="6"/>
        <v>1</v>
      </c>
      <c r="AL25" s="32"/>
      <c r="AM25" s="106"/>
      <c r="AN25" s="130">
        <f>1.92337283+4.12473189+(0.1008+0.189+0.021+0.021)</f>
        <v>6.3799047199999999</v>
      </c>
      <c r="AO25" s="130">
        <f>1.82136092+0.0082</f>
        <v>1.82956092</v>
      </c>
      <c r="AP25" s="157"/>
      <c r="AQ25" s="153"/>
      <c r="AR25" s="153"/>
      <c r="AS25" s="113">
        <f t="shared" si="22"/>
        <v>8.2094656399999995</v>
      </c>
      <c r="AU25" s="91">
        <f t="shared" si="1"/>
        <v>9.2094656399999995</v>
      </c>
    </row>
    <row r="26" spans="1:47" ht="13.5" thickBot="1" x14ac:dyDescent="0.25">
      <c r="A26" s="27" t="s">
        <v>31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17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18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19"/>
        <v>7</v>
      </c>
      <c r="AD26" s="48">
        <f>2+3</f>
        <v>5</v>
      </c>
      <c r="AE26" s="48">
        <v>3</v>
      </c>
      <c r="AF26" s="142">
        <v>3</v>
      </c>
      <c r="AG26" s="142">
        <v>3</v>
      </c>
      <c r="AH26" s="142">
        <v>3</v>
      </c>
      <c r="AI26" s="83">
        <f t="shared" si="5"/>
        <v>17</v>
      </c>
      <c r="AK26" s="91">
        <f t="shared" si="6"/>
        <v>27</v>
      </c>
      <c r="AL26" s="32"/>
      <c r="AM26" s="106"/>
      <c r="AN26" s="130"/>
      <c r="AO26" s="130"/>
      <c r="AP26" s="157"/>
      <c r="AQ26" s="153"/>
      <c r="AR26" s="153"/>
      <c r="AS26" s="113">
        <f t="shared" si="22"/>
        <v>0</v>
      </c>
      <c r="AU26" s="91">
        <f t="shared" si="1"/>
        <v>27</v>
      </c>
    </row>
    <row r="27" spans="1:47" ht="13.5" thickBot="1" x14ac:dyDescent="0.25">
      <c r="A27" s="9" t="s">
        <v>32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17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18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19"/>
        <v>16.75464749</v>
      </c>
      <c r="AD27" s="48">
        <v>3.5190000000000001</v>
      </c>
      <c r="AE27" s="48">
        <v>3.1566000000000001</v>
      </c>
      <c r="AF27" s="142">
        <v>4.5071450000000004</v>
      </c>
      <c r="AG27" s="142">
        <v>4.2691999999999997</v>
      </c>
      <c r="AH27" s="142">
        <v>4.3410000000000002</v>
      </c>
      <c r="AI27" s="83">
        <f t="shared" si="5"/>
        <v>19.792945</v>
      </c>
      <c r="AK27" s="91">
        <f t="shared" si="6"/>
        <v>81.806560489999995</v>
      </c>
      <c r="AL27" s="32"/>
      <c r="AM27" s="106"/>
      <c r="AN27" s="130">
        <f>4.772+3.47895</f>
        <v>8.2509499999999996</v>
      </c>
      <c r="AO27" s="130">
        <v>1.1015999999999999</v>
      </c>
      <c r="AP27" s="157"/>
      <c r="AQ27" s="153"/>
      <c r="AR27" s="153"/>
      <c r="AS27" s="113">
        <f t="shared" si="22"/>
        <v>9.352549999999999</v>
      </c>
      <c r="AU27" s="91">
        <f t="shared" si="1"/>
        <v>91.159110489999989</v>
      </c>
    </row>
    <row r="28" spans="1:47" ht="13.5" thickBot="1" x14ac:dyDescent="0.25">
      <c r="A28" s="27" t="s">
        <v>33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17"/>
        <v>0</v>
      </c>
      <c r="P28" s="42"/>
      <c r="Q28" s="48"/>
      <c r="R28" s="48"/>
      <c r="S28" s="48"/>
      <c r="T28" s="48"/>
      <c r="U28" s="83">
        <f t="shared" si="18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19"/>
        <v>114.68372461000001</v>
      </c>
      <c r="AD28" s="48">
        <v>4.7977999999999996</v>
      </c>
      <c r="AE28" s="48">
        <v>25.029599999999999</v>
      </c>
      <c r="AF28" s="142">
        <v>22.535724999999999</v>
      </c>
      <c r="AG28" s="142">
        <v>31.812825</v>
      </c>
      <c r="AH28" s="142">
        <v>27.737861250000002</v>
      </c>
      <c r="AI28" s="83">
        <f t="shared" si="5"/>
        <v>111.91381125000001</v>
      </c>
      <c r="AK28" s="91">
        <f t="shared" si="6"/>
        <v>226.59753586000002</v>
      </c>
      <c r="AL28" s="32"/>
      <c r="AM28" s="106"/>
      <c r="AN28" s="130">
        <f>79.375+24.492+338.85</f>
        <v>442.71700000000004</v>
      </c>
      <c r="AO28" s="130">
        <v>104.92</v>
      </c>
      <c r="AP28" s="157"/>
      <c r="AQ28" s="153"/>
      <c r="AR28" s="153"/>
      <c r="AS28" s="113">
        <f t="shared" si="22"/>
        <v>547.63700000000006</v>
      </c>
      <c r="AU28" s="91">
        <f t="shared" si="1"/>
        <v>774.23453586000005</v>
      </c>
    </row>
    <row r="29" spans="1:47" ht="15" thickBot="1" x14ac:dyDescent="0.25">
      <c r="A29" s="27" t="s">
        <v>34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17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18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19"/>
        <v>134.80346800000001</v>
      </c>
      <c r="AD29" s="48">
        <v>0.122627</v>
      </c>
      <c r="AE29" s="48">
        <f>10+10+10</f>
        <v>30</v>
      </c>
      <c r="AF29" s="142">
        <f>10+5+0.3</f>
        <v>15.3</v>
      </c>
      <c r="AG29" s="142">
        <v>38.110596999999999</v>
      </c>
      <c r="AH29" s="142">
        <v>15.810377970000001</v>
      </c>
      <c r="AI29" s="83">
        <f t="shared" si="5"/>
        <v>99.343601970000009</v>
      </c>
      <c r="AK29" s="91">
        <f t="shared" si="6"/>
        <v>287.68324497000003</v>
      </c>
      <c r="AL29" s="32"/>
      <c r="AM29" s="106">
        <f>15+15+30</f>
        <v>60</v>
      </c>
      <c r="AN29" s="130">
        <f>50+90</f>
        <v>140</v>
      </c>
      <c r="AO29" s="130">
        <f>648.884+151.116</f>
        <v>800</v>
      </c>
      <c r="AP29" s="157">
        <f>100+200-(92.78350515+38.1443299)</f>
        <v>169.07216495</v>
      </c>
      <c r="AQ29" s="153">
        <v>142.91970800000001</v>
      </c>
      <c r="AR29" s="153"/>
      <c r="AS29" s="113">
        <f t="shared" si="22"/>
        <v>1311.99187295</v>
      </c>
      <c r="AU29" s="91">
        <f t="shared" si="1"/>
        <v>1599.67511792</v>
      </c>
    </row>
    <row r="30" spans="1:47" ht="15" thickBot="1" x14ac:dyDescent="0.25">
      <c r="A30" s="27" t="s">
        <v>35</v>
      </c>
      <c r="C30" s="42"/>
      <c r="D30" s="49"/>
      <c r="E30" s="49"/>
      <c r="F30" s="49"/>
      <c r="G30" s="49"/>
      <c r="H30" s="50"/>
      <c r="I30" s="42"/>
      <c r="J30" s="42"/>
      <c r="K30" s="47"/>
      <c r="L30" s="42"/>
      <c r="M30" s="42"/>
      <c r="N30" s="83">
        <f>SUM(C30:M30)</f>
        <v>0</v>
      </c>
      <c r="P30" s="42"/>
      <c r="Q30" s="48"/>
      <c r="R30" s="48"/>
      <c r="S30" s="48"/>
      <c r="T30" s="48"/>
      <c r="U30" s="83">
        <f>SUM(P30:T30)</f>
        <v>0</v>
      </c>
      <c r="W30" s="48">
        <v>2.5</v>
      </c>
      <c r="X30" s="48">
        <f>2.5+2.5</f>
        <v>5</v>
      </c>
      <c r="Y30" s="48">
        <f>2.5+2.5</f>
        <v>5</v>
      </c>
      <c r="Z30" s="48">
        <f>2.5+2.5</f>
        <v>5</v>
      </c>
      <c r="AA30" s="48">
        <f>2.5+2.5</f>
        <v>5</v>
      </c>
      <c r="AB30" s="83">
        <f>SUM(W30:AA30)</f>
        <v>22.5</v>
      </c>
      <c r="AD30" s="48">
        <v>2.5</v>
      </c>
      <c r="AE30" s="48"/>
      <c r="AF30" s="142"/>
      <c r="AG30" s="142"/>
      <c r="AH30" s="142"/>
      <c r="AI30" s="83">
        <f t="shared" si="5"/>
        <v>2.5</v>
      </c>
      <c r="AK30" s="91">
        <f>SUM(AB30,U30,N30,AI30)</f>
        <v>25</v>
      </c>
      <c r="AL30" s="32"/>
      <c r="AM30" s="106"/>
      <c r="AN30" s="130">
        <f>30+70</f>
        <v>100</v>
      </c>
      <c r="AO30" s="130">
        <v>50</v>
      </c>
      <c r="AP30" s="157">
        <v>41</v>
      </c>
      <c r="AQ30" s="153"/>
      <c r="AR30" s="153"/>
      <c r="AS30" s="113">
        <f t="shared" si="22"/>
        <v>191</v>
      </c>
      <c r="AU30" s="91">
        <f t="shared" si="1"/>
        <v>216</v>
      </c>
    </row>
    <row r="31" spans="1:47" ht="13.5" thickBot="1" x14ac:dyDescent="0.25">
      <c r="A31" s="27" t="s">
        <v>36</v>
      </c>
      <c r="C31" s="42"/>
      <c r="D31" s="42"/>
      <c r="E31" s="49"/>
      <c r="F31" s="49"/>
      <c r="G31" s="49"/>
      <c r="H31" s="50"/>
      <c r="I31" s="42"/>
      <c r="J31" s="52"/>
      <c r="K31" s="47"/>
      <c r="L31" s="42"/>
      <c r="M31" s="42"/>
      <c r="N31" s="83">
        <f t="shared" si="17"/>
        <v>0</v>
      </c>
      <c r="P31" s="42"/>
      <c r="Q31" s="48"/>
      <c r="R31" s="48"/>
      <c r="S31" s="48"/>
      <c r="T31" s="48"/>
      <c r="U31" s="83">
        <f t="shared" si="18"/>
        <v>0</v>
      </c>
      <c r="W31" s="48"/>
      <c r="X31" s="48"/>
      <c r="Y31" s="48"/>
      <c r="Z31" s="48">
        <v>0.5</v>
      </c>
      <c r="AA31" s="48">
        <v>0.5</v>
      </c>
      <c r="AB31" s="83">
        <f t="shared" si="19"/>
        <v>1</v>
      </c>
      <c r="AD31" s="48"/>
      <c r="AE31" s="48"/>
      <c r="AF31" s="142"/>
      <c r="AG31" s="142"/>
      <c r="AH31" s="142"/>
      <c r="AI31" s="83">
        <f t="shared" si="5"/>
        <v>0</v>
      </c>
      <c r="AK31" s="91">
        <f t="shared" si="6"/>
        <v>1</v>
      </c>
      <c r="AL31" s="32"/>
      <c r="AM31" s="106">
        <v>10</v>
      </c>
      <c r="AN31" s="130">
        <f>20+10</f>
        <v>30</v>
      </c>
      <c r="AO31" s="130">
        <v>10</v>
      </c>
      <c r="AP31" s="157"/>
      <c r="AQ31" s="153"/>
      <c r="AR31" s="153"/>
      <c r="AS31" s="113">
        <f t="shared" si="22"/>
        <v>50</v>
      </c>
      <c r="AU31" s="91">
        <f t="shared" si="1"/>
        <v>51</v>
      </c>
    </row>
    <row r="32" spans="1:47" ht="13.5" thickBot="1" x14ac:dyDescent="0.25">
      <c r="A32" s="27" t="s">
        <v>37</v>
      </c>
      <c r="C32" s="42"/>
      <c r="D32" s="49"/>
      <c r="E32" s="42"/>
      <c r="F32" s="42"/>
      <c r="G32" s="49"/>
      <c r="H32" s="46"/>
      <c r="I32" s="42"/>
      <c r="J32" s="42"/>
      <c r="K32" s="47"/>
      <c r="L32" s="42"/>
      <c r="M32" s="42"/>
      <c r="N32" s="83">
        <f t="shared" si="17"/>
        <v>0</v>
      </c>
      <c r="P32" s="42"/>
      <c r="Q32" s="48"/>
      <c r="R32" s="48"/>
      <c r="S32" s="48"/>
      <c r="T32" s="48"/>
      <c r="U32" s="83">
        <f t="shared" ref="U32" si="25">SUM(P32:T32)</f>
        <v>0</v>
      </c>
      <c r="W32" s="48"/>
      <c r="X32" s="48"/>
      <c r="Y32" s="48"/>
      <c r="Z32" s="48"/>
      <c r="AA32" s="48"/>
      <c r="AB32" s="83">
        <f t="shared" ref="AB32" si="26">SUM(W32:AA32)</f>
        <v>0</v>
      </c>
      <c r="AD32" s="48"/>
      <c r="AE32" s="48"/>
      <c r="AF32" s="142"/>
      <c r="AG32" s="142"/>
      <c r="AH32" s="142"/>
      <c r="AI32" s="83">
        <f t="shared" si="5"/>
        <v>0</v>
      </c>
      <c r="AK32" s="91">
        <f t="shared" si="6"/>
        <v>0</v>
      </c>
      <c r="AL32" s="32"/>
      <c r="AM32" s="106"/>
      <c r="AN32" s="130">
        <f>0.10950819+0.10678325</f>
        <v>0.21629144</v>
      </c>
      <c r="AO32" s="130">
        <f>0.10702567+0.32500631</f>
        <v>0.43203198000000004</v>
      </c>
      <c r="AP32" s="157"/>
      <c r="AQ32" s="153"/>
      <c r="AR32" s="153"/>
      <c r="AS32" s="113">
        <f t="shared" si="22"/>
        <v>0.64832342000000009</v>
      </c>
      <c r="AU32" s="91">
        <f t="shared" si="1"/>
        <v>0.64832342000000009</v>
      </c>
    </row>
    <row r="33" spans="1:47" ht="13.5" thickBot="1" x14ac:dyDescent="0.25">
      <c r="A33" s="9" t="s">
        <v>38</v>
      </c>
      <c r="C33" s="42"/>
      <c r="D33" s="42"/>
      <c r="E33" s="49"/>
      <c r="F33" s="49"/>
      <c r="G33" s="49"/>
      <c r="H33" s="53">
        <v>0.64515</v>
      </c>
      <c r="I33" s="42">
        <v>1.318775</v>
      </c>
      <c r="J33" s="52">
        <v>0.81184000000000001</v>
      </c>
      <c r="K33" s="47">
        <v>1.4229000000000001</v>
      </c>
      <c r="L33" s="42">
        <v>1.1912400000000001</v>
      </c>
      <c r="M33" s="42">
        <v>1.1004400000000001</v>
      </c>
      <c r="N33" s="83">
        <f t="shared" si="17"/>
        <v>6.4903450000000005</v>
      </c>
      <c r="P33" s="42">
        <v>1.1859999999999999</v>
      </c>
      <c r="Q33" s="48">
        <v>1.0752701</v>
      </c>
      <c r="R33" s="48">
        <v>1.0590259</v>
      </c>
      <c r="S33" s="48">
        <v>1.1205940000000001</v>
      </c>
      <c r="T33" s="48">
        <v>0.92074765999999997</v>
      </c>
      <c r="U33" s="83">
        <f t="shared" si="18"/>
        <v>5.3616376599999995</v>
      </c>
      <c r="W33" s="48">
        <v>0.89615856999999999</v>
      </c>
      <c r="X33" s="48">
        <v>0.863788</v>
      </c>
      <c r="Y33" s="48">
        <v>0.91593999999999998</v>
      </c>
      <c r="Z33" s="48">
        <v>0.88240200000000002</v>
      </c>
      <c r="AA33" s="48">
        <v>0.94431200000000004</v>
      </c>
      <c r="AB33" s="83">
        <f t="shared" si="19"/>
        <v>4.5026005700000002</v>
      </c>
      <c r="AD33" s="48">
        <v>1.1918</v>
      </c>
      <c r="AE33" s="48">
        <v>0.97150000000000003</v>
      </c>
      <c r="AF33" s="142">
        <v>1.1267862500000001</v>
      </c>
      <c r="AG33" s="142">
        <v>1.1441343749999999</v>
      </c>
      <c r="AH33" s="142">
        <v>1.15574421875</v>
      </c>
      <c r="AI33" s="83">
        <f t="shared" si="5"/>
        <v>5.5899648437499998</v>
      </c>
      <c r="AK33" s="91">
        <f t="shared" si="6"/>
        <v>21.944548073749999</v>
      </c>
      <c r="AL33" s="32"/>
      <c r="AM33" s="106"/>
      <c r="AN33" s="130">
        <f>0.60715+0.60125+0.586+2.252756</f>
        <v>4.0471560000000002</v>
      </c>
      <c r="AO33" s="130">
        <f>1.007738+0.5014</f>
        <v>1.5091380000000001</v>
      </c>
      <c r="AP33" s="157"/>
      <c r="AQ33" s="153"/>
      <c r="AR33" s="153"/>
      <c r="AS33" s="113">
        <f t="shared" si="22"/>
        <v>5.5562940000000003</v>
      </c>
      <c r="AU33" s="91">
        <f t="shared" si="1"/>
        <v>27.50084207375</v>
      </c>
    </row>
    <row r="34" spans="1:47" ht="13.5" thickBot="1" x14ac:dyDescent="0.25">
      <c r="A34" s="9" t="s">
        <v>39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si="17"/>
        <v>0</v>
      </c>
      <c r="P34" s="42"/>
      <c r="Q34" s="48"/>
      <c r="R34" s="48"/>
      <c r="S34" s="48"/>
      <c r="T34" s="48"/>
      <c r="U34" s="83">
        <f t="shared" si="18"/>
        <v>0</v>
      </c>
      <c r="W34" s="48"/>
      <c r="X34" s="48"/>
      <c r="Y34" s="48"/>
      <c r="Z34" s="48"/>
      <c r="AA34" s="48"/>
      <c r="AB34" s="83">
        <f t="shared" si="19"/>
        <v>0</v>
      </c>
      <c r="AD34" s="48"/>
      <c r="AE34" s="48"/>
      <c r="AF34" s="142"/>
      <c r="AG34" s="142"/>
      <c r="AH34" s="142"/>
      <c r="AI34" s="83">
        <f t="shared" si="5"/>
        <v>0</v>
      </c>
      <c r="AK34" s="91">
        <f t="shared" si="6"/>
        <v>0</v>
      </c>
      <c r="AL34" s="32"/>
      <c r="AM34" s="106"/>
      <c r="AN34" s="130">
        <v>0.1</v>
      </c>
      <c r="AO34" s="130"/>
      <c r="AP34" s="157"/>
      <c r="AQ34" s="153"/>
      <c r="AR34" s="153"/>
      <c r="AS34" s="113">
        <f t="shared" si="22"/>
        <v>0.1</v>
      </c>
      <c r="AU34" s="91">
        <f t="shared" si="1"/>
        <v>0.1</v>
      </c>
    </row>
    <row r="35" spans="1:47" ht="13.5" thickBot="1" x14ac:dyDescent="0.25">
      <c r="A35" s="9" t="s">
        <v>40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ref="N35" si="27">SUM(C35:M35)</f>
        <v>0</v>
      </c>
      <c r="P35" s="42"/>
      <c r="Q35" s="48"/>
      <c r="R35" s="48"/>
      <c r="S35" s="48"/>
      <c r="T35" s="48"/>
      <c r="U35" s="83">
        <f t="shared" ref="U35" si="28">SUM(P35:T35)</f>
        <v>0</v>
      </c>
      <c r="W35" s="48"/>
      <c r="X35" s="48"/>
      <c r="Y35" s="48"/>
      <c r="Z35" s="48"/>
      <c r="AA35" s="48"/>
      <c r="AB35" s="83">
        <f t="shared" ref="AB35" si="29">SUM(W35:AA35)</f>
        <v>0</v>
      </c>
      <c r="AD35" s="48"/>
      <c r="AE35" s="48"/>
      <c r="AF35" s="142"/>
      <c r="AG35" s="142"/>
      <c r="AH35" s="142"/>
      <c r="AI35" s="83">
        <f t="shared" si="5"/>
        <v>0</v>
      </c>
      <c r="AK35" s="91">
        <f t="shared" si="6"/>
        <v>0</v>
      </c>
      <c r="AL35" s="32"/>
      <c r="AM35" s="106"/>
      <c r="AN35" s="130">
        <v>4.7204000000000003E-2</v>
      </c>
      <c r="AO35" s="130">
        <v>4.0356000000000003E-2</v>
      </c>
      <c r="AP35" s="157"/>
      <c r="AQ35" s="153"/>
      <c r="AR35" s="153"/>
      <c r="AS35" s="113">
        <f t="shared" si="22"/>
        <v>8.7559999999999999E-2</v>
      </c>
      <c r="AU35" s="91">
        <f t="shared" si="1"/>
        <v>8.7559999999999999E-2</v>
      </c>
    </row>
    <row r="36" spans="1:47" ht="13.5" thickBot="1" x14ac:dyDescent="0.25">
      <c r="A36" s="9" t="s">
        <v>41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17"/>
        <v>0</v>
      </c>
      <c r="P36" s="42"/>
      <c r="Q36" s="48"/>
      <c r="R36" s="48"/>
      <c r="S36" s="48"/>
      <c r="T36" s="48"/>
      <c r="U36" s="83">
        <f t="shared" si="18"/>
        <v>0</v>
      </c>
      <c r="W36" s="48"/>
      <c r="X36" s="48"/>
      <c r="Y36" s="48"/>
      <c r="Z36" s="48"/>
      <c r="AA36" s="48">
        <f>0.0025-0.0025</f>
        <v>0</v>
      </c>
      <c r="AB36" s="83">
        <f t="shared" si="19"/>
        <v>0</v>
      </c>
      <c r="AD36" s="48"/>
      <c r="AE36" s="48"/>
      <c r="AF36" s="142"/>
      <c r="AG36" s="142"/>
      <c r="AH36" s="142"/>
      <c r="AI36" s="83">
        <f t="shared" si="5"/>
        <v>0</v>
      </c>
      <c r="AK36" s="91">
        <f t="shared" si="6"/>
        <v>0</v>
      </c>
      <c r="AL36" s="32"/>
      <c r="AM36" s="106"/>
      <c r="AN36" s="130">
        <v>2.5000000000000001E-3</v>
      </c>
      <c r="AO36" s="130"/>
      <c r="AP36" s="157"/>
      <c r="AQ36" s="153"/>
      <c r="AR36" s="153"/>
      <c r="AS36" s="113">
        <f t="shared" si="22"/>
        <v>2.5000000000000001E-3</v>
      </c>
      <c r="AU36" s="91">
        <f t="shared" si="1"/>
        <v>2.5000000000000001E-3</v>
      </c>
    </row>
    <row r="37" spans="1:47" ht="13.5" thickBot="1" x14ac:dyDescent="0.25">
      <c r="A37" s="9" t="s">
        <v>42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si="17"/>
        <v>0</v>
      </c>
      <c r="P37" s="42"/>
      <c r="Q37" s="48"/>
      <c r="R37" s="48"/>
      <c r="S37" s="48"/>
      <c r="T37" s="48"/>
      <c r="U37" s="83">
        <f t="shared" si="18"/>
        <v>0</v>
      </c>
      <c r="W37" s="48"/>
      <c r="X37" s="48"/>
      <c r="Y37" s="48"/>
      <c r="Z37" s="48"/>
      <c r="AA37" s="48"/>
      <c r="AB37" s="83">
        <f t="shared" si="19"/>
        <v>0</v>
      </c>
      <c r="AD37" s="48"/>
      <c r="AE37" s="48"/>
      <c r="AF37" s="142"/>
      <c r="AG37" s="142"/>
      <c r="AH37" s="142"/>
      <c r="AI37" s="83">
        <f t="shared" si="5"/>
        <v>0</v>
      </c>
      <c r="AK37" s="91">
        <f t="shared" si="6"/>
        <v>0</v>
      </c>
      <c r="AL37" s="32"/>
      <c r="AM37" s="106"/>
      <c r="AN37" s="130">
        <v>0.25</v>
      </c>
      <c r="AO37" s="130"/>
      <c r="AP37" s="157"/>
      <c r="AQ37" s="153"/>
      <c r="AR37" s="153"/>
      <c r="AS37" s="113">
        <f t="shared" si="22"/>
        <v>0.25</v>
      </c>
      <c r="AU37" s="91">
        <f t="shared" si="1"/>
        <v>0.25</v>
      </c>
    </row>
    <row r="38" spans="1:47" ht="13.5" thickBot="1" x14ac:dyDescent="0.25">
      <c r="A38" s="9" t="s">
        <v>43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ref="N38" si="30">SUM(C38:M38)</f>
        <v>0</v>
      </c>
      <c r="P38" s="42"/>
      <c r="Q38" s="48"/>
      <c r="R38" s="48"/>
      <c r="S38" s="48"/>
      <c r="T38" s="48"/>
      <c r="U38" s="83">
        <f t="shared" ref="U38" si="31">SUM(P38:T38)</f>
        <v>0</v>
      </c>
      <c r="W38" s="48"/>
      <c r="X38" s="48"/>
      <c r="Y38" s="48"/>
      <c r="Z38" s="48"/>
      <c r="AA38" s="48"/>
      <c r="AB38" s="83">
        <f t="shared" ref="AB38" si="32">SUM(W38:AA38)</f>
        <v>0</v>
      </c>
      <c r="AD38" s="48"/>
      <c r="AE38" s="48"/>
      <c r="AF38" s="142"/>
      <c r="AG38" s="142"/>
      <c r="AH38" s="142"/>
      <c r="AI38" s="83">
        <f t="shared" si="5"/>
        <v>0</v>
      </c>
      <c r="AK38" s="91">
        <f t="shared" si="6"/>
        <v>0</v>
      </c>
      <c r="AL38" s="32"/>
      <c r="AM38" s="106"/>
      <c r="AN38" s="130">
        <v>3.0000000000000001E-3</v>
      </c>
      <c r="AO38" s="130"/>
      <c r="AP38" s="157"/>
      <c r="AQ38" s="153"/>
      <c r="AR38" s="153"/>
      <c r="AS38" s="113">
        <f t="shared" si="22"/>
        <v>3.0000000000000001E-3</v>
      </c>
      <c r="AU38" s="91">
        <f t="shared" si="1"/>
        <v>3.0000000000000001E-3</v>
      </c>
    </row>
    <row r="39" spans="1:47" ht="15" thickBot="1" x14ac:dyDescent="0.25">
      <c r="A39" s="27" t="s">
        <v>44</v>
      </c>
      <c r="C39" s="42"/>
      <c r="D39" s="42"/>
      <c r="E39" s="49"/>
      <c r="F39" s="49"/>
      <c r="G39" s="49"/>
      <c r="H39" s="53"/>
      <c r="I39" s="42"/>
      <c r="J39" s="52"/>
      <c r="K39" s="47"/>
      <c r="L39" s="42"/>
      <c r="M39" s="42"/>
      <c r="N39" s="83">
        <f t="shared" si="17"/>
        <v>0</v>
      </c>
      <c r="P39" s="42"/>
      <c r="Q39" s="48"/>
      <c r="R39" s="48"/>
      <c r="S39" s="48"/>
      <c r="T39" s="48"/>
      <c r="U39" s="83">
        <f t="shared" si="18"/>
        <v>0</v>
      </c>
      <c r="W39" s="48"/>
      <c r="X39" s="33">
        <v>0.107821</v>
      </c>
      <c r="Y39" s="33">
        <v>0.18451200000000001</v>
      </c>
      <c r="Z39" s="33">
        <v>0.16945199999999999</v>
      </c>
      <c r="AA39" s="48">
        <f>0.168615+0.65088</f>
        <v>0.81949499999999997</v>
      </c>
      <c r="AB39" s="83">
        <f t="shared" si="19"/>
        <v>1.28128</v>
      </c>
      <c r="AD39" s="48">
        <v>0.11917999999999999</v>
      </c>
      <c r="AE39" s="48">
        <v>0.1399125</v>
      </c>
      <c r="AF39" s="142">
        <v>0.13247500000000001</v>
      </c>
      <c r="AG39" s="142">
        <v>0.13429374999999999</v>
      </c>
      <c r="AH39" s="142">
        <v>0.13696249999999999</v>
      </c>
      <c r="AI39" s="83">
        <f t="shared" si="5"/>
        <v>0.66282374999999993</v>
      </c>
      <c r="AK39" s="91">
        <f t="shared" si="6"/>
        <v>1.94410375</v>
      </c>
      <c r="AL39" s="32"/>
      <c r="AM39" s="107">
        <f>0.023876+0.03648861</f>
        <v>6.0364609999999999E-2</v>
      </c>
      <c r="AN39" s="130"/>
      <c r="AO39" s="130"/>
      <c r="AP39" s="157">
        <v>6.58585E-2</v>
      </c>
      <c r="AQ39" s="153"/>
      <c r="AR39" s="153"/>
      <c r="AS39" s="114">
        <f t="shared" si="22"/>
        <v>0.12622311</v>
      </c>
      <c r="AU39" s="91">
        <f t="shared" ref="AU39:AU62" si="33">SUM(AK39,AS39)</f>
        <v>2.0703268600000002</v>
      </c>
    </row>
    <row r="40" spans="1:47" ht="13.5" thickBot="1" x14ac:dyDescent="0.25">
      <c r="A40" s="9" t="s">
        <v>45</v>
      </c>
      <c r="C40" s="42"/>
      <c r="D40" s="42">
        <v>24.060334619999999</v>
      </c>
      <c r="E40" s="42">
        <v>13.375171870000001</v>
      </c>
      <c r="F40" s="42">
        <v>16.492641949999999</v>
      </c>
      <c r="G40" s="49">
        <v>17.329866450000001</v>
      </c>
      <c r="H40" s="50">
        <v>15.85941435</v>
      </c>
      <c r="I40" s="42"/>
      <c r="J40" s="52">
        <v>33.547469</v>
      </c>
      <c r="K40" s="47">
        <v>38.885300999999998</v>
      </c>
      <c r="L40" s="42">
        <v>31.20579</v>
      </c>
      <c r="M40" s="42">
        <v>25.1113845</v>
      </c>
      <c r="N40" s="83">
        <f t="shared" si="17"/>
        <v>215.86737374000001</v>
      </c>
      <c r="P40" s="42">
        <v>26.3</v>
      </c>
      <c r="Q40" s="48">
        <v>14.2065</v>
      </c>
      <c r="R40" s="48">
        <v>34.427500000000002</v>
      </c>
      <c r="S40" s="48">
        <v>39.8048</v>
      </c>
      <c r="T40" s="48">
        <v>33.945599999999999</v>
      </c>
      <c r="U40" s="83">
        <f t="shared" si="18"/>
        <v>148.68439999999998</v>
      </c>
      <c r="W40" s="48">
        <v>38.309967</v>
      </c>
      <c r="X40" s="48">
        <f>0.68127625+1.17542486+57.47701758</f>
        <v>59.333718690000005</v>
      </c>
      <c r="Y40" s="48">
        <f>1.48437318+0.11609+1.102855+25.4222244375+18.245615625</f>
        <v>46.371158242500002</v>
      </c>
      <c r="Z40" s="48">
        <f>42.96047813+4.05511412</f>
        <v>47.015592249999997</v>
      </c>
      <c r="AA40" s="48">
        <f>28.1911025+2.8549211</f>
        <v>31.046023599999998</v>
      </c>
      <c r="AB40" s="83">
        <f t="shared" si="19"/>
        <v>222.07645978250002</v>
      </c>
      <c r="AD40" s="48">
        <v>11.563000000000001</v>
      </c>
      <c r="AE40" s="48">
        <f>9.854+2.14344208</f>
        <v>11.997442079999999</v>
      </c>
      <c r="AF40" s="142">
        <f>11.2678625+5.21138640625</f>
        <v>16.47924890625</v>
      </c>
      <c r="AG40" s="142">
        <v>20.060021315</v>
      </c>
      <c r="AH40" s="142">
        <v>38.200745747500001</v>
      </c>
      <c r="AI40" s="83">
        <f t="shared" si="5"/>
        <v>98.300458048750002</v>
      </c>
      <c r="AK40" s="91">
        <f t="shared" si="6"/>
        <v>684.92869157125006</v>
      </c>
      <c r="AL40" s="32"/>
      <c r="AM40" s="106">
        <v>6.0685000000000002</v>
      </c>
      <c r="AN40" s="130">
        <f>29.655+47.644+3.368859</f>
        <v>80.667859000000007</v>
      </c>
      <c r="AO40" s="130">
        <f>21.99848+10.05515</f>
        <v>32.053629999999998</v>
      </c>
      <c r="AP40" s="157"/>
      <c r="AQ40" s="153"/>
      <c r="AR40" s="153"/>
      <c r="AS40" s="113">
        <f t="shared" si="22"/>
        <v>118.78998900000001</v>
      </c>
      <c r="AU40" s="91">
        <f t="shared" si="33"/>
        <v>803.71868057125005</v>
      </c>
    </row>
    <row r="41" spans="1:47" ht="13.5" thickBot="1" x14ac:dyDescent="0.25">
      <c r="A41" s="27" t="s">
        <v>46</v>
      </c>
      <c r="C41" s="42"/>
      <c r="D41" s="49"/>
      <c r="E41" s="49"/>
      <c r="F41" s="49"/>
      <c r="G41" s="49"/>
      <c r="H41" s="50"/>
      <c r="I41" s="42"/>
      <c r="J41" s="54"/>
      <c r="K41" s="47"/>
      <c r="L41" s="42"/>
      <c r="M41" s="42"/>
      <c r="N41" s="83">
        <f t="shared" ref="N41" si="34">SUM(C41:M41)</f>
        <v>0</v>
      </c>
      <c r="P41" s="42"/>
      <c r="Q41" s="48"/>
      <c r="R41" s="48"/>
      <c r="S41" s="48"/>
      <c r="T41" s="48"/>
      <c r="U41" s="83">
        <f t="shared" ref="U41" si="35">SUM(P41:T41)</f>
        <v>0</v>
      </c>
      <c r="W41" s="48"/>
      <c r="X41" s="48"/>
      <c r="Y41" s="48"/>
      <c r="Z41" s="48"/>
      <c r="AA41" s="48"/>
      <c r="AB41" s="83">
        <f t="shared" ref="AB41" si="36">SUM(W41:AA41)</f>
        <v>0</v>
      </c>
      <c r="AD41" s="48"/>
      <c r="AE41" s="48"/>
      <c r="AF41" s="142"/>
      <c r="AG41" s="142"/>
      <c r="AH41" s="142"/>
      <c r="AI41" s="83">
        <f t="shared" si="5"/>
        <v>0</v>
      </c>
      <c r="AK41" s="91">
        <f t="shared" si="6"/>
        <v>0</v>
      </c>
      <c r="AL41" s="32"/>
      <c r="AM41" s="106">
        <v>4.9181999999999997</v>
      </c>
      <c r="AN41" s="130">
        <f>7.317+6.672</f>
        <v>13.989000000000001</v>
      </c>
      <c r="AO41" s="130"/>
      <c r="AP41" s="157"/>
      <c r="AQ41" s="153"/>
      <c r="AR41" s="153"/>
      <c r="AS41" s="113">
        <f t="shared" si="22"/>
        <v>18.9072</v>
      </c>
      <c r="AU41" s="91">
        <f t="shared" si="33"/>
        <v>18.9072</v>
      </c>
    </row>
    <row r="42" spans="1:47" ht="13.5" thickBot="1" x14ac:dyDescent="0.25">
      <c r="A42" s="27" t="s">
        <v>47</v>
      </c>
      <c r="C42" s="42"/>
      <c r="D42" s="49"/>
      <c r="E42" s="42"/>
      <c r="F42" s="42"/>
      <c r="G42" s="49"/>
      <c r="H42" s="46"/>
      <c r="I42" s="42"/>
      <c r="J42" s="42"/>
      <c r="K42" s="47"/>
      <c r="L42" s="42"/>
      <c r="M42" s="42"/>
      <c r="N42" s="83">
        <f t="shared" ref="N42" si="37">SUM(C42:M42)</f>
        <v>0</v>
      </c>
      <c r="P42" s="42"/>
      <c r="Q42" s="48"/>
      <c r="R42" s="48"/>
      <c r="S42" s="48"/>
      <c r="T42" s="48"/>
      <c r="U42" s="83">
        <f t="shared" ref="U42" si="38">SUM(P42:T42)</f>
        <v>0</v>
      </c>
      <c r="W42" s="48"/>
      <c r="X42" s="48"/>
      <c r="Y42" s="48"/>
      <c r="Z42" s="48"/>
      <c r="AA42" s="48"/>
      <c r="AB42" s="83">
        <f t="shared" ref="AB42" si="39">SUM(W42:AA42)</f>
        <v>0</v>
      </c>
      <c r="AD42" s="48">
        <v>0.92887123000000005</v>
      </c>
      <c r="AE42" s="48"/>
      <c r="AF42" s="142"/>
      <c r="AG42" s="142"/>
      <c r="AH42" s="142"/>
      <c r="AI42" s="83">
        <f t="shared" si="5"/>
        <v>0.92887123000000005</v>
      </c>
      <c r="AK42" s="91">
        <f t="shared" si="6"/>
        <v>0.92887123000000005</v>
      </c>
      <c r="AL42" s="32"/>
      <c r="AM42" s="106"/>
      <c r="AN42" s="130"/>
      <c r="AO42" s="130"/>
      <c r="AP42" s="157"/>
      <c r="AQ42" s="153"/>
      <c r="AR42" s="153"/>
      <c r="AS42" s="113">
        <f t="shared" si="22"/>
        <v>0</v>
      </c>
      <c r="AU42" s="91">
        <f t="shared" si="33"/>
        <v>0.92887123000000005</v>
      </c>
    </row>
    <row r="43" spans="1:47" ht="15" thickBot="1" x14ac:dyDescent="0.25">
      <c r="A43" s="27" t="s">
        <v>48</v>
      </c>
      <c r="C43" s="42"/>
      <c r="D43" s="49">
        <v>17.894689750000001</v>
      </c>
      <c r="E43" s="49">
        <v>21.325656089999999</v>
      </c>
      <c r="F43" s="49">
        <v>21.791086740000001</v>
      </c>
      <c r="G43" s="49">
        <v>40.92459264</v>
      </c>
      <c r="H43" s="50">
        <v>39.53459411</v>
      </c>
      <c r="I43" s="42">
        <v>67.379313700000012</v>
      </c>
      <c r="J43" s="54">
        <v>86.156761000000003</v>
      </c>
      <c r="K43" s="47">
        <v>65.449483259999994</v>
      </c>
      <c r="L43" s="42">
        <v>82.800324709999998</v>
      </c>
      <c r="M43" s="42">
        <v>76.483608000000004</v>
      </c>
      <c r="N43" s="83">
        <f t="shared" si="17"/>
        <v>519.74010999999996</v>
      </c>
      <c r="P43" s="42">
        <v>79.2</v>
      </c>
      <c r="Q43" s="48">
        <v>106.8762334</v>
      </c>
      <c r="R43" s="48">
        <v>126.86237634</v>
      </c>
      <c r="S43" s="48">
        <f>119.73607283+27.869</f>
        <v>147.60507282999998</v>
      </c>
      <c r="T43" s="48">
        <v>157.46568500000001</v>
      </c>
      <c r="U43" s="83">
        <f t="shared" si="18"/>
        <v>618.00936756999999</v>
      </c>
      <c r="W43" s="48">
        <v>139.66753800000001</v>
      </c>
      <c r="X43" s="48">
        <f>133.06601234+26.36814516</f>
        <v>159.4341575</v>
      </c>
      <c r="Y43" s="48">
        <f>137.30391502+7.37424108</f>
        <v>144.6781561</v>
      </c>
      <c r="Z43" s="48">
        <f>151.0231769+10.41453192</f>
        <v>161.43770882000001</v>
      </c>
      <c r="AA43" s="48">
        <v>164.81642147421601</v>
      </c>
      <c r="AB43" s="83">
        <f t="shared" si="19"/>
        <v>770.03398189421603</v>
      </c>
      <c r="AD43" s="48">
        <f>105.97204191+23.69735281</f>
        <v>129.66939472000001</v>
      </c>
      <c r="AE43" s="48">
        <f>105.31984381+17.18967299</f>
        <v>122.5095168</v>
      </c>
      <c r="AF43" s="142">
        <f>110.53030733396+6.66908433</f>
        <v>117.19939166396</v>
      </c>
      <c r="AG43" s="142">
        <f>137.885434811967+9.81755957</f>
        <v>147.70299438196702</v>
      </c>
      <c r="AH43" s="142">
        <v>127.63820965000002</v>
      </c>
      <c r="AI43" s="83">
        <f t="shared" si="5"/>
        <v>644.71950721592714</v>
      </c>
      <c r="AK43" s="91">
        <f t="shared" si="6"/>
        <v>2552.5029666801433</v>
      </c>
      <c r="AL43" s="32"/>
      <c r="AM43" s="106">
        <f>18.68512263+2.2344</f>
        <v>20.919522629999999</v>
      </c>
      <c r="AN43" s="130">
        <f>6.25+56.39044717+(0.135135+3.132885+0.84358+0.114)</f>
        <v>66.866047170000002</v>
      </c>
      <c r="AO43" s="130"/>
      <c r="AP43" s="157"/>
      <c r="AQ43" s="153"/>
      <c r="AR43" s="153"/>
      <c r="AS43" s="113">
        <f t="shared" si="22"/>
        <v>87.785569800000005</v>
      </c>
      <c r="AU43" s="91">
        <f t="shared" si="33"/>
        <v>2640.2885364801432</v>
      </c>
    </row>
    <row r="44" spans="1:47" ht="13.5" thickBot="1" x14ac:dyDescent="0.25">
      <c r="A44" s="27" t="s">
        <v>49</v>
      </c>
      <c r="C44" s="42"/>
      <c r="D44" s="49"/>
      <c r="E44" s="49"/>
      <c r="F44" s="49"/>
      <c r="G44" s="49"/>
      <c r="H44" s="50"/>
      <c r="I44" s="42"/>
      <c r="J44" s="54"/>
      <c r="K44" s="47"/>
      <c r="L44" s="42"/>
      <c r="M44" s="42"/>
      <c r="N44" s="83">
        <f t="shared" si="17"/>
        <v>0</v>
      </c>
      <c r="P44" s="42"/>
      <c r="Q44" s="48"/>
      <c r="R44" s="48"/>
      <c r="S44" s="48"/>
      <c r="T44" s="48">
        <v>0.6</v>
      </c>
      <c r="U44" s="83">
        <f t="shared" si="18"/>
        <v>0.6</v>
      </c>
      <c r="W44" s="48"/>
      <c r="X44" s="48">
        <v>0.6</v>
      </c>
      <c r="Y44" s="48">
        <v>0.6</v>
      </c>
      <c r="Z44" s="48">
        <v>0.6</v>
      </c>
      <c r="AA44" s="48">
        <v>0.6</v>
      </c>
      <c r="AB44" s="83">
        <f t="shared" si="19"/>
        <v>2.4</v>
      </c>
      <c r="AD44" s="48"/>
      <c r="AE44" s="48"/>
      <c r="AF44" s="142"/>
      <c r="AG44" s="142"/>
      <c r="AH44" s="142"/>
      <c r="AI44" s="83">
        <f t="shared" si="5"/>
        <v>0</v>
      </c>
      <c r="AK44" s="91">
        <f t="shared" si="6"/>
        <v>3</v>
      </c>
      <c r="AL44" s="32"/>
      <c r="AM44" s="106"/>
      <c r="AN44" s="130">
        <v>1</v>
      </c>
      <c r="AO44" s="130"/>
      <c r="AP44" s="157"/>
      <c r="AQ44" s="153"/>
      <c r="AR44" s="153"/>
      <c r="AS44" s="113">
        <f t="shared" si="22"/>
        <v>1</v>
      </c>
      <c r="AU44" s="91">
        <f t="shared" si="33"/>
        <v>4</v>
      </c>
    </row>
    <row r="45" spans="1:47" ht="15" thickBot="1" x14ac:dyDescent="0.25">
      <c r="A45" s="27" t="s">
        <v>50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ref="N45" si="40">SUM(C45:M45)</f>
        <v>0</v>
      </c>
      <c r="P45" s="42"/>
      <c r="Q45" s="48"/>
      <c r="R45" s="48"/>
      <c r="S45" s="48"/>
      <c r="T45" s="48"/>
      <c r="U45" s="83">
        <f t="shared" ref="U45" si="41">SUM(P45:T45)</f>
        <v>0</v>
      </c>
      <c r="W45" s="48"/>
      <c r="X45" s="48"/>
      <c r="Y45" s="48"/>
      <c r="Z45" s="48"/>
      <c r="AA45" s="48"/>
      <c r="AB45" s="83">
        <f t="shared" ref="AB45" si="42">SUM(W45:AA45)</f>
        <v>0</v>
      </c>
      <c r="AD45" s="48"/>
      <c r="AE45" s="48"/>
      <c r="AF45" s="142"/>
      <c r="AG45" s="142"/>
      <c r="AH45" s="142"/>
      <c r="AI45" s="83">
        <f t="shared" si="5"/>
        <v>0</v>
      </c>
      <c r="AK45" s="91">
        <f t="shared" ref="AK45" si="43">SUM(AB45,U45,N45,AI45)</f>
        <v>0</v>
      </c>
      <c r="AL45" s="32"/>
      <c r="AM45" s="106"/>
      <c r="AN45" s="130"/>
      <c r="AO45" s="130">
        <v>2.3310000000000001E-2</v>
      </c>
      <c r="AP45" s="157"/>
      <c r="AQ45" s="153"/>
      <c r="AR45" s="153"/>
      <c r="AS45" s="113">
        <f t="shared" si="22"/>
        <v>2.3310000000000001E-2</v>
      </c>
      <c r="AU45" s="91">
        <f t="shared" si="33"/>
        <v>2.3310000000000001E-2</v>
      </c>
    </row>
    <row r="46" spans="1:47" ht="13.5" thickBot="1" x14ac:dyDescent="0.25">
      <c r="A46" s="27" t="s">
        <v>51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si="17"/>
        <v>0</v>
      </c>
      <c r="P46" s="42"/>
      <c r="Q46" s="48"/>
      <c r="R46" s="48"/>
      <c r="S46" s="48"/>
      <c r="T46" s="48"/>
      <c r="U46" s="83">
        <f t="shared" si="18"/>
        <v>0</v>
      </c>
      <c r="W46" s="48"/>
      <c r="X46" s="48"/>
      <c r="Y46" s="48"/>
      <c r="Z46" s="48"/>
      <c r="AA46" s="48"/>
      <c r="AB46" s="83">
        <f t="shared" si="19"/>
        <v>0</v>
      </c>
      <c r="AD46" s="48"/>
      <c r="AE46" s="48"/>
      <c r="AF46" s="142"/>
      <c r="AG46" s="142"/>
      <c r="AH46" s="142"/>
      <c r="AI46" s="83">
        <f t="shared" si="5"/>
        <v>0</v>
      </c>
      <c r="AK46" s="91">
        <f t="shared" si="6"/>
        <v>0</v>
      </c>
      <c r="AL46" s="32"/>
      <c r="AM46" s="106"/>
      <c r="AN46" s="130">
        <f>0.1+1</f>
        <v>1.1000000000000001</v>
      </c>
      <c r="AO46" s="130"/>
      <c r="AP46" s="157">
        <v>0.1</v>
      </c>
      <c r="AQ46" s="153"/>
      <c r="AR46" s="153"/>
      <c r="AS46" s="113">
        <f t="shared" si="22"/>
        <v>1.2000000000000002</v>
      </c>
      <c r="AU46" s="91">
        <f t="shared" si="33"/>
        <v>1.2000000000000002</v>
      </c>
    </row>
    <row r="47" spans="1:47" ht="13.5" thickBot="1" x14ac:dyDescent="0.25">
      <c r="A47" s="27" t="s">
        <v>52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ref="N47" si="44">SUM(C47:M47)</f>
        <v>0</v>
      </c>
      <c r="P47" s="42"/>
      <c r="Q47" s="48"/>
      <c r="R47" s="48"/>
      <c r="S47" s="48"/>
      <c r="T47" s="48"/>
      <c r="U47" s="83">
        <f t="shared" ref="U47" si="45">SUM(P47:T47)</f>
        <v>0</v>
      </c>
      <c r="W47" s="48"/>
      <c r="X47" s="48"/>
      <c r="Y47" s="48"/>
      <c r="Z47" s="48"/>
      <c r="AA47" s="48"/>
      <c r="AB47" s="83">
        <f t="shared" ref="AB47" si="46">SUM(W47:AA47)</f>
        <v>0</v>
      </c>
      <c r="AD47" s="48"/>
      <c r="AE47" s="48"/>
      <c r="AF47" s="142"/>
      <c r="AG47" s="142"/>
      <c r="AH47" s="142"/>
      <c r="AI47" s="83">
        <f t="shared" si="5"/>
        <v>0</v>
      </c>
      <c r="AK47" s="91">
        <f t="shared" si="6"/>
        <v>0</v>
      </c>
      <c r="AL47" s="32"/>
      <c r="AM47" s="106"/>
      <c r="AN47" s="130">
        <v>0.91439999999999999</v>
      </c>
      <c r="AO47" s="130"/>
      <c r="AP47" s="157"/>
      <c r="AQ47" s="153"/>
      <c r="AR47" s="153"/>
      <c r="AS47" s="113">
        <f t="shared" si="22"/>
        <v>0.91439999999999999</v>
      </c>
      <c r="AU47" s="91">
        <f t="shared" si="33"/>
        <v>0.91439999999999999</v>
      </c>
    </row>
    <row r="48" spans="1:47" ht="13.5" thickBot="1" x14ac:dyDescent="0.25">
      <c r="A48" s="27" t="s">
        <v>53</v>
      </c>
      <c r="C48" s="42"/>
      <c r="D48" s="49"/>
      <c r="E48" s="42"/>
      <c r="F48" s="42"/>
      <c r="G48" s="49"/>
      <c r="H48" s="46"/>
      <c r="I48" s="42"/>
      <c r="J48" s="42"/>
      <c r="K48" s="47"/>
      <c r="L48" s="42"/>
      <c r="M48" s="42"/>
      <c r="N48" s="83">
        <f t="shared" si="17"/>
        <v>0</v>
      </c>
      <c r="P48" s="42"/>
      <c r="Q48" s="48"/>
      <c r="R48" s="48"/>
      <c r="S48" s="48"/>
      <c r="T48" s="48"/>
      <c r="U48" s="83">
        <f t="shared" ref="U48" si="47">SUM(P48:T48)</f>
        <v>0</v>
      </c>
      <c r="W48" s="48"/>
      <c r="X48" s="48"/>
      <c r="Y48" s="48"/>
      <c r="Z48" s="48"/>
      <c r="AA48" s="48"/>
      <c r="AB48" s="83">
        <f t="shared" ref="AB48" si="48">SUM(W48:AA48)</f>
        <v>0</v>
      </c>
      <c r="AD48" s="48">
        <v>0.1208</v>
      </c>
      <c r="AE48" s="48"/>
      <c r="AF48" s="142">
        <v>0.16566</v>
      </c>
      <c r="AG48" s="142">
        <v>0.20810999999999999</v>
      </c>
      <c r="AH48" s="142">
        <v>0.20688999999999999</v>
      </c>
      <c r="AI48" s="83">
        <f t="shared" si="5"/>
        <v>0.70145999999999997</v>
      </c>
      <c r="AK48" s="91">
        <f t="shared" si="6"/>
        <v>0.70145999999999997</v>
      </c>
      <c r="AL48" s="32"/>
      <c r="AM48" s="106"/>
      <c r="AN48" s="130">
        <f>0.81781875+0.169785</f>
        <v>0.98760375</v>
      </c>
      <c r="AO48" s="130">
        <v>0.15804166</v>
      </c>
      <c r="AP48" s="157"/>
      <c r="AQ48" s="153"/>
      <c r="AR48" s="153"/>
      <c r="AS48" s="113">
        <f t="shared" si="22"/>
        <v>1.14564541</v>
      </c>
      <c r="AU48" s="91">
        <f t="shared" si="33"/>
        <v>1.8471054099999999</v>
      </c>
    </row>
    <row r="49" spans="1:47" ht="13.5" thickBot="1" x14ac:dyDescent="0.25">
      <c r="A49" s="27" t="s">
        <v>54</v>
      </c>
      <c r="C49" s="42"/>
      <c r="D49" s="49"/>
      <c r="E49" s="49"/>
      <c r="F49" s="49"/>
      <c r="G49" s="49"/>
      <c r="H49" s="50"/>
      <c r="I49" s="42"/>
      <c r="J49" s="54"/>
      <c r="K49" s="47"/>
      <c r="L49" s="42"/>
      <c r="M49" s="42"/>
      <c r="N49" s="83">
        <f t="shared" si="17"/>
        <v>0</v>
      </c>
      <c r="P49" s="42"/>
      <c r="Q49" s="48"/>
      <c r="R49" s="48"/>
      <c r="S49" s="48"/>
      <c r="T49" s="48"/>
      <c r="U49" s="83">
        <f t="shared" si="18"/>
        <v>0</v>
      </c>
      <c r="W49" s="48">
        <v>2</v>
      </c>
      <c r="X49" s="48">
        <v>2</v>
      </c>
      <c r="Y49" s="48"/>
      <c r="Z49" s="48"/>
      <c r="AA49" s="48">
        <v>6</v>
      </c>
      <c r="AB49" s="83">
        <f t="shared" si="19"/>
        <v>10</v>
      </c>
      <c r="AD49" s="48">
        <v>2</v>
      </c>
      <c r="AE49" s="48"/>
      <c r="AF49" s="142">
        <v>2</v>
      </c>
      <c r="AG49" s="142">
        <f>2-0.12107418</f>
        <v>1.8789258200000001</v>
      </c>
      <c r="AH49" s="142">
        <v>4</v>
      </c>
      <c r="AI49" s="83">
        <f t="shared" si="5"/>
        <v>9.8789258199999992</v>
      </c>
      <c r="AK49" s="91">
        <f t="shared" si="6"/>
        <v>19.878925819999999</v>
      </c>
      <c r="AL49" s="32"/>
      <c r="AM49" s="106"/>
      <c r="AN49" s="130">
        <f>5+5</f>
        <v>10</v>
      </c>
      <c r="AO49" s="130"/>
      <c r="AP49" s="157"/>
      <c r="AQ49" s="153"/>
      <c r="AR49" s="153"/>
      <c r="AS49" s="113">
        <f t="shared" si="22"/>
        <v>10</v>
      </c>
      <c r="AU49" s="91">
        <f t="shared" si="33"/>
        <v>29.878925819999999</v>
      </c>
    </row>
    <row r="50" spans="1:47" ht="15" thickBot="1" x14ac:dyDescent="0.25">
      <c r="A50" s="27" t="s">
        <v>55</v>
      </c>
      <c r="C50" s="42"/>
      <c r="D50" s="49"/>
      <c r="E50" s="49"/>
      <c r="F50" s="49"/>
      <c r="G50" s="49"/>
      <c r="H50" s="50"/>
      <c r="I50" s="42"/>
      <c r="J50" s="42"/>
      <c r="K50" s="47"/>
      <c r="L50" s="42"/>
      <c r="M50" s="10">
        <v>0.4</v>
      </c>
      <c r="N50" s="83">
        <f t="shared" si="17"/>
        <v>0.4</v>
      </c>
      <c r="P50" s="10">
        <v>0.3</v>
      </c>
      <c r="Q50" s="33">
        <v>0.3</v>
      </c>
      <c r="R50" s="48">
        <v>1</v>
      </c>
      <c r="S50" s="48">
        <v>1</v>
      </c>
      <c r="T50" s="48">
        <v>4</v>
      </c>
      <c r="U50" s="83">
        <f t="shared" si="18"/>
        <v>6.6</v>
      </c>
      <c r="W50" s="48">
        <v>4</v>
      </c>
      <c r="X50" s="48">
        <v>4</v>
      </c>
      <c r="Y50" s="48">
        <v>4</v>
      </c>
      <c r="Z50" s="48">
        <v>4.7372954399999996</v>
      </c>
      <c r="AA50" s="48">
        <v>5.4808400900000001</v>
      </c>
      <c r="AB50" s="83">
        <f t="shared" si="19"/>
        <v>22.218135530000001</v>
      </c>
      <c r="AD50" s="48"/>
      <c r="AE50" s="48">
        <f>4.9776008+5.33701575</f>
        <v>10.31461655</v>
      </c>
      <c r="AF50" s="142">
        <v>4.9575940000000003</v>
      </c>
      <c r="AG50" s="142">
        <v>1.18135985</v>
      </c>
      <c r="AH50" s="142">
        <v>50</v>
      </c>
      <c r="AI50" s="83">
        <f t="shared" si="5"/>
        <v>66.453570400000004</v>
      </c>
      <c r="AK50" s="91">
        <f t="shared" si="6"/>
        <v>95.671705930000002</v>
      </c>
      <c r="AL50" s="32"/>
      <c r="AM50" s="106"/>
      <c r="AN50" s="130">
        <f>10+100</f>
        <v>110</v>
      </c>
      <c r="AO50" s="130">
        <f>65+13.50116+21.49884</f>
        <v>100</v>
      </c>
      <c r="AP50" s="157">
        <v>70</v>
      </c>
      <c r="AQ50" s="153">
        <v>50</v>
      </c>
      <c r="AR50" s="153"/>
      <c r="AS50" s="113">
        <f t="shared" si="22"/>
        <v>330</v>
      </c>
      <c r="AU50" s="91">
        <f t="shared" si="33"/>
        <v>425.67170593000003</v>
      </c>
    </row>
    <row r="51" spans="1:47" ht="13.5" thickBot="1" x14ac:dyDescent="0.25">
      <c r="A51" s="27" t="s">
        <v>56</v>
      </c>
      <c r="C51" s="42"/>
      <c r="D51" s="49"/>
      <c r="E51" s="42"/>
      <c r="F51" s="42"/>
      <c r="G51" s="49"/>
      <c r="H51" s="46"/>
      <c r="I51" s="42"/>
      <c r="J51" s="42"/>
      <c r="K51" s="47"/>
      <c r="L51" s="42"/>
      <c r="M51" s="42"/>
      <c r="N51" s="83">
        <f t="shared" ref="N51" si="49">SUM(C51:M51)</f>
        <v>0</v>
      </c>
      <c r="P51" s="42"/>
      <c r="Q51" s="48"/>
      <c r="R51" s="48"/>
      <c r="S51" s="48"/>
      <c r="T51" s="48"/>
      <c r="U51" s="83">
        <f t="shared" ref="U51" si="50">SUM(P51:T51)</f>
        <v>0</v>
      </c>
      <c r="W51" s="48"/>
      <c r="X51" s="48"/>
      <c r="Y51" s="48"/>
      <c r="Z51" s="48"/>
      <c r="AA51" s="48"/>
      <c r="AB51" s="83">
        <f t="shared" ref="AB51" si="51">SUM(W51:AA51)</f>
        <v>0</v>
      </c>
      <c r="AD51" s="48">
        <v>10</v>
      </c>
      <c r="AE51" s="48"/>
      <c r="AF51" s="142"/>
      <c r="AG51" s="142"/>
      <c r="AH51" s="142"/>
      <c r="AI51" s="83">
        <f t="shared" si="5"/>
        <v>10</v>
      </c>
      <c r="AK51" s="91">
        <f t="shared" si="6"/>
        <v>10</v>
      </c>
      <c r="AL51" s="32"/>
      <c r="AM51" s="106"/>
      <c r="AN51" s="130"/>
      <c r="AO51" s="130"/>
      <c r="AP51" s="157"/>
      <c r="AQ51" s="153"/>
      <c r="AR51" s="153"/>
      <c r="AS51" s="113">
        <f t="shared" si="22"/>
        <v>0</v>
      </c>
      <c r="AU51" s="91">
        <f t="shared" si="33"/>
        <v>10</v>
      </c>
    </row>
    <row r="52" spans="1:47" ht="13.5" thickBot="1" x14ac:dyDescent="0.25">
      <c r="A52" s="27" t="s">
        <v>57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ref="N52" si="52">SUM(C52:M52)</f>
        <v>0</v>
      </c>
      <c r="P52" s="42"/>
      <c r="Q52" s="48"/>
      <c r="R52" s="48"/>
      <c r="S52" s="48"/>
      <c r="T52" s="48"/>
      <c r="U52" s="83">
        <f t="shared" ref="U52" si="53">SUM(P52:T52)</f>
        <v>0</v>
      </c>
      <c r="W52" s="48"/>
      <c r="X52" s="48"/>
      <c r="Y52" s="48"/>
      <c r="Z52" s="48"/>
      <c r="AA52" s="48"/>
      <c r="AB52" s="83">
        <f t="shared" ref="AB52" si="54">SUM(W52:AA52)</f>
        <v>0</v>
      </c>
      <c r="AD52" s="48"/>
      <c r="AE52" s="48"/>
      <c r="AF52" s="142">
        <v>0.87665000000000004</v>
      </c>
      <c r="AG52" s="142"/>
      <c r="AH52" s="142"/>
      <c r="AI52" s="83">
        <f t="shared" si="5"/>
        <v>0.87665000000000004</v>
      </c>
      <c r="AK52" s="91">
        <f t="shared" ref="AK52" si="55">SUM(AB52,U52,N52,AI52)</f>
        <v>0.87665000000000004</v>
      </c>
      <c r="AL52" s="32"/>
      <c r="AM52" s="106"/>
      <c r="AN52" s="130"/>
      <c r="AO52" s="130"/>
      <c r="AP52" s="157"/>
      <c r="AQ52" s="153"/>
      <c r="AR52" s="153"/>
      <c r="AS52" s="113">
        <f t="shared" si="22"/>
        <v>0</v>
      </c>
      <c r="AU52" s="91">
        <f t="shared" si="33"/>
        <v>0.87665000000000004</v>
      </c>
    </row>
    <row r="53" spans="1:47" ht="13.5" thickBot="1" x14ac:dyDescent="0.25">
      <c r="A53" s="27" t="s">
        <v>58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si="17"/>
        <v>0</v>
      </c>
      <c r="P53" s="42"/>
      <c r="Q53" s="48"/>
      <c r="R53" s="48"/>
      <c r="S53" s="48"/>
      <c r="T53" s="48"/>
      <c r="U53" s="83">
        <f t="shared" si="18"/>
        <v>0</v>
      </c>
      <c r="W53" s="48"/>
      <c r="X53" s="48"/>
      <c r="Y53" s="48"/>
      <c r="Z53" s="48"/>
      <c r="AA53" s="48"/>
      <c r="AB53" s="83">
        <f t="shared" si="19"/>
        <v>0</v>
      </c>
      <c r="AD53" s="48"/>
      <c r="AE53" s="48"/>
      <c r="AF53" s="142"/>
      <c r="AG53" s="142"/>
      <c r="AH53" s="142"/>
      <c r="AI53" s="83">
        <f t="shared" si="5"/>
        <v>0</v>
      </c>
      <c r="AK53" s="91">
        <f t="shared" si="6"/>
        <v>0</v>
      </c>
      <c r="AL53" s="32"/>
      <c r="AM53" s="106"/>
      <c r="AN53" s="130">
        <v>5</v>
      </c>
      <c r="AO53" s="130"/>
      <c r="AP53" s="157"/>
      <c r="AQ53" s="153"/>
      <c r="AR53" s="153"/>
      <c r="AS53" s="113">
        <f t="shared" si="22"/>
        <v>5</v>
      </c>
      <c r="AU53" s="91">
        <f t="shared" si="33"/>
        <v>5</v>
      </c>
    </row>
    <row r="54" spans="1:47" ht="13.5" thickBot="1" x14ac:dyDescent="0.25">
      <c r="A54" s="27" t="s">
        <v>59</v>
      </c>
      <c r="C54" s="42"/>
      <c r="D54" s="49"/>
      <c r="E54" s="42"/>
      <c r="F54" s="42"/>
      <c r="G54" s="49"/>
      <c r="H54" s="46"/>
      <c r="I54" s="42"/>
      <c r="J54" s="42"/>
      <c r="K54" s="47"/>
      <c r="L54" s="42"/>
      <c r="M54" s="42"/>
      <c r="N54" s="83">
        <f t="shared" ref="N54" si="56">SUM(C54:M54)</f>
        <v>0</v>
      </c>
      <c r="P54" s="42"/>
      <c r="Q54" s="48"/>
      <c r="R54" s="48"/>
      <c r="S54" s="48"/>
      <c r="T54" s="48"/>
      <c r="U54" s="83">
        <f t="shared" ref="U54" si="57">SUM(P54:T54)</f>
        <v>0</v>
      </c>
      <c r="W54" s="48"/>
      <c r="X54" s="48"/>
      <c r="Y54" s="48"/>
      <c r="Z54" s="48"/>
      <c r="AA54" s="48"/>
      <c r="AB54" s="83">
        <f t="shared" ref="AB54" si="58">SUM(W54:AA54)</f>
        <v>0</v>
      </c>
      <c r="AD54" s="48"/>
      <c r="AE54" s="48"/>
      <c r="AF54" s="142"/>
      <c r="AG54" s="142"/>
      <c r="AH54" s="142"/>
      <c r="AI54" s="83">
        <f t="shared" si="5"/>
        <v>0</v>
      </c>
      <c r="AK54" s="91">
        <f t="shared" si="6"/>
        <v>0</v>
      </c>
      <c r="AL54" s="32"/>
      <c r="AM54" s="106"/>
      <c r="AN54" s="130">
        <v>0.40680500000000003</v>
      </c>
      <c r="AO54" s="130">
        <v>0.163665</v>
      </c>
      <c r="AP54" s="157"/>
      <c r="AQ54" s="153"/>
      <c r="AR54" s="153"/>
      <c r="AS54" s="113">
        <f t="shared" si="22"/>
        <v>0.57047000000000003</v>
      </c>
      <c r="AU54" s="91">
        <f t="shared" si="33"/>
        <v>0.57047000000000003</v>
      </c>
    </row>
    <row r="55" spans="1:47" ht="15" thickBot="1" x14ac:dyDescent="0.25">
      <c r="A55" s="27" t="s">
        <v>60</v>
      </c>
      <c r="C55" s="42"/>
      <c r="D55" s="42"/>
      <c r="E55" s="42"/>
      <c r="F55" s="42"/>
      <c r="G55" s="42"/>
      <c r="H55" s="50"/>
      <c r="I55" s="42"/>
      <c r="J55" s="42"/>
      <c r="K55" s="47">
        <v>40.536200000000001</v>
      </c>
      <c r="L55" s="42"/>
      <c r="M55" s="42"/>
      <c r="N55" s="83">
        <f t="shared" si="17"/>
        <v>40.536200000000001</v>
      </c>
      <c r="P55" s="42">
        <v>2.6659999999999999</v>
      </c>
      <c r="Q55" s="48"/>
      <c r="R55" s="48"/>
      <c r="S55" s="48"/>
      <c r="T55" s="48"/>
      <c r="U55" s="83">
        <f t="shared" si="18"/>
        <v>2.6659999999999999</v>
      </c>
      <c r="W55" s="48"/>
      <c r="X55" s="48"/>
      <c r="Y55" s="48"/>
      <c r="Z55" s="48"/>
      <c r="AA55" s="48"/>
      <c r="AB55" s="83">
        <f t="shared" si="19"/>
        <v>0</v>
      </c>
      <c r="AD55" s="48">
        <v>11.288270000000001</v>
      </c>
      <c r="AE55" s="48"/>
      <c r="AF55" s="142">
        <v>0.53585000000000005</v>
      </c>
      <c r="AG55" s="142">
        <v>0.54272500000000001</v>
      </c>
      <c r="AH55" s="142"/>
      <c r="AI55" s="83">
        <f t="shared" si="5"/>
        <v>12.366845000000001</v>
      </c>
      <c r="AK55" s="91">
        <f t="shared" si="6"/>
        <v>55.569045000000003</v>
      </c>
      <c r="AL55" s="32"/>
      <c r="AM55" s="106"/>
      <c r="AN55" s="130">
        <v>0.93639050000000001</v>
      </c>
      <c r="AO55" s="130">
        <f>3.82445+0.11055+0.6451074+0.3032153</f>
        <v>4.8833226999999999</v>
      </c>
      <c r="AP55" s="157"/>
      <c r="AQ55" s="153"/>
      <c r="AR55" s="153"/>
      <c r="AS55" s="113">
        <f t="shared" si="22"/>
        <v>5.8197131999999998</v>
      </c>
      <c r="AU55" s="91">
        <f t="shared" si="33"/>
        <v>61.388758200000005</v>
      </c>
    </row>
    <row r="56" spans="1:47" ht="13.5" thickBot="1" x14ac:dyDescent="0.25">
      <c r="A56" s="27" t="s">
        <v>61</v>
      </c>
      <c r="C56" s="42"/>
      <c r="D56" s="49"/>
      <c r="E56" s="42"/>
      <c r="F56" s="42"/>
      <c r="G56" s="49"/>
      <c r="H56" s="46"/>
      <c r="I56" s="42"/>
      <c r="J56" s="42"/>
      <c r="K56" s="47"/>
      <c r="L56" s="42"/>
      <c r="M56" s="42"/>
      <c r="N56" s="83">
        <f t="shared" si="17"/>
        <v>0</v>
      </c>
      <c r="P56" s="42"/>
      <c r="Q56" s="48"/>
      <c r="R56" s="48"/>
      <c r="S56" s="48"/>
      <c r="T56" s="48"/>
      <c r="U56" s="83">
        <f t="shared" ref="U56" si="59">SUM(P56:T56)</f>
        <v>0</v>
      </c>
      <c r="W56" s="48"/>
      <c r="X56" s="48"/>
      <c r="Y56" s="48"/>
      <c r="Z56" s="48"/>
      <c r="AA56" s="48"/>
      <c r="AB56" s="83">
        <f t="shared" ref="AB56" si="60">SUM(W56:AA56)</f>
        <v>0</v>
      </c>
      <c r="AD56" s="48"/>
      <c r="AE56" s="48"/>
      <c r="AF56" s="142"/>
      <c r="AG56" s="142"/>
      <c r="AH56" s="142"/>
      <c r="AI56" s="83">
        <f t="shared" si="5"/>
        <v>0</v>
      </c>
      <c r="AK56" s="91">
        <f t="shared" ref="AK56" si="61">SUM(AB56,U56,N56,AI56)</f>
        <v>0</v>
      </c>
      <c r="AL56" s="32"/>
      <c r="AM56" s="106"/>
      <c r="AN56" s="130"/>
      <c r="AO56" s="130">
        <v>6.071559E-2</v>
      </c>
      <c r="AP56" s="157"/>
      <c r="AQ56" s="153"/>
      <c r="AR56" s="153"/>
      <c r="AS56" s="113">
        <f t="shared" si="22"/>
        <v>6.071559E-2</v>
      </c>
      <c r="AU56" s="91">
        <f t="shared" si="33"/>
        <v>6.071559E-2</v>
      </c>
    </row>
    <row r="57" spans="1:47" ht="13.5" thickBot="1" x14ac:dyDescent="0.25">
      <c r="A57" s="9" t="s">
        <v>62</v>
      </c>
      <c r="C57" s="42"/>
      <c r="D57" s="49">
        <v>1.8921325899999999</v>
      </c>
      <c r="E57" s="49">
        <v>1.1147999799999999</v>
      </c>
      <c r="F57" s="49">
        <v>2.38518169</v>
      </c>
      <c r="G57" s="49">
        <v>4.9314298799999996</v>
      </c>
      <c r="H57" s="50">
        <v>12.66340061</v>
      </c>
      <c r="I57" s="42">
        <v>14.593975029999999</v>
      </c>
      <c r="J57" s="42">
        <v>15.514976000000001</v>
      </c>
      <c r="K57" s="47">
        <v>19.151976000000001</v>
      </c>
      <c r="L57" s="42">
        <v>13.80099952</v>
      </c>
      <c r="M57" s="42">
        <v>36.487497500000003</v>
      </c>
      <c r="N57" s="83">
        <f t="shared" si="17"/>
        <v>122.53636880000002</v>
      </c>
      <c r="P57" s="42">
        <v>92.7</v>
      </c>
      <c r="Q57" s="48"/>
      <c r="R57" s="48">
        <v>70.900080489999993</v>
      </c>
      <c r="S57" s="48">
        <v>49.84</v>
      </c>
      <c r="T57" s="48">
        <v>41.475000000000001</v>
      </c>
      <c r="U57" s="83">
        <f t="shared" si="18"/>
        <v>254.91508048999998</v>
      </c>
      <c r="W57" s="48">
        <v>36.391199999999998</v>
      </c>
      <c r="X57" s="48">
        <v>33.504578960000003</v>
      </c>
      <c r="Y57" s="48">
        <v>42.436950889999999</v>
      </c>
      <c r="Z57" s="48">
        <f>19.58512008+16.14</f>
        <v>35.725120079999996</v>
      </c>
      <c r="AA57" s="48">
        <v>40.858379999999997</v>
      </c>
      <c r="AB57" s="83">
        <f t="shared" si="19"/>
        <v>188.91622992999999</v>
      </c>
      <c r="AD57" s="48">
        <f>17.5875+21.86152351</f>
        <v>39.449023510000004</v>
      </c>
      <c r="AE57" s="48">
        <f>21.9233825819293+4.9425+9.275</f>
        <v>36.140882581929297</v>
      </c>
      <c r="AF57" s="142">
        <v>32.403565159999999</v>
      </c>
      <c r="AG57" s="142">
        <v>32.554111689462999</v>
      </c>
      <c r="AH57" s="142">
        <v>34.04555110617035</v>
      </c>
      <c r="AI57" s="83">
        <f t="shared" si="5"/>
        <v>174.59313404756267</v>
      </c>
      <c r="AK57" s="91">
        <f t="shared" si="6"/>
        <v>740.96081326756268</v>
      </c>
      <c r="AL57" s="32"/>
      <c r="AM57" s="106">
        <v>11.58512058</v>
      </c>
      <c r="AN57" s="130">
        <v>11.67029804</v>
      </c>
      <c r="AO57" s="130"/>
      <c r="AP57" s="157"/>
      <c r="AQ57" s="153"/>
      <c r="AR57" s="153"/>
      <c r="AS57" s="113">
        <f t="shared" si="22"/>
        <v>23.25541862</v>
      </c>
      <c r="AU57" s="91">
        <f t="shared" si="33"/>
        <v>764.21623188756269</v>
      </c>
    </row>
    <row r="58" spans="1:47" ht="13.5" thickBot="1" x14ac:dyDescent="0.25">
      <c r="A58" s="27" t="s">
        <v>63</v>
      </c>
      <c r="C58" s="42"/>
      <c r="D58" s="49"/>
      <c r="E58" s="49"/>
      <c r="F58" s="49"/>
      <c r="G58" s="49"/>
      <c r="H58" s="50"/>
      <c r="I58" s="42"/>
      <c r="J58" s="42"/>
      <c r="K58" s="47"/>
      <c r="L58" s="42"/>
      <c r="M58" s="42"/>
      <c r="N58" s="83">
        <f t="shared" si="17"/>
        <v>0</v>
      </c>
      <c r="P58" s="42"/>
      <c r="Q58" s="48"/>
      <c r="R58" s="48"/>
      <c r="S58" s="48"/>
      <c r="T58" s="48"/>
      <c r="U58" s="83">
        <f t="shared" si="18"/>
        <v>0</v>
      </c>
      <c r="W58" s="48">
        <v>1.5797791999999999</v>
      </c>
      <c r="X58" s="48"/>
      <c r="Y58" s="48"/>
      <c r="Z58" s="48"/>
      <c r="AA58" s="48">
        <f>11.2905+0.56177087</f>
        <v>11.85227087</v>
      </c>
      <c r="AB58" s="83">
        <f t="shared" si="19"/>
        <v>13.432050069999999</v>
      </c>
      <c r="AD58" s="48">
        <v>0.43321999999999999</v>
      </c>
      <c r="AE58" s="48"/>
      <c r="AF58" s="142"/>
      <c r="AG58" s="142"/>
      <c r="AH58" s="142"/>
      <c r="AI58" s="83">
        <f t="shared" si="5"/>
        <v>0.43321999999999999</v>
      </c>
      <c r="AK58" s="91">
        <f t="shared" si="6"/>
        <v>13.865270069999999</v>
      </c>
      <c r="AL58" s="32"/>
      <c r="AM58" s="106">
        <v>22.477137939999999</v>
      </c>
      <c r="AN58" s="130">
        <v>135.00378011000001</v>
      </c>
      <c r="AO58" s="130"/>
      <c r="AP58" s="157"/>
      <c r="AQ58" s="153"/>
      <c r="AR58" s="153"/>
      <c r="AS58" s="113">
        <f t="shared" si="22"/>
        <v>157.48091805000001</v>
      </c>
      <c r="AU58" s="91">
        <f t="shared" si="33"/>
        <v>171.34618812000002</v>
      </c>
    </row>
    <row r="59" spans="1:47" ht="13.5" thickBot="1" x14ac:dyDescent="0.25">
      <c r="A59" s="27" t="s">
        <v>64</v>
      </c>
      <c r="C59" s="42"/>
      <c r="D59" s="49"/>
      <c r="E59" s="42"/>
      <c r="F59" s="42"/>
      <c r="G59" s="49"/>
      <c r="H59" s="46"/>
      <c r="I59" s="42"/>
      <c r="J59" s="42"/>
      <c r="K59" s="47"/>
      <c r="L59" s="42"/>
      <c r="M59" s="42"/>
      <c r="N59" s="83">
        <f t="shared" si="17"/>
        <v>0</v>
      </c>
      <c r="P59" s="42"/>
      <c r="Q59" s="48"/>
      <c r="R59" s="48"/>
      <c r="S59" s="48"/>
      <c r="T59" s="48"/>
      <c r="U59" s="83">
        <f t="shared" ref="U59" si="62">SUM(P59:T59)</f>
        <v>0</v>
      </c>
      <c r="W59" s="48"/>
      <c r="X59" s="48"/>
      <c r="Y59" s="48"/>
      <c r="Z59" s="48"/>
      <c r="AA59" s="48"/>
      <c r="AB59" s="83">
        <f t="shared" ref="AB59" si="63">SUM(W59:AA59)</f>
        <v>0</v>
      </c>
      <c r="AD59" s="48"/>
      <c r="AE59" s="48">
        <f>0.18928962+0.206027</f>
        <v>0.39531662000000001</v>
      </c>
      <c r="AF59" s="142"/>
      <c r="AG59" s="142">
        <f>0.100508+0.270162+0.074338</f>
        <v>0.44500800000000001</v>
      </c>
      <c r="AH59" s="142">
        <v>0.26518338000000002</v>
      </c>
      <c r="AI59" s="83">
        <f t="shared" si="5"/>
        <v>1.1055080000000002</v>
      </c>
      <c r="AK59" s="91">
        <f t="shared" ref="AK59" si="64">SUM(AB59,U59,N59,AI59)</f>
        <v>1.1055080000000002</v>
      </c>
      <c r="AL59" s="32"/>
      <c r="AM59" s="106"/>
      <c r="AN59" s="130"/>
      <c r="AO59" s="130"/>
      <c r="AP59" s="157"/>
      <c r="AQ59" s="153"/>
      <c r="AR59" s="153"/>
      <c r="AS59" s="113">
        <f t="shared" si="22"/>
        <v>0</v>
      </c>
      <c r="AU59" s="91">
        <f t="shared" si="33"/>
        <v>1.1055080000000002</v>
      </c>
    </row>
    <row r="60" spans="1:47" ht="15" thickBot="1" x14ac:dyDescent="0.25">
      <c r="A60" s="27" t="s">
        <v>65</v>
      </c>
      <c r="C60" s="42">
        <v>4.4634</v>
      </c>
      <c r="D60" s="42"/>
      <c r="E60" s="49">
        <v>15.048249999999999</v>
      </c>
      <c r="F60" s="42">
        <v>5.60595</v>
      </c>
      <c r="G60" s="49">
        <v>18.491534999999999</v>
      </c>
      <c r="H60" s="50">
        <v>6.6251490000000004</v>
      </c>
      <c r="I60" s="42">
        <v>23.214072000000002</v>
      </c>
      <c r="J60" s="52">
        <v>48.113951999999998</v>
      </c>
      <c r="K60" s="47"/>
      <c r="L60" s="42"/>
      <c r="M60" s="47">
        <v>15.883044</v>
      </c>
      <c r="N60" s="84">
        <f t="shared" si="17"/>
        <v>137.44535199999999</v>
      </c>
      <c r="P60" s="47">
        <v>85.1</v>
      </c>
      <c r="Q60" s="55">
        <v>206.88</v>
      </c>
      <c r="R60" s="55">
        <v>447.88005122999999</v>
      </c>
      <c r="S60" s="55">
        <v>302.55504000000002</v>
      </c>
      <c r="T60" s="55">
        <f>418.55298+23.91142691</f>
        <v>442.46440690999998</v>
      </c>
      <c r="U60" s="84">
        <f t="shared" si="18"/>
        <v>1484.8794981399999</v>
      </c>
      <c r="W60" s="55">
        <v>304.83199999999999</v>
      </c>
      <c r="X60" s="55">
        <v>282.065</v>
      </c>
      <c r="Y60" s="55">
        <f>237.859968+15.02140486</f>
        <v>252.88137286</v>
      </c>
      <c r="Z60" s="55">
        <v>267.42500000000001</v>
      </c>
      <c r="AA60" s="48">
        <v>270.52</v>
      </c>
      <c r="AB60" s="84">
        <f t="shared" si="19"/>
        <v>1377.7233728599999</v>
      </c>
      <c r="AD60" s="48">
        <f>274.26954378+6.31957474</f>
        <v>280.58911852</v>
      </c>
      <c r="AE60" s="48"/>
      <c r="AF60" s="142">
        <f>63.87089323+247.49971128</f>
        <v>311.37060451000002</v>
      </c>
      <c r="AG60" s="142">
        <f>167.92916863+8.72359318+7.85123386+147.86490433+454.215374</f>
        <v>786.58427400000005</v>
      </c>
      <c r="AH60" s="142"/>
      <c r="AI60" s="84">
        <f t="shared" si="5"/>
        <v>1378.5439970300001</v>
      </c>
      <c r="AK60" s="91">
        <f t="shared" si="6"/>
        <v>4378.5922200300001</v>
      </c>
      <c r="AL60" s="32"/>
      <c r="AM60" s="106"/>
      <c r="AN60" s="130">
        <v>60.625</v>
      </c>
      <c r="AO60" s="130">
        <v>62.500500000000002</v>
      </c>
      <c r="AP60" s="157"/>
      <c r="AQ60" s="153"/>
      <c r="AR60" s="153"/>
      <c r="AS60" s="113">
        <f t="shared" si="22"/>
        <v>123.1255</v>
      </c>
      <c r="AU60" s="91">
        <f t="shared" si="33"/>
        <v>4501.7177200300002</v>
      </c>
    </row>
    <row r="61" spans="1:47" ht="13.5" thickBot="1" x14ac:dyDescent="0.25">
      <c r="A61" s="9" t="s">
        <v>66</v>
      </c>
      <c r="C61" s="42"/>
      <c r="D61" s="42">
        <v>48.091999999999999</v>
      </c>
      <c r="E61" s="49">
        <v>53</v>
      </c>
      <c r="F61" s="42">
        <v>58</v>
      </c>
      <c r="G61" s="49">
        <v>59.64</v>
      </c>
      <c r="H61" s="50">
        <v>64.48</v>
      </c>
      <c r="I61" s="42">
        <v>69.3</v>
      </c>
      <c r="J61" s="52">
        <v>69.3</v>
      </c>
      <c r="K61" s="47">
        <v>71.912999999999997</v>
      </c>
      <c r="L61" s="42">
        <v>75</v>
      </c>
      <c r="M61" s="47">
        <v>78</v>
      </c>
      <c r="N61" s="84">
        <f t="shared" ref="N61" si="65">SUM(C61:M61)</f>
        <v>646.72500000000002</v>
      </c>
      <c r="P61" s="47">
        <v>89.8</v>
      </c>
      <c r="Q61" s="55">
        <v>130</v>
      </c>
      <c r="R61" s="55">
        <v>137.978655</v>
      </c>
      <c r="S61" s="55">
        <v>175</v>
      </c>
      <c r="T61" s="55">
        <v>200</v>
      </c>
      <c r="U61" s="84">
        <f t="shared" ref="U61" si="66">SUM(P61:T61)</f>
        <v>732.77865500000007</v>
      </c>
      <c r="W61" s="55">
        <v>235</v>
      </c>
      <c r="X61" s="55">
        <v>275</v>
      </c>
      <c r="Y61" s="55">
        <v>290</v>
      </c>
      <c r="Z61" s="55">
        <v>290</v>
      </c>
      <c r="AA61" s="48">
        <v>290</v>
      </c>
      <c r="AB61" s="84">
        <f t="shared" ref="AB61" si="67">SUM(W61:AA61)</f>
        <v>1380</v>
      </c>
      <c r="AD61" s="48">
        <f>19.9999254+0.0000746</f>
        <v>20</v>
      </c>
      <c r="AE61" s="48">
        <f>290+290</f>
        <v>580</v>
      </c>
      <c r="AF61" s="142">
        <v>290</v>
      </c>
      <c r="AG61" s="142">
        <v>300</v>
      </c>
      <c r="AH61" s="142"/>
      <c r="AI61" s="84">
        <f t="shared" si="5"/>
        <v>1190</v>
      </c>
      <c r="AK61" s="91">
        <f t="shared" si="6"/>
        <v>3949.503655</v>
      </c>
      <c r="AL61" s="32"/>
      <c r="AM61" s="106"/>
      <c r="AN61" s="130">
        <f>1500+2000</f>
        <v>3500</v>
      </c>
      <c r="AO61" s="130"/>
      <c r="AP61" s="157"/>
      <c r="AQ61" s="153"/>
      <c r="AR61" s="153"/>
      <c r="AS61" s="113">
        <f t="shared" si="22"/>
        <v>3500</v>
      </c>
      <c r="AU61" s="91">
        <f t="shared" si="33"/>
        <v>7449.5036550000004</v>
      </c>
    </row>
    <row r="62" spans="1:47" ht="13.5" thickBot="1" x14ac:dyDescent="0.25">
      <c r="A62" s="12" t="s">
        <v>67</v>
      </c>
      <c r="C62" s="56"/>
      <c r="D62" s="57"/>
      <c r="E62" s="57"/>
      <c r="F62" s="57"/>
      <c r="G62" s="57"/>
      <c r="H62" s="58"/>
      <c r="I62" s="59"/>
      <c r="J62" s="60"/>
      <c r="K62" s="61"/>
      <c r="L62" s="59"/>
      <c r="M62" s="59"/>
      <c r="N62" s="85">
        <f t="shared" si="17"/>
        <v>0</v>
      </c>
      <c r="P62" s="59"/>
      <c r="Q62" s="56"/>
      <c r="R62" s="56"/>
      <c r="S62" s="56"/>
      <c r="T62" s="56"/>
      <c r="U62" s="85">
        <f t="shared" si="18"/>
        <v>0</v>
      </c>
      <c r="W62" s="56"/>
      <c r="X62" s="56"/>
      <c r="Y62" s="56"/>
      <c r="Z62" s="56"/>
      <c r="AA62" s="56"/>
      <c r="AB62" s="85">
        <f t="shared" si="19"/>
        <v>0</v>
      </c>
      <c r="AD62" s="56"/>
      <c r="AE62" s="56"/>
      <c r="AF62" s="143"/>
      <c r="AG62" s="143"/>
      <c r="AH62" s="143"/>
      <c r="AI62" s="85">
        <f t="shared" si="5"/>
        <v>0</v>
      </c>
      <c r="AK62" s="92">
        <f t="shared" si="6"/>
        <v>0</v>
      </c>
      <c r="AL62" s="32"/>
      <c r="AM62" s="109"/>
      <c r="AN62" s="131">
        <v>0.5</v>
      </c>
      <c r="AO62" s="131">
        <v>0.5</v>
      </c>
      <c r="AP62" s="158"/>
      <c r="AQ62" s="154"/>
      <c r="AR62" s="154"/>
      <c r="AS62" s="115">
        <f t="shared" si="22"/>
        <v>1</v>
      </c>
      <c r="AU62" s="92">
        <f t="shared" si="33"/>
        <v>1</v>
      </c>
    </row>
    <row r="63" spans="1:47" ht="13.5" thickBot="1" x14ac:dyDescent="0.25">
      <c r="A63" s="13" t="s">
        <v>68</v>
      </c>
      <c r="C63" s="62">
        <f t="shared" ref="C63:N63" si="68">SUM(C7:C62)</f>
        <v>4.4634</v>
      </c>
      <c r="D63" s="62">
        <f t="shared" si="68"/>
        <v>93.086564390000007</v>
      </c>
      <c r="E63" s="62">
        <f t="shared" si="68"/>
        <v>106.25498396</v>
      </c>
      <c r="F63" s="62">
        <f t="shared" si="68"/>
        <v>110.91403173</v>
      </c>
      <c r="G63" s="62">
        <f t="shared" si="68"/>
        <v>160.39815135999999</v>
      </c>
      <c r="H63" s="62">
        <f t="shared" si="68"/>
        <v>274.92391606000001</v>
      </c>
      <c r="I63" s="62">
        <f t="shared" si="68"/>
        <v>216.20010949000005</v>
      </c>
      <c r="J63" s="62">
        <f t="shared" si="68"/>
        <v>282.29137800000001</v>
      </c>
      <c r="K63" s="62">
        <f t="shared" si="68"/>
        <v>269.32929425999998</v>
      </c>
      <c r="L63" s="62">
        <f t="shared" si="68"/>
        <v>255.98825982</v>
      </c>
      <c r="M63" s="62">
        <f t="shared" si="68"/>
        <v>252.64002400000001</v>
      </c>
      <c r="N63" s="101">
        <f t="shared" si="68"/>
        <v>2026.49011307</v>
      </c>
      <c r="P63" s="62">
        <f t="shared" ref="P63:U63" si="69">SUM(P7:P62)</f>
        <v>512.89099999999996</v>
      </c>
      <c r="Q63" s="62">
        <f t="shared" si="69"/>
        <v>615.20465434000005</v>
      </c>
      <c r="R63" s="62">
        <f t="shared" si="69"/>
        <v>994.33653315000004</v>
      </c>
      <c r="S63" s="62">
        <f t="shared" si="69"/>
        <v>920.80762834000006</v>
      </c>
      <c r="T63" s="62">
        <f t="shared" si="69"/>
        <v>1001.98051419</v>
      </c>
      <c r="U63" s="101">
        <f t="shared" si="69"/>
        <v>4045.2203300199999</v>
      </c>
      <c r="W63" s="62">
        <f t="shared" ref="W63:AB63" si="70">SUM(W7:W62)</f>
        <v>1173.2561867700001</v>
      </c>
      <c r="X63" s="62">
        <f t="shared" si="70"/>
        <v>1125.5441614700001</v>
      </c>
      <c r="Y63" s="62">
        <f t="shared" si="70"/>
        <v>1137.9701698325</v>
      </c>
      <c r="Z63" s="62">
        <f t="shared" si="70"/>
        <v>1280.0316882200002</v>
      </c>
      <c r="AA63" s="62">
        <f t="shared" si="70"/>
        <v>1150.7051543858161</v>
      </c>
      <c r="AB63" s="101">
        <f t="shared" si="70"/>
        <v>5867.5073606783162</v>
      </c>
      <c r="AD63" s="62">
        <f>SUM(AD7:AD62)</f>
        <v>863.96508089999998</v>
      </c>
      <c r="AE63" s="62">
        <f>SUM(AE7:AE62)</f>
        <v>1114.4340385719292</v>
      </c>
      <c r="AF63" s="62">
        <f>SUM(AF7:AF62)</f>
        <v>1331.7547815739599</v>
      </c>
      <c r="AG63" s="62">
        <f>SUM(AG7:AG62)</f>
        <v>1842.4279339482005</v>
      </c>
      <c r="AH63" s="62">
        <f>SUM(AH7:AH62)</f>
        <v>606.95995380333238</v>
      </c>
      <c r="AI63" s="101">
        <f t="shared" si="5"/>
        <v>5759.5417887974218</v>
      </c>
      <c r="AK63" s="101">
        <f>SUM(AK7:AK62)</f>
        <v>17698.759592565741</v>
      </c>
      <c r="AL63" s="11"/>
      <c r="AM63" s="108">
        <f t="shared" ref="AM63:AR63" si="71">SUM(AM7:AM62)</f>
        <v>286.27033762999997</v>
      </c>
      <c r="AN63" s="132">
        <f t="shared" si="71"/>
        <v>6716.6269531100006</v>
      </c>
      <c r="AO63" s="132">
        <f t="shared" si="71"/>
        <v>1489.0393124</v>
      </c>
      <c r="AP63" s="159">
        <f t="shared" si="71"/>
        <v>475.60360345000004</v>
      </c>
      <c r="AQ63" s="110">
        <f t="shared" si="71"/>
        <v>229.47483100000002</v>
      </c>
      <c r="AR63" s="110">
        <f t="shared" si="71"/>
        <v>215.25867</v>
      </c>
      <c r="AS63" s="110">
        <f>SUM(AM63:AR63)</f>
        <v>9412.2737075899986</v>
      </c>
      <c r="AU63" s="101">
        <f>SUM(AU7:AU62)</f>
        <v>27111.033300155741</v>
      </c>
    </row>
    <row r="64" spans="1:47" ht="13.5" thickBot="1" x14ac:dyDescent="0.25">
      <c r="A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5"/>
      <c r="Q64" s="15"/>
      <c r="R64" s="15"/>
      <c r="S64" s="15"/>
      <c r="T64" s="15"/>
      <c r="U64" s="15"/>
      <c r="W64" s="63"/>
      <c r="X64" s="63"/>
      <c r="Y64" s="63"/>
      <c r="Z64" s="63"/>
      <c r="AA64" s="63"/>
      <c r="AB64" s="15"/>
      <c r="AD64" s="63"/>
      <c r="AE64" s="63"/>
      <c r="AF64" s="145"/>
      <c r="AG64" s="145"/>
      <c r="AH64" s="145"/>
      <c r="AI64" s="15"/>
      <c r="AK64" s="15"/>
      <c r="AL64" s="11"/>
      <c r="AM64" s="15"/>
      <c r="AN64" s="104"/>
      <c r="AO64" s="104"/>
      <c r="AP64" s="165"/>
      <c r="AQ64" s="165"/>
      <c r="AR64" s="104"/>
      <c r="AS64" s="15"/>
      <c r="AU64" s="15"/>
    </row>
    <row r="65" spans="1:47" ht="13.5" thickBot="1" x14ac:dyDescent="0.25">
      <c r="A65" s="38" t="s">
        <v>69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86">
        <f t="shared" ref="N65:N67" si="72">SUM(C65:M65)</f>
        <v>0</v>
      </c>
      <c r="P65" s="65"/>
      <c r="Q65" s="65"/>
      <c r="R65" s="65"/>
      <c r="S65" s="65"/>
      <c r="T65" s="65"/>
      <c r="U65" s="86">
        <f t="shared" ref="U65:U67" si="73">SUM(P65:T65)</f>
        <v>0</v>
      </c>
      <c r="W65" s="65"/>
      <c r="X65" s="65"/>
      <c r="Y65" s="65"/>
      <c r="Z65" s="65"/>
      <c r="AA65" s="65"/>
      <c r="AB65" s="86">
        <f t="shared" ref="AB65:AB67" si="74">SUM(W65:AA65)</f>
        <v>0</v>
      </c>
      <c r="AD65" s="65"/>
      <c r="AE65" s="65"/>
      <c r="AF65" s="146"/>
      <c r="AG65" s="146"/>
      <c r="AH65" s="146"/>
      <c r="AI65" s="86">
        <f t="shared" si="5"/>
        <v>0</v>
      </c>
      <c r="AK65" s="93">
        <f t="shared" ref="AK65:AK126" si="75">SUM(AB65,U65,N65,AI65)</f>
        <v>0</v>
      </c>
      <c r="AL65" s="32"/>
      <c r="AM65" s="105"/>
      <c r="AN65" s="129">
        <v>0.1</v>
      </c>
      <c r="AO65" s="129"/>
      <c r="AP65" s="156"/>
      <c r="AQ65" s="152"/>
      <c r="AR65" s="152"/>
      <c r="AS65" s="112">
        <f t="shared" ref="AS65:AS96" si="76">SUM(AM65:AQ65)</f>
        <v>0.1</v>
      </c>
      <c r="AU65" s="93">
        <f t="shared" ref="AU65:AU96" si="77">SUM(AK65,AS65)</f>
        <v>0.1</v>
      </c>
    </row>
    <row r="66" spans="1:47" ht="13.5" thickBot="1" x14ac:dyDescent="0.25">
      <c r="A66" s="16" t="s">
        <v>70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>SUM(C66:M66)</f>
        <v>0</v>
      </c>
      <c r="P66" s="67"/>
      <c r="Q66" s="67"/>
      <c r="R66" s="67"/>
      <c r="S66" s="67"/>
      <c r="T66" s="67"/>
      <c r="U66" s="87">
        <f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>SUM(W66:AA66)</f>
        <v>1</v>
      </c>
      <c r="AD66" s="68"/>
      <c r="AE66" s="68"/>
      <c r="AF66" s="147"/>
      <c r="AG66" s="147"/>
      <c r="AH66" s="147"/>
      <c r="AI66" s="87">
        <f t="shared" si="5"/>
        <v>0</v>
      </c>
      <c r="AK66" s="94">
        <f>SUM(AB66,U66,N66,AI66)</f>
        <v>1</v>
      </c>
      <c r="AL66" s="32"/>
      <c r="AM66" s="106"/>
      <c r="AN66" s="130"/>
      <c r="AO66" s="130"/>
      <c r="AP66" s="157"/>
      <c r="AQ66" s="153"/>
      <c r="AR66" s="153"/>
      <c r="AS66" s="113">
        <f t="shared" si="76"/>
        <v>0</v>
      </c>
      <c r="AU66" s="94">
        <f t="shared" si="77"/>
        <v>1</v>
      </c>
    </row>
    <row r="67" spans="1:47" ht="13.5" thickBot="1" x14ac:dyDescent="0.25">
      <c r="A67" s="16" t="s">
        <v>71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72"/>
        <v>0</v>
      </c>
      <c r="P67" s="67"/>
      <c r="Q67" s="67"/>
      <c r="R67" s="67"/>
      <c r="S67" s="67"/>
      <c r="T67" s="67"/>
      <c r="U67" s="87">
        <f t="shared" si="73"/>
        <v>0</v>
      </c>
      <c r="W67" s="36"/>
      <c r="X67" s="36"/>
      <c r="Y67" s="36"/>
      <c r="Z67" s="36"/>
      <c r="AA67" s="68"/>
      <c r="AB67" s="87">
        <f t="shared" si="74"/>
        <v>0</v>
      </c>
      <c r="AD67" s="68"/>
      <c r="AE67" s="68"/>
      <c r="AF67" s="147"/>
      <c r="AG67" s="147"/>
      <c r="AH67" s="147"/>
      <c r="AI67" s="87">
        <f t="shared" si="5"/>
        <v>0</v>
      </c>
      <c r="AK67" s="94">
        <f t="shared" si="75"/>
        <v>0</v>
      </c>
      <c r="AL67" s="32"/>
      <c r="AM67" s="106"/>
      <c r="AN67" s="130">
        <v>0.25</v>
      </c>
      <c r="AO67" s="130"/>
      <c r="AP67" s="157"/>
      <c r="AQ67" s="153"/>
      <c r="AR67" s="153"/>
      <c r="AS67" s="113">
        <f t="shared" si="76"/>
        <v>0.25</v>
      </c>
      <c r="AU67" s="94">
        <f t="shared" si="77"/>
        <v>0.25</v>
      </c>
    </row>
    <row r="68" spans="1:47" ht="13.5" thickBot="1" x14ac:dyDescent="0.25">
      <c r="A68" s="16" t="s">
        <v>72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:N126" si="78">SUM(C68:M68)</f>
        <v>0</v>
      </c>
      <c r="P68" s="67"/>
      <c r="Q68" s="67"/>
      <c r="R68" s="67"/>
      <c r="S68" s="67"/>
      <c r="T68" s="67"/>
      <c r="U68" s="87">
        <f t="shared" ref="U68:U126" si="79">SUM(P68:T68)</f>
        <v>0</v>
      </c>
      <c r="W68" s="36">
        <v>0.20119999999999999</v>
      </c>
      <c r="X68" s="36">
        <v>0.20119999999999999</v>
      </c>
      <c r="Y68" s="36">
        <v>0.20119999999999999</v>
      </c>
      <c r="Z68" s="36">
        <v>0.20119999999999999</v>
      </c>
      <c r="AA68" s="68">
        <f>2+0.2012</f>
        <v>2.2012</v>
      </c>
      <c r="AB68" s="87">
        <f t="shared" ref="AB68:AB126" si="80">SUM(W68:AA68)</f>
        <v>3.0060000000000002</v>
      </c>
      <c r="AD68" s="68">
        <v>1</v>
      </c>
      <c r="AE68" s="68"/>
      <c r="AF68" s="147"/>
      <c r="AG68" s="147"/>
      <c r="AH68" s="147"/>
      <c r="AI68" s="87">
        <f t="shared" si="5"/>
        <v>1</v>
      </c>
      <c r="AK68" s="94">
        <f t="shared" si="75"/>
        <v>4.0060000000000002</v>
      </c>
      <c r="AL68" s="32"/>
      <c r="AM68" s="106"/>
      <c r="AN68" s="130"/>
      <c r="AO68" s="130"/>
      <c r="AP68" s="157"/>
      <c r="AQ68" s="153"/>
      <c r="AR68" s="153"/>
      <c r="AS68" s="113">
        <f t="shared" si="76"/>
        <v>0</v>
      </c>
      <c r="AU68" s="94">
        <f t="shared" si="77"/>
        <v>4.0060000000000002</v>
      </c>
    </row>
    <row r="69" spans="1:47" ht="13.5" thickBot="1" x14ac:dyDescent="0.25">
      <c r="A69" s="16" t="s">
        <v>73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81">SUM(C69:M69)</f>
        <v>0</v>
      </c>
      <c r="P69" s="67"/>
      <c r="Q69" s="67"/>
      <c r="R69" s="67"/>
      <c r="S69" s="67"/>
      <c r="T69" s="67"/>
      <c r="U69" s="87">
        <f t="shared" ref="U69" si="82">SUM(P69:T69)</f>
        <v>0</v>
      </c>
      <c r="W69" s="36"/>
      <c r="X69" s="36"/>
      <c r="Y69" s="36"/>
      <c r="Z69" s="36"/>
      <c r="AA69" s="68"/>
      <c r="AB69" s="87">
        <f t="shared" ref="AB69" si="83">SUM(W69:AA69)</f>
        <v>0</v>
      </c>
      <c r="AD69" s="68"/>
      <c r="AE69" s="68"/>
      <c r="AF69" s="147"/>
      <c r="AG69" s="147"/>
      <c r="AH69" s="147"/>
      <c r="AI69" s="87">
        <f t="shared" si="5"/>
        <v>0</v>
      </c>
      <c r="AK69" s="94">
        <f>SUM(AB69,U69,N69,AI69)</f>
        <v>0</v>
      </c>
      <c r="AL69" s="32"/>
      <c r="AM69" s="106"/>
      <c r="AN69" s="130">
        <v>0.98066372000000002</v>
      </c>
      <c r="AO69" s="130"/>
      <c r="AP69" s="157"/>
      <c r="AQ69" s="153"/>
      <c r="AR69" s="153"/>
      <c r="AS69" s="113">
        <f t="shared" si="76"/>
        <v>0.98066372000000002</v>
      </c>
      <c r="AU69" s="94">
        <f t="shared" si="77"/>
        <v>0.98066372000000002</v>
      </c>
    </row>
    <row r="70" spans="1:47" ht="13.5" thickBot="1" x14ac:dyDescent="0.25">
      <c r="A70" s="16" t="s">
        <v>74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ref="N70" si="84">SUM(C70:M70)</f>
        <v>0</v>
      </c>
      <c r="P70" s="67"/>
      <c r="Q70" s="67"/>
      <c r="R70" s="67"/>
      <c r="S70" s="67"/>
      <c r="T70" s="67"/>
      <c r="U70" s="87">
        <f t="shared" ref="U70" si="85">SUM(P70:T70)</f>
        <v>0</v>
      </c>
      <c r="W70" s="36"/>
      <c r="X70" s="36"/>
      <c r="Y70" s="36"/>
      <c r="Z70" s="36"/>
      <c r="AA70" s="68"/>
      <c r="AB70" s="87">
        <f t="shared" ref="AB70" si="86">SUM(W70:AA70)</f>
        <v>0</v>
      </c>
      <c r="AD70" s="68">
        <v>0.55156000000000005</v>
      </c>
      <c r="AE70" s="68">
        <v>0.43956623</v>
      </c>
      <c r="AF70" s="147">
        <f>0.33288042+0.62775</f>
        <v>0.96063041999999998</v>
      </c>
      <c r="AG70" s="147">
        <v>0.61714999999999998</v>
      </c>
      <c r="AH70" s="147"/>
      <c r="AI70" s="87">
        <f t="shared" si="5"/>
        <v>2.5689066500000002</v>
      </c>
      <c r="AK70" s="94">
        <f t="shared" ref="AK70" si="87">SUM(AB70,U70,N70,AI70)</f>
        <v>2.5689066500000002</v>
      </c>
      <c r="AL70" s="32"/>
      <c r="AM70" s="106"/>
      <c r="AN70" s="130"/>
      <c r="AO70" s="130"/>
      <c r="AP70" s="157"/>
      <c r="AQ70" s="153"/>
      <c r="AR70" s="153"/>
      <c r="AS70" s="113">
        <f t="shared" si="76"/>
        <v>0</v>
      </c>
      <c r="AU70" s="94">
        <f t="shared" si="77"/>
        <v>2.5689066500000002</v>
      </c>
    </row>
    <row r="71" spans="1:47" ht="13.5" thickBot="1" x14ac:dyDescent="0.25">
      <c r="A71" s="16" t="s">
        <v>75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87">
        <f t="shared" si="78"/>
        <v>0</v>
      </c>
      <c r="P71" s="67"/>
      <c r="Q71" s="67"/>
      <c r="R71" s="67"/>
      <c r="S71" s="67"/>
      <c r="T71" s="67"/>
      <c r="U71" s="87">
        <f t="shared" si="79"/>
        <v>0</v>
      </c>
      <c r="W71" s="36"/>
      <c r="X71" s="36"/>
      <c r="Y71" s="36"/>
      <c r="Z71" s="36"/>
      <c r="AA71" s="68"/>
      <c r="AB71" s="87">
        <f t="shared" si="80"/>
        <v>0</v>
      </c>
      <c r="AD71" s="68"/>
      <c r="AE71" s="68"/>
      <c r="AF71" s="147"/>
      <c r="AG71" s="147"/>
      <c r="AH71" s="147"/>
      <c r="AI71" s="87">
        <f t="shared" si="5"/>
        <v>0</v>
      </c>
      <c r="AK71" s="94">
        <f t="shared" si="75"/>
        <v>0</v>
      </c>
      <c r="AL71" s="32"/>
      <c r="AM71" s="106"/>
      <c r="AN71" s="130">
        <f>0.05+1.45</f>
        <v>1.5</v>
      </c>
      <c r="AO71" s="130"/>
      <c r="AP71" s="157"/>
      <c r="AQ71" s="153"/>
      <c r="AR71" s="153"/>
      <c r="AS71" s="113">
        <f t="shared" si="76"/>
        <v>1.5</v>
      </c>
      <c r="AU71" s="94">
        <f t="shared" si="77"/>
        <v>1.5</v>
      </c>
    </row>
    <row r="72" spans="1:47" ht="13.5" thickBot="1" x14ac:dyDescent="0.25">
      <c r="A72" s="16" t="s">
        <v>76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87">
        <f t="shared" ref="N72:N80" si="88">SUM(C72:M72)</f>
        <v>0</v>
      </c>
      <c r="P72" s="67"/>
      <c r="Q72" s="67"/>
      <c r="R72" s="67"/>
      <c r="S72" s="67"/>
      <c r="T72" s="67"/>
      <c r="U72" s="87">
        <f t="shared" ref="U72:U80" si="89">SUM(P72:T72)</f>
        <v>0</v>
      </c>
      <c r="W72" s="36"/>
      <c r="X72" s="36"/>
      <c r="Y72" s="36"/>
      <c r="Z72" s="36"/>
      <c r="AA72" s="68"/>
      <c r="AB72" s="87">
        <f t="shared" ref="AB72:AB80" si="90">SUM(W72:AA72)</f>
        <v>0</v>
      </c>
      <c r="AD72" s="68"/>
      <c r="AE72" s="68"/>
      <c r="AF72" s="147"/>
      <c r="AG72" s="147"/>
      <c r="AH72" s="147"/>
      <c r="AI72" s="87">
        <f t="shared" ref="AI72:AI127" si="91">SUM(AD72:AH72)</f>
        <v>0</v>
      </c>
      <c r="AK72" s="94">
        <f t="shared" si="75"/>
        <v>0</v>
      </c>
      <c r="AL72" s="32"/>
      <c r="AM72" s="106"/>
      <c r="AN72" s="130">
        <v>0.15115912000000001</v>
      </c>
      <c r="AO72" s="130"/>
      <c r="AP72" s="157"/>
      <c r="AQ72" s="153"/>
      <c r="AR72" s="153"/>
      <c r="AS72" s="113">
        <f t="shared" si="76"/>
        <v>0.15115912000000001</v>
      </c>
      <c r="AU72" s="94">
        <f t="shared" si="77"/>
        <v>0.15115912000000001</v>
      </c>
    </row>
    <row r="73" spans="1:47" ht="13.5" thickBot="1" x14ac:dyDescent="0.25">
      <c r="A73" s="16" t="s">
        <v>77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si="88"/>
        <v>0</v>
      </c>
      <c r="P73" s="67"/>
      <c r="Q73" s="67"/>
      <c r="R73" s="67"/>
      <c r="S73" s="67"/>
      <c r="T73" s="67"/>
      <c r="U73" s="87">
        <f t="shared" si="89"/>
        <v>0</v>
      </c>
      <c r="W73" s="36"/>
      <c r="X73" s="36"/>
      <c r="Y73" s="36"/>
      <c r="Z73" s="36"/>
      <c r="AA73" s="68"/>
      <c r="AB73" s="87">
        <f t="shared" si="90"/>
        <v>0</v>
      </c>
      <c r="AD73" s="68"/>
      <c r="AE73" s="68"/>
      <c r="AF73" s="147"/>
      <c r="AG73" s="147"/>
      <c r="AH73" s="147"/>
      <c r="AI73" s="87">
        <f t="shared" si="91"/>
        <v>0</v>
      </c>
      <c r="AK73" s="94">
        <f t="shared" si="75"/>
        <v>0</v>
      </c>
      <c r="AL73" s="32"/>
      <c r="AM73" s="106"/>
      <c r="AN73" s="130">
        <v>0.25</v>
      </c>
      <c r="AO73" s="130"/>
      <c r="AP73" s="157"/>
      <c r="AQ73" s="153"/>
      <c r="AR73" s="153"/>
      <c r="AS73" s="113">
        <f t="shared" si="76"/>
        <v>0.25</v>
      </c>
      <c r="AU73" s="94">
        <f t="shared" si="77"/>
        <v>0.25</v>
      </c>
    </row>
    <row r="74" spans="1:47" ht="13.5" thickBot="1" x14ac:dyDescent="0.25">
      <c r="A74" s="16" t="s">
        <v>78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ref="N74" si="92">SUM(C74:M74)</f>
        <v>0</v>
      </c>
      <c r="P74" s="67"/>
      <c r="Q74" s="67"/>
      <c r="R74" s="67"/>
      <c r="S74" s="67"/>
      <c r="T74" s="67"/>
      <c r="U74" s="87">
        <f t="shared" ref="U74" si="93">SUM(P74:T74)</f>
        <v>0</v>
      </c>
      <c r="W74" s="36"/>
      <c r="X74" s="36"/>
      <c r="Y74" s="36"/>
      <c r="Z74" s="36"/>
      <c r="AA74" s="68"/>
      <c r="AB74" s="87">
        <f t="shared" ref="AB74" si="94">SUM(W74:AA74)</f>
        <v>0</v>
      </c>
      <c r="AD74" s="68"/>
      <c r="AE74" s="68"/>
      <c r="AF74" s="147"/>
      <c r="AG74" s="147"/>
      <c r="AH74" s="147"/>
      <c r="AI74" s="87">
        <f t="shared" si="91"/>
        <v>0</v>
      </c>
      <c r="AK74" s="94">
        <f t="shared" ref="AK74" si="95">SUM(AB74,U74,N74,AI74)</f>
        <v>0</v>
      </c>
      <c r="AL74" s="32"/>
      <c r="AM74" s="106"/>
      <c r="AN74" s="130">
        <f>0.59467859+0.02277043</f>
        <v>0.61744902000000002</v>
      </c>
      <c r="AO74" s="130"/>
      <c r="AP74" s="157"/>
      <c r="AQ74" s="153">
        <v>0.25011288999999998</v>
      </c>
      <c r="AR74" s="153"/>
      <c r="AS74" s="113">
        <f t="shared" si="76"/>
        <v>0.86756191000000005</v>
      </c>
      <c r="AU74" s="94">
        <f t="shared" si="77"/>
        <v>0.86756191000000005</v>
      </c>
    </row>
    <row r="75" spans="1:47" ht="26.25" thickBot="1" x14ac:dyDescent="0.25">
      <c r="A75" s="16" t="s">
        <v>79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si="88"/>
        <v>0</v>
      </c>
      <c r="P75" s="67"/>
      <c r="Q75" s="67">
        <v>4.3</v>
      </c>
      <c r="R75" s="67">
        <v>2.2000000000000002</v>
      </c>
      <c r="S75" s="67">
        <v>12.775399999999999</v>
      </c>
      <c r="T75" s="67">
        <v>12.5</v>
      </c>
      <c r="U75" s="87">
        <f t="shared" si="89"/>
        <v>31.775399999999998</v>
      </c>
      <c r="W75" s="36"/>
      <c r="X75" s="36"/>
      <c r="Y75" s="68">
        <v>3.0599999999999999E-2</v>
      </c>
      <c r="Z75" s="36"/>
      <c r="AA75" s="68"/>
      <c r="AB75" s="87">
        <f t="shared" si="90"/>
        <v>3.0599999999999999E-2</v>
      </c>
      <c r="AD75" s="68"/>
      <c r="AE75" s="68"/>
      <c r="AF75" s="147"/>
      <c r="AG75" s="147"/>
      <c r="AH75" s="147"/>
      <c r="AI75" s="87">
        <f t="shared" si="91"/>
        <v>0</v>
      </c>
      <c r="AK75" s="94">
        <f t="shared" si="75"/>
        <v>31.805999999999997</v>
      </c>
      <c r="AL75" s="32"/>
      <c r="AM75" s="106"/>
      <c r="AN75" s="130"/>
      <c r="AO75" s="130"/>
      <c r="AP75" s="157"/>
      <c r="AQ75" s="153"/>
      <c r="AR75" s="153"/>
      <c r="AS75" s="113">
        <f t="shared" si="76"/>
        <v>0</v>
      </c>
      <c r="AU75" s="94">
        <f t="shared" si="77"/>
        <v>31.805999999999997</v>
      </c>
    </row>
    <row r="76" spans="1:47" ht="26.25" thickBot="1" x14ac:dyDescent="0.25">
      <c r="A76" s="34" t="s">
        <v>80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 t="shared" ref="N76" si="96">SUM(C76:M76)</f>
        <v>0</v>
      </c>
      <c r="P76" s="67"/>
      <c r="Q76" s="67">
        <v>1.5</v>
      </c>
      <c r="R76" s="67">
        <v>2.5</v>
      </c>
      <c r="S76" s="67">
        <v>2</v>
      </c>
      <c r="T76" s="67">
        <v>1</v>
      </c>
      <c r="U76" s="87">
        <f t="shared" ref="U76" si="97">SUM(P76:T76)</f>
        <v>7</v>
      </c>
      <c r="W76" s="36">
        <v>1.2</v>
      </c>
      <c r="X76" s="36">
        <v>1</v>
      </c>
      <c r="Y76" s="36"/>
      <c r="Z76" s="36">
        <v>2.0000499999999999</v>
      </c>
      <c r="AA76" s="68"/>
      <c r="AB76" s="87">
        <f t="shared" ref="AB76" si="98">SUM(W76:AA76)</f>
        <v>4.2000500000000001</v>
      </c>
      <c r="AD76" s="68"/>
      <c r="AE76" s="68"/>
      <c r="AF76" s="147"/>
      <c r="AG76" s="147">
        <v>3</v>
      </c>
      <c r="AH76" s="147">
        <v>3.5</v>
      </c>
      <c r="AI76" s="87">
        <f t="shared" si="91"/>
        <v>6.5</v>
      </c>
      <c r="AK76" s="94">
        <f t="shared" si="75"/>
        <v>17.700050000000001</v>
      </c>
      <c r="AL76" s="32"/>
      <c r="AM76" s="106"/>
      <c r="AN76" s="130"/>
      <c r="AO76" s="130"/>
      <c r="AP76" s="157"/>
      <c r="AQ76" s="153"/>
      <c r="AR76" s="153"/>
      <c r="AS76" s="113">
        <f t="shared" si="76"/>
        <v>0</v>
      </c>
      <c r="AU76" s="94">
        <f t="shared" si="77"/>
        <v>17.700050000000001</v>
      </c>
    </row>
    <row r="77" spans="1:47" ht="15" thickBot="1" x14ac:dyDescent="0.25">
      <c r="A77" s="34" t="s">
        <v>81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99">SUM(C77:M77)</f>
        <v>0</v>
      </c>
      <c r="P77" s="67"/>
      <c r="Q77" s="67"/>
      <c r="R77" s="67"/>
      <c r="S77" s="67"/>
      <c r="T77" s="67"/>
      <c r="U77" s="87">
        <f t="shared" ref="U77" si="100">SUM(P77:T77)</f>
        <v>0</v>
      </c>
      <c r="W77" s="36"/>
      <c r="X77" s="36"/>
      <c r="Y77" s="36"/>
      <c r="Z77" s="36"/>
      <c r="AA77" s="68"/>
      <c r="AB77" s="87">
        <f t="shared" ref="AB77" si="101">SUM(W77:AA77)</f>
        <v>0</v>
      </c>
      <c r="AD77" s="68"/>
      <c r="AE77" s="68"/>
      <c r="AF77" s="147">
        <v>0.25</v>
      </c>
      <c r="AG77" s="147"/>
      <c r="AH77" s="147"/>
      <c r="AI77" s="87">
        <f t="shared" si="91"/>
        <v>0.25</v>
      </c>
      <c r="AK77" s="94">
        <f t="shared" ref="AK77" si="102">SUM(AB77,U77,N77,AI77)</f>
        <v>0.25</v>
      </c>
      <c r="AL77" s="32"/>
      <c r="AM77" s="106"/>
      <c r="AN77" s="130">
        <v>5</v>
      </c>
      <c r="AO77" s="130"/>
      <c r="AP77" s="157"/>
      <c r="AQ77" s="153"/>
      <c r="AR77" s="153"/>
      <c r="AS77" s="113">
        <f t="shared" si="76"/>
        <v>5</v>
      </c>
      <c r="AU77" s="94">
        <f t="shared" si="77"/>
        <v>5.25</v>
      </c>
    </row>
    <row r="78" spans="1:47" ht="13.5" thickBot="1" x14ac:dyDescent="0.25">
      <c r="A78" s="16" t="s">
        <v>82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>SUM(C78:M78)</f>
        <v>0</v>
      </c>
      <c r="P78" s="67"/>
      <c r="Q78" s="67"/>
      <c r="R78" s="67"/>
      <c r="S78" s="67"/>
      <c r="T78" s="67"/>
      <c r="U78" s="87">
        <f>SUM(P78:T78)</f>
        <v>0</v>
      </c>
      <c r="W78" s="36"/>
      <c r="X78" s="36"/>
      <c r="Y78" s="36"/>
      <c r="Z78" s="36"/>
      <c r="AA78" s="68"/>
      <c r="AB78" s="87">
        <f>SUM(W78:AA78)</f>
        <v>0</v>
      </c>
      <c r="AD78" s="68"/>
      <c r="AE78" s="68"/>
      <c r="AF78" s="147"/>
      <c r="AG78" s="147"/>
      <c r="AH78" s="147">
        <v>0.45</v>
      </c>
      <c r="AI78" s="87">
        <f t="shared" si="91"/>
        <v>0.45</v>
      </c>
      <c r="AK78" s="94">
        <f t="shared" si="75"/>
        <v>0.45</v>
      </c>
      <c r="AL78" s="32"/>
      <c r="AM78" s="106"/>
      <c r="AN78" s="130">
        <v>0.5</v>
      </c>
      <c r="AO78" s="130"/>
      <c r="AP78" s="157"/>
      <c r="AQ78" s="153"/>
      <c r="AR78" s="153"/>
      <c r="AS78" s="113">
        <f t="shared" si="76"/>
        <v>0.5</v>
      </c>
      <c r="AU78" s="94">
        <f t="shared" si="77"/>
        <v>0.95</v>
      </c>
    </row>
    <row r="79" spans="1:47" ht="13.5" thickBot="1" x14ac:dyDescent="0.25">
      <c r="A79" s="16" t="s">
        <v>83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 t="shared" ref="N79" si="103">SUM(C79:M79)</f>
        <v>0</v>
      </c>
      <c r="P79" s="67"/>
      <c r="Q79" s="67"/>
      <c r="R79" s="67"/>
      <c r="S79" s="67"/>
      <c r="T79" s="67"/>
      <c r="U79" s="87">
        <f t="shared" ref="U79" si="104">SUM(P79:T79)</f>
        <v>0</v>
      </c>
      <c r="W79" s="36"/>
      <c r="X79" s="36"/>
      <c r="Y79" s="36"/>
      <c r="Z79" s="36"/>
      <c r="AA79" s="68"/>
      <c r="AB79" s="87">
        <f t="shared" ref="AB79" si="105">SUM(W79:AA79)</f>
        <v>0</v>
      </c>
      <c r="AD79" s="68"/>
      <c r="AE79" s="68"/>
      <c r="AF79" s="147"/>
      <c r="AG79" s="147"/>
      <c r="AH79" s="147"/>
      <c r="AI79" s="87">
        <f t="shared" si="91"/>
        <v>0</v>
      </c>
      <c r="AK79" s="94">
        <f t="shared" ref="AK79" si="106">SUM(AB79,U79,N79,AI79)</f>
        <v>0</v>
      </c>
      <c r="AL79" s="32"/>
      <c r="AM79" s="106"/>
      <c r="AN79" s="130">
        <v>0.05</v>
      </c>
      <c r="AO79" s="130">
        <v>0.24644740000000001</v>
      </c>
      <c r="AP79" s="157"/>
      <c r="AQ79" s="153"/>
      <c r="AR79" s="153"/>
      <c r="AS79" s="113">
        <f t="shared" si="76"/>
        <v>0.29644740000000003</v>
      </c>
      <c r="AU79" s="94">
        <f t="shared" si="77"/>
        <v>0.29644740000000003</v>
      </c>
    </row>
    <row r="80" spans="1:47" ht="26.25" thickBot="1" x14ac:dyDescent="0.25">
      <c r="A80" s="16" t="s">
        <v>84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si="88"/>
        <v>0</v>
      </c>
      <c r="P80" s="67"/>
      <c r="Q80" s="67"/>
      <c r="R80" s="67"/>
      <c r="S80" s="67"/>
      <c r="T80" s="67"/>
      <c r="U80" s="87">
        <f t="shared" si="89"/>
        <v>0</v>
      </c>
      <c r="W80" s="36"/>
      <c r="X80" s="36"/>
      <c r="Y80" s="36"/>
      <c r="Z80" s="36"/>
      <c r="AA80" s="68"/>
      <c r="AB80" s="87">
        <f t="shared" si="90"/>
        <v>0</v>
      </c>
      <c r="AD80" s="68"/>
      <c r="AE80" s="68"/>
      <c r="AF80" s="147"/>
      <c r="AG80" s="147"/>
      <c r="AH80" s="147"/>
      <c r="AI80" s="87">
        <f t="shared" si="91"/>
        <v>0</v>
      </c>
      <c r="AK80" s="94">
        <f t="shared" si="75"/>
        <v>0</v>
      </c>
      <c r="AL80" s="32"/>
      <c r="AM80" s="106"/>
      <c r="AN80" s="130">
        <v>0.1</v>
      </c>
      <c r="AO80" s="130"/>
      <c r="AP80" s="157"/>
      <c r="AQ80" s="153"/>
      <c r="AR80" s="153"/>
      <c r="AS80" s="113">
        <f t="shared" si="76"/>
        <v>0.1</v>
      </c>
      <c r="AU80" s="94">
        <f t="shared" si="77"/>
        <v>0.1</v>
      </c>
    </row>
    <row r="81" spans="1:47" ht="13.5" thickBot="1" x14ac:dyDescent="0.25">
      <c r="A81" s="16" t="s">
        <v>85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ref="N81" si="107">SUM(C81:M81)</f>
        <v>0</v>
      </c>
      <c r="P81" s="67"/>
      <c r="Q81" s="67"/>
      <c r="R81" s="67"/>
      <c r="S81" s="67"/>
      <c r="T81" s="67"/>
      <c r="U81" s="87">
        <f t="shared" ref="U81" si="108">SUM(P81:T81)</f>
        <v>0</v>
      </c>
      <c r="W81" s="36"/>
      <c r="X81" s="36"/>
      <c r="Y81" s="36"/>
      <c r="Z81" s="36"/>
      <c r="AA81" s="68"/>
      <c r="AB81" s="87">
        <f t="shared" ref="AB81" si="109">SUM(W81:AA81)</f>
        <v>0</v>
      </c>
      <c r="AD81" s="68"/>
      <c r="AE81" s="68"/>
      <c r="AF81" s="147"/>
      <c r="AG81" s="147"/>
      <c r="AH81" s="147"/>
      <c r="AI81" s="87">
        <f t="shared" si="91"/>
        <v>0</v>
      </c>
      <c r="AK81" s="94">
        <f t="shared" ref="AK81" si="110">SUM(AB81,U81,N81,AI81)</f>
        <v>0</v>
      </c>
      <c r="AL81" s="32"/>
      <c r="AM81" s="106"/>
      <c r="AN81" s="130"/>
      <c r="AO81" s="130">
        <v>0.23205000000000001</v>
      </c>
      <c r="AP81" s="157"/>
      <c r="AQ81" s="153"/>
      <c r="AR81" s="153"/>
      <c r="AS81" s="113">
        <f t="shared" si="76"/>
        <v>0.23205000000000001</v>
      </c>
      <c r="AU81" s="94">
        <f t="shared" si="77"/>
        <v>0.23205000000000001</v>
      </c>
    </row>
    <row r="82" spans="1:47" ht="13.5" thickBot="1" x14ac:dyDescent="0.25">
      <c r="A82" s="16" t="s">
        <v>86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ref="N82" si="111">SUM(C82:M82)</f>
        <v>0</v>
      </c>
      <c r="P82" s="67"/>
      <c r="Q82" s="67"/>
      <c r="R82" s="67"/>
      <c r="S82" s="67"/>
      <c r="T82" s="67"/>
      <c r="U82" s="87">
        <f t="shared" ref="U82" si="112">SUM(P82:T82)</f>
        <v>0</v>
      </c>
      <c r="W82" s="36"/>
      <c r="X82" s="36"/>
      <c r="Y82" s="36"/>
      <c r="Z82" s="36"/>
      <c r="AA82" s="68"/>
      <c r="AB82" s="87">
        <f t="shared" ref="AB82" si="113">SUM(W82:AA82)</f>
        <v>0</v>
      </c>
      <c r="AD82" s="68"/>
      <c r="AE82" s="68"/>
      <c r="AF82" s="147"/>
      <c r="AG82" s="147"/>
      <c r="AH82" s="147"/>
      <c r="AI82" s="87">
        <f t="shared" si="91"/>
        <v>0</v>
      </c>
      <c r="AK82" s="94">
        <f t="shared" si="75"/>
        <v>0</v>
      </c>
      <c r="AL82" s="32"/>
      <c r="AM82" s="106"/>
      <c r="AN82" s="130">
        <v>0.1</v>
      </c>
      <c r="AO82" s="130"/>
      <c r="AP82" s="157"/>
      <c r="AQ82" s="153"/>
      <c r="AR82" s="153"/>
      <c r="AS82" s="113">
        <f t="shared" si="76"/>
        <v>0.1</v>
      </c>
      <c r="AU82" s="94">
        <f t="shared" si="77"/>
        <v>0.1</v>
      </c>
    </row>
    <row r="83" spans="1:47" ht="26.25" customHeight="1" thickBot="1" x14ac:dyDescent="0.25">
      <c r="A83" s="34" t="s">
        <v>87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si="78"/>
        <v>0</v>
      </c>
      <c r="P83" s="67"/>
      <c r="Q83" s="67"/>
      <c r="R83" s="67"/>
      <c r="S83" s="67">
        <f>0.8+1.2</f>
        <v>2</v>
      </c>
      <c r="T83" s="68"/>
      <c r="U83" s="87">
        <f t="shared" si="79"/>
        <v>2</v>
      </c>
      <c r="W83" s="68"/>
      <c r="X83" s="68"/>
      <c r="Y83" s="68">
        <v>0.855078</v>
      </c>
      <c r="Z83" s="68"/>
      <c r="AA83" s="68">
        <v>0.31638899999999998</v>
      </c>
      <c r="AB83" s="87">
        <f t="shared" si="80"/>
        <v>1.171467</v>
      </c>
      <c r="AD83" s="68">
        <v>0.60479499999999997</v>
      </c>
      <c r="AE83" s="68"/>
      <c r="AF83" s="147">
        <v>0.5</v>
      </c>
      <c r="AG83" s="147">
        <v>0.2</v>
      </c>
      <c r="AH83" s="147">
        <v>0.2</v>
      </c>
      <c r="AI83" s="87">
        <f t="shared" si="91"/>
        <v>1.5047949999999999</v>
      </c>
      <c r="AK83" s="94">
        <f t="shared" si="75"/>
        <v>4.6762619999999995</v>
      </c>
      <c r="AL83" s="32"/>
      <c r="AM83" s="106"/>
      <c r="AN83" s="130"/>
      <c r="AO83" s="130"/>
      <c r="AP83" s="157"/>
      <c r="AQ83" s="153"/>
      <c r="AR83" s="153"/>
      <c r="AS83" s="113">
        <f t="shared" si="76"/>
        <v>0</v>
      </c>
      <c r="AU83" s="94">
        <f t="shared" si="77"/>
        <v>4.6762619999999995</v>
      </c>
    </row>
    <row r="84" spans="1:47" ht="13.5" thickBot="1" x14ac:dyDescent="0.25">
      <c r="A84" s="16" t="s">
        <v>88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87">
        <f t="shared" si="78"/>
        <v>0</v>
      </c>
      <c r="P84" s="67"/>
      <c r="Q84" s="67"/>
      <c r="R84" s="67"/>
      <c r="S84" s="67"/>
      <c r="T84" s="67"/>
      <c r="U84" s="87">
        <f t="shared" si="79"/>
        <v>0</v>
      </c>
      <c r="W84" s="36"/>
      <c r="X84" s="36"/>
      <c r="Y84" s="36"/>
      <c r="Z84" s="36"/>
      <c r="AA84" s="68"/>
      <c r="AB84" s="87">
        <f t="shared" si="80"/>
        <v>0</v>
      </c>
      <c r="AD84" s="68"/>
      <c r="AE84" s="68"/>
      <c r="AF84" s="147"/>
      <c r="AG84" s="147"/>
      <c r="AH84" s="147"/>
      <c r="AI84" s="87">
        <f t="shared" si="91"/>
        <v>0</v>
      </c>
      <c r="AK84" s="94">
        <f t="shared" si="75"/>
        <v>0</v>
      </c>
      <c r="AL84" s="32"/>
      <c r="AM84" s="106"/>
      <c r="AN84" s="130">
        <v>0.23271384000000001</v>
      </c>
      <c r="AO84" s="130"/>
      <c r="AP84" s="157"/>
      <c r="AQ84" s="153"/>
      <c r="AR84" s="153"/>
      <c r="AS84" s="113">
        <f t="shared" si="76"/>
        <v>0.23271384000000001</v>
      </c>
      <c r="AU84" s="94">
        <f t="shared" si="77"/>
        <v>0.23271384000000001</v>
      </c>
    </row>
    <row r="85" spans="1:47" ht="13.5" thickBot="1" x14ac:dyDescent="0.25">
      <c r="A85" s="16" t="s">
        <v>89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78"/>
        <v>0</v>
      </c>
      <c r="P85" s="67"/>
      <c r="Q85" s="67"/>
      <c r="R85" s="67"/>
      <c r="S85" s="67"/>
      <c r="T85" s="67"/>
      <c r="U85" s="87">
        <f t="shared" si="79"/>
        <v>0</v>
      </c>
      <c r="W85" s="36"/>
      <c r="X85" s="36"/>
      <c r="Y85" s="36"/>
      <c r="Z85" s="36"/>
      <c r="AA85" s="68"/>
      <c r="AB85" s="87">
        <f t="shared" si="80"/>
        <v>0</v>
      </c>
      <c r="AD85" s="68"/>
      <c r="AE85" s="68"/>
      <c r="AF85" s="147"/>
      <c r="AG85" s="147"/>
      <c r="AH85" s="147"/>
      <c r="AI85" s="87">
        <f t="shared" si="91"/>
        <v>0</v>
      </c>
      <c r="AK85" s="94">
        <f t="shared" si="75"/>
        <v>0</v>
      </c>
      <c r="AL85" s="32"/>
      <c r="AM85" s="106"/>
      <c r="AN85" s="130">
        <v>0.125</v>
      </c>
      <c r="AO85" s="130"/>
      <c r="AP85" s="157"/>
      <c r="AQ85" s="153"/>
      <c r="AR85" s="153"/>
      <c r="AS85" s="113">
        <f t="shared" si="76"/>
        <v>0.125</v>
      </c>
      <c r="AU85" s="94">
        <f t="shared" si="77"/>
        <v>0.125</v>
      </c>
    </row>
    <row r="86" spans="1:47" ht="13.5" thickBot="1" x14ac:dyDescent="0.25">
      <c r="A86" s="27" t="s">
        <v>90</v>
      </c>
      <c r="C86" s="42"/>
      <c r="D86" s="49"/>
      <c r="E86" s="42"/>
      <c r="F86" s="42"/>
      <c r="G86" s="49"/>
      <c r="H86" s="46"/>
      <c r="I86" s="42"/>
      <c r="J86" s="42"/>
      <c r="K86" s="47"/>
      <c r="L86" s="42"/>
      <c r="M86" s="42"/>
      <c r="N86" s="83">
        <f t="shared" ref="N86" si="114">SUM(C86:M86)</f>
        <v>0</v>
      </c>
      <c r="P86" s="42"/>
      <c r="Q86" s="48"/>
      <c r="R86" s="48"/>
      <c r="S86" s="48"/>
      <c r="T86" s="48"/>
      <c r="U86" s="83">
        <f t="shared" ref="U86" si="115">SUM(P86:T86)</f>
        <v>0</v>
      </c>
      <c r="W86" s="48"/>
      <c r="X86" s="48"/>
      <c r="Y86" s="48"/>
      <c r="Z86" s="48"/>
      <c r="AA86" s="48"/>
      <c r="AB86" s="83">
        <f t="shared" ref="AB86" si="116">SUM(W86:AA86)</f>
        <v>0</v>
      </c>
      <c r="AD86" s="48"/>
      <c r="AE86" s="48"/>
      <c r="AF86" s="142">
        <v>0.35</v>
      </c>
      <c r="AG86" s="142"/>
      <c r="AH86" s="142"/>
      <c r="AI86" s="83">
        <f t="shared" si="91"/>
        <v>0.35</v>
      </c>
      <c r="AK86" s="91">
        <f t="shared" ref="AK86" si="117">SUM(AB86,U86,N86,AI86)</f>
        <v>0.35</v>
      </c>
      <c r="AL86" s="32"/>
      <c r="AM86" s="106"/>
      <c r="AN86" s="130">
        <v>1.3394999999999999</v>
      </c>
      <c r="AO86" s="130">
        <v>0.96499999999999997</v>
      </c>
      <c r="AP86" s="157"/>
      <c r="AQ86" s="153"/>
      <c r="AR86" s="153"/>
      <c r="AS86" s="113">
        <f t="shared" si="76"/>
        <v>2.3045</v>
      </c>
      <c r="AU86" s="91">
        <f t="shared" si="77"/>
        <v>2.6545000000000001</v>
      </c>
    </row>
    <row r="87" spans="1:47" ht="13.5" thickBot="1" x14ac:dyDescent="0.25">
      <c r="A87" s="16" t="s">
        <v>91</v>
      </c>
      <c r="C87" s="66">
        <v>325</v>
      </c>
      <c r="D87" s="66">
        <v>425</v>
      </c>
      <c r="E87" s="66"/>
      <c r="F87" s="66">
        <v>3.5</v>
      </c>
      <c r="G87" s="66">
        <v>5</v>
      </c>
      <c r="H87" s="66">
        <v>154.33799999999999</v>
      </c>
      <c r="I87" s="66"/>
      <c r="J87" s="66">
        <v>75</v>
      </c>
      <c r="K87" s="66">
        <v>75</v>
      </c>
      <c r="L87" s="66">
        <v>75</v>
      </c>
      <c r="M87" s="66">
        <v>75</v>
      </c>
      <c r="N87" s="87">
        <f>SUM(C87:M87)</f>
        <v>1212.838</v>
      </c>
      <c r="P87" s="67">
        <v>264.10000000000002</v>
      </c>
      <c r="Q87" s="67">
        <v>268.8</v>
      </c>
      <c r="R87" s="67">
        <v>283.10000000000002</v>
      </c>
      <c r="S87" s="67">
        <f>75+100.6+50</f>
        <v>225.6</v>
      </c>
      <c r="T87" s="67">
        <v>245</v>
      </c>
      <c r="U87" s="87">
        <f>SUM(P87:T87)</f>
        <v>1286.6000000000001</v>
      </c>
      <c r="W87" s="68">
        <f>260+14.6048+2.8952+2.5</f>
        <v>280</v>
      </c>
      <c r="X87" s="68">
        <f>300+13.7578+2.5+3.7422</f>
        <v>320</v>
      </c>
      <c r="Y87" s="68">
        <f>325+15</f>
        <v>340</v>
      </c>
      <c r="Z87" s="68">
        <f>300+15+1.544372</f>
        <v>316.54437200000001</v>
      </c>
      <c r="AA87" s="68">
        <f>290+5</f>
        <v>295</v>
      </c>
      <c r="AB87" s="87">
        <f>SUM(W87:AA87)</f>
        <v>1551.5443720000001</v>
      </c>
      <c r="AD87" s="68">
        <v>212.23774599999999</v>
      </c>
      <c r="AE87" s="68">
        <f>340+0.504378</f>
        <v>340.50437799999997</v>
      </c>
      <c r="AF87" s="147">
        <f>325+15+0.790875</f>
        <v>340.79087500000003</v>
      </c>
      <c r="AG87" s="147">
        <v>353.31126469999998</v>
      </c>
      <c r="AH87" s="147">
        <v>331.25917800000002</v>
      </c>
      <c r="AI87" s="87">
        <f>SUM(AD87:AH87)</f>
        <v>1578.1034417000001</v>
      </c>
      <c r="AK87" s="94">
        <f>SUM(AB87,U87,N87,AI87)</f>
        <v>5629.0858137000005</v>
      </c>
      <c r="AL87" s="32"/>
      <c r="AM87" s="106"/>
      <c r="AN87" s="130">
        <f>150+50+6.25</f>
        <v>206.25</v>
      </c>
      <c r="AO87" s="130"/>
      <c r="AP87" s="157"/>
      <c r="AQ87" s="153"/>
      <c r="AR87" s="153"/>
      <c r="AS87" s="113">
        <f>SUM(AM87:AQ87)</f>
        <v>206.25</v>
      </c>
      <c r="AU87" s="94">
        <f>SUM(AK87,AS87)</f>
        <v>5835.3358137000005</v>
      </c>
    </row>
    <row r="88" spans="1:47" ht="13.5" thickBot="1" x14ac:dyDescent="0.25">
      <c r="A88" s="16" t="s">
        <v>92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si="78"/>
        <v>0</v>
      </c>
      <c r="P88" s="67"/>
      <c r="Q88" s="67"/>
      <c r="R88" s="67"/>
      <c r="S88" s="67"/>
      <c r="T88" s="67"/>
      <c r="U88" s="87">
        <f t="shared" si="79"/>
        <v>0</v>
      </c>
      <c r="W88" s="36"/>
      <c r="X88" s="36"/>
      <c r="Y88" s="36"/>
      <c r="Z88" s="36"/>
      <c r="AA88" s="68"/>
      <c r="AB88" s="87">
        <f t="shared" si="80"/>
        <v>0</v>
      </c>
      <c r="AD88" s="68"/>
      <c r="AE88" s="68"/>
      <c r="AF88" s="147"/>
      <c r="AG88" s="147"/>
      <c r="AH88" s="147"/>
      <c r="AI88" s="87">
        <f t="shared" si="91"/>
        <v>0</v>
      </c>
      <c r="AK88" s="94">
        <f t="shared" si="75"/>
        <v>0</v>
      </c>
      <c r="AL88" s="32"/>
      <c r="AM88" s="106"/>
      <c r="AN88" s="130">
        <v>18</v>
      </c>
      <c r="AO88" s="130"/>
      <c r="AP88" s="157"/>
      <c r="AQ88" s="153"/>
      <c r="AR88" s="153"/>
      <c r="AS88" s="113">
        <f t="shared" si="76"/>
        <v>18</v>
      </c>
      <c r="AU88" s="94">
        <f t="shared" si="77"/>
        <v>18</v>
      </c>
    </row>
    <row r="89" spans="1:47" ht="13.5" thickBot="1" x14ac:dyDescent="0.25">
      <c r="A89" s="16" t="s">
        <v>93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87">
        <f t="shared" ref="N89" si="118">SUM(C89:M89)</f>
        <v>0</v>
      </c>
      <c r="P89" s="67"/>
      <c r="Q89" s="67"/>
      <c r="R89" s="67"/>
      <c r="S89" s="67"/>
      <c r="T89" s="67"/>
      <c r="U89" s="87">
        <f t="shared" ref="U89" si="119">SUM(P89:T89)</f>
        <v>0</v>
      </c>
      <c r="W89" s="36"/>
      <c r="X89" s="36"/>
      <c r="Y89" s="36"/>
      <c r="Z89" s="36"/>
      <c r="AA89" s="68"/>
      <c r="AB89" s="87">
        <f t="shared" ref="AB89" si="120">SUM(W89:AA89)</f>
        <v>0</v>
      </c>
      <c r="AD89" s="68"/>
      <c r="AE89" s="68">
        <f>0.25</f>
        <v>0.25</v>
      </c>
      <c r="AF89" s="142">
        <f>0.0104148+0.00206594</f>
        <v>1.2480740000000001E-2</v>
      </c>
      <c r="AG89" s="147"/>
      <c r="AH89" s="147"/>
      <c r="AI89" s="87">
        <f t="shared" si="91"/>
        <v>0.26248073999999999</v>
      </c>
      <c r="AK89" s="94">
        <f>SUM(AB89,U89,N89,AI89)</f>
        <v>0.26248073999999999</v>
      </c>
      <c r="AL89" s="32"/>
      <c r="AM89" s="106"/>
      <c r="AN89" s="176">
        <f>2.5+0.71415911+3.30583547+0.62702543</f>
        <v>7.1470200099999994</v>
      </c>
      <c r="AO89" s="130">
        <f>0.39332083+0.03903177+0.0012521</f>
        <v>0.43360470000000001</v>
      </c>
      <c r="AP89" s="177">
        <f>0.02636044+0.00284982</f>
        <v>2.9210259999999998E-2</v>
      </c>
      <c r="AQ89" s="153"/>
      <c r="AR89" s="153"/>
      <c r="AS89" s="113">
        <f t="shared" si="76"/>
        <v>7.6098349699999996</v>
      </c>
      <c r="AU89" s="94">
        <f t="shared" si="77"/>
        <v>7.8723157099999996</v>
      </c>
    </row>
    <row r="90" spans="1:47" ht="26.25" thickBot="1" x14ac:dyDescent="0.25">
      <c r="A90" s="16" t="s">
        <v>94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>SUM(C90:M90)</f>
        <v>0</v>
      </c>
      <c r="P90" s="67">
        <v>14.077608</v>
      </c>
      <c r="Q90" s="67">
        <v>8.8254854999999992</v>
      </c>
      <c r="R90" s="67">
        <v>10.096907</v>
      </c>
      <c r="S90" s="67"/>
      <c r="T90" s="68"/>
      <c r="U90" s="88">
        <f>SUM(P90:T90)</f>
        <v>33.000000499999999</v>
      </c>
      <c r="W90" s="68"/>
      <c r="X90" s="68">
        <v>5</v>
      </c>
      <c r="Y90" s="68"/>
      <c r="Z90" s="68"/>
      <c r="AA90" s="68"/>
      <c r="AB90" s="88">
        <f>SUM(W90:AA90)</f>
        <v>5</v>
      </c>
      <c r="AD90" s="68"/>
      <c r="AE90" s="68"/>
      <c r="AF90" s="147"/>
      <c r="AG90" s="147"/>
      <c r="AH90" s="147"/>
      <c r="AI90" s="88">
        <f t="shared" si="91"/>
        <v>0</v>
      </c>
      <c r="AK90" s="94">
        <f>SUM(AB90,U90,N90,AI90)</f>
        <v>38.000000499999999</v>
      </c>
      <c r="AL90" s="32"/>
      <c r="AM90" s="106"/>
      <c r="AN90" s="130"/>
      <c r="AO90" s="130"/>
      <c r="AP90" s="157"/>
      <c r="AQ90" s="153"/>
      <c r="AR90" s="153"/>
      <c r="AS90" s="113">
        <f t="shared" si="76"/>
        <v>0</v>
      </c>
      <c r="AU90" s="94">
        <f t="shared" si="77"/>
        <v>38.000000499999999</v>
      </c>
    </row>
    <row r="91" spans="1:47" ht="26.25" thickBot="1" x14ac:dyDescent="0.25">
      <c r="A91" s="34" t="s">
        <v>95</v>
      </c>
      <c r="C91" s="66"/>
      <c r="D91" s="66"/>
      <c r="E91" s="66"/>
      <c r="F91" s="66"/>
      <c r="G91" s="66"/>
      <c r="H91" s="66"/>
      <c r="I91" s="66"/>
      <c r="J91" s="69"/>
      <c r="K91" s="67"/>
      <c r="L91" s="67"/>
      <c r="M91" s="67"/>
      <c r="N91" s="88">
        <f>SUM(C91:M91)</f>
        <v>0</v>
      </c>
      <c r="P91" s="67"/>
      <c r="Q91" s="72"/>
      <c r="R91" s="67"/>
      <c r="S91" s="67"/>
      <c r="T91" s="68"/>
      <c r="U91" s="88">
        <f>SUM(P91:T91)</f>
        <v>0</v>
      </c>
      <c r="W91" s="68">
        <f>0.10916441+0.03383559</f>
        <v>0.14300000000000002</v>
      </c>
      <c r="X91" s="68">
        <f>0.075+0.143</f>
        <v>0.21799999999999997</v>
      </c>
      <c r="Y91" s="68">
        <f>0.211+0.5+0.143</f>
        <v>0.85399999999999998</v>
      </c>
      <c r="Z91" s="68">
        <f>0.3+0.143</f>
        <v>0.44299999999999995</v>
      </c>
      <c r="AA91" s="68"/>
      <c r="AB91" s="88">
        <f>SUM(W91:AA91)</f>
        <v>1.6579999999999999</v>
      </c>
      <c r="AD91" s="68">
        <v>0.215169</v>
      </c>
      <c r="AE91" s="68"/>
      <c r="AF91" s="147"/>
      <c r="AG91" s="147"/>
      <c r="AH91" s="147">
        <v>4.4999999999999998E-2</v>
      </c>
      <c r="AI91" s="88">
        <f t="shared" si="91"/>
        <v>0.26016899999999998</v>
      </c>
      <c r="AK91" s="94">
        <f>SUM(AB91,U91,N91,AI91)</f>
        <v>1.9181689999999998</v>
      </c>
      <c r="AL91" s="32"/>
      <c r="AM91" s="106"/>
      <c r="AN91" s="130"/>
      <c r="AO91" s="130"/>
      <c r="AP91" s="157"/>
      <c r="AQ91" s="153"/>
      <c r="AR91" s="153"/>
      <c r="AS91" s="113">
        <f t="shared" si="76"/>
        <v>0</v>
      </c>
      <c r="AU91" s="94">
        <f t="shared" si="77"/>
        <v>1.9181689999999998</v>
      </c>
    </row>
    <row r="92" spans="1:47" ht="13.5" thickBot="1" x14ac:dyDescent="0.25">
      <c r="A92" s="16" t="s">
        <v>96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87">
        <f t="shared" ref="N92" si="121">SUM(C92:M92)</f>
        <v>0</v>
      </c>
      <c r="P92" s="67"/>
      <c r="Q92" s="67"/>
      <c r="R92" s="67"/>
      <c r="S92" s="67"/>
      <c r="T92" s="67"/>
      <c r="U92" s="87">
        <f t="shared" ref="U92" si="122">SUM(P92:T92)</f>
        <v>0</v>
      </c>
      <c r="W92" s="36"/>
      <c r="X92" s="36"/>
      <c r="Y92" s="36"/>
      <c r="Z92" s="36"/>
      <c r="AA92" s="68"/>
      <c r="AB92" s="87">
        <f t="shared" ref="AB92" si="123">SUM(W92:AA92)</f>
        <v>0</v>
      </c>
      <c r="AD92" s="68"/>
      <c r="AE92" s="68"/>
      <c r="AF92" s="147"/>
      <c r="AG92" s="147"/>
      <c r="AH92" s="147"/>
      <c r="AI92" s="87">
        <f t="shared" si="91"/>
        <v>0</v>
      </c>
      <c r="AK92" s="94">
        <f t="shared" ref="AK92" si="124">SUM(AB92,U92,N92,AI92)</f>
        <v>0</v>
      </c>
      <c r="AL92" s="32"/>
      <c r="AM92" s="106"/>
      <c r="AN92" s="130"/>
      <c r="AO92" s="130">
        <v>0.33614640000000001</v>
      </c>
      <c r="AP92" s="157"/>
      <c r="AQ92" s="153"/>
      <c r="AR92" s="153"/>
      <c r="AS92" s="113">
        <f t="shared" si="76"/>
        <v>0.33614640000000001</v>
      </c>
      <c r="AU92" s="94">
        <f t="shared" si="77"/>
        <v>0.33614640000000001</v>
      </c>
    </row>
    <row r="93" spans="1:47" ht="13.5" thickBot="1" x14ac:dyDescent="0.25">
      <c r="A93" s="16" t="s">
        <v>97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25">SUM(C93:M93)</f>
        <v>0</v>
      </c>
      <c r="P93" s="67"/>
      <c r="Q93" s="67"/>
      <c r="R93" s="67"/>
      <c r="S93" s="67"/>
      <c r="T93" s="67"/>
      <c r="U93" s="87">
        <f t="shared" ref="U93" si="126">SUM(P93:T93)</f>
        <v>0</v>
      </c>
      <c r="W93" s="36"/>
      <c r="X93" s="36"/>
      <c r="Y93" s="36"/>
      <c r="Z93" s="36"/>
      <c r="AA93" s="68"/>
      <c r="AB93" s="87">
        <f t="shared" ref="AB93" si="127">SUM(W93:AA93)</f>
        <v>0</v>
      </c>
      <c r="AD93" s="68"/>
      <c r="AE93" s="68"/>
      <c r="AF93" s="147"/>
      <c r="AG93" s="147"/>
      <c r="AH93" s="147"/>
      <c r="AI93" s="87">
        <f t="shared" si="91"/>
        <v>0</v>
      </c>
      <c r="AK93" s="94">
        <f t="shared" si="75"/>
        <v>0</v>
      </c>
      <c r="AL93" s="32"/>
      <c r="AM93" s="106"/>
      <c r="AN93" s="130">
        <v>0.12868500999999999</v>
      </c>
      <c r="AO93" s="130">
        <v>1.212266E-2</v>
      </c>
      <c r="AP93" s="157"/>
      <c r="AQ93" s="153"/>
      <c r="AR93" s="153"/>
      <c r="AS93" s="113">
        <f t="shared" si="76"/>
        <v>0.14080767</v>
      </c>
      <c r="AU93" s="94">
        <f t="shared" si="77"/>
        <v>0.14080767</v>
      </c>
    </row>
    <row r="94" spans="1:47" ht="13.5" thickBot="1" x14ac:dyDescent="0.25">
      <c r="A94" s="27" t="s">
        <v>98</v>
      </c>
      <c r="C94" s="42"/>
      <c r="D94" s="49"/>
      <c r="E94" s="42"/>
      <c r="F94" s="42"/>
      <c r="G94" s="49"/>
      <c r="H94" s="46"/>
      <c r="I94" s="42"/>
      <c r="J94" s="42"/>
      <c r="K94" s="47"/>
      <c r="L94" s="42"/>
      <c r="M94" s="42"/>
      <c r="N94" s="83">
        <f t="shared" ref="N94" si="128">SUM(C94:M94)</f>
        <v>0</v>
      </c>
      <c r="P94" s="42"/>
      <c r="Q94" s="48"/>
      <c r="R94" s="48"/>
      <c r="S94" s="48"/>
      <c r="T94" s="48"/>
      <c r="U94" s="83">
        <f t="shared" ref="U94" si="129">SUM(P94:T94)</f>
        <v>0</v>
      </c>
      <c r="W94" s="48"/>
      <c r="X94" s="48"/>
      <c r="Y94" s="48"/>
      <c r="Z94" s="48"/>
      <c r="AA94" s="48"/>
      <c r="AB94" s="83">
        <f t="shared" ref="AB94" si="130">SUM(W94:AA94)</f>
        <v>0</v>
      </c>
      <c r="AD94" s="48"/>
      <c r="AE94" s="48"/>
      <c r="AF94" s="142"/>
      <c r="AG94" s="142"/>
      <c r="AH94" s="142"/>
      <c r="AI94" s="83">
        <f t="shared" si="91"/>
        <v>0</v>
      </c>
      <c r="AK94" s="91">
        <f t="shared" si="75"/>
        <v>0</v>
      </c>
      <c r="AL94" s="32"/>
      <c r="AM94" s="106"/>
      <c r="AN94" s="130"/>
      <c r="AO94" s="130">
        <v>5.3333333300000003</v>
      </c>
      <c r="AP94" s="157"/>
      <c r="AQ94" s="153"/>
      <c r="AR94" s="153"/>
      <c r="AS94" s="113">
        <f t="shared" si="76"/>
        <v>5.3333333300000003</v>
      </c>
      <c r="AU94" s="91">
        <f t="shared" si="77"/>
        <v>5.3333333300000003</v>
      </c>
    </row>
    <row r="95" spans="1:47" ht="13.5" thickBot="1" x14ac:dyDescent="0.25">
      <c r="A95" s="9" t="s">
        <v>99</v>
      </c>
      <c r="C95" s="66"/>
      <c r="D95" s="66"/>
      <c r="E95" s="66"/>
      <c r="F95" s="66"/>
      <c r="G95" s="66"/>
      <c r="H95" s="66"/>
      <c r="I95" s="66"/>
      <c r="J95" s="69"/>
      <c r="K95" s="67">
        <v>5.8</v>
      </c>
      <c r="L95" s="67">
        <v>5.9</v>
      </c>
      <c r="M95" s="67">
        <v>4</v>
      </c>
      <c r="N95" s="88">
        <f t="shared" si="78"/>
        <v>15.7</v>
      </c>
      <c r="P95" s="70">
        <v>3.1</v>
      </c>
      <c r="Q95" s="73">
        <v>2.8415940000000002</v>
      </c>
      <c r="R95" s="67">
        <v>2.0267418500000001</v>
      </c>
      <c r="S95" s="67">
        <f>0.08282487+1.3589+0.41790755-0.05290269</f>
        <v>1.80672973</v>
      </c>
      <c r="T95" s="68">
        <f>0.12171144+1.0905+0.10330079+0.00749712</f>
        <v>1.32300935</v>
      </c>
      <c r="U95" s="88">
        <f t="shared" si="79"/>
        <v>11.098074930000001</v>
      </c>
      <c r="W95" s="68">
        <f>0.54553356+0.02381135+1.09579371+0.52189105+0.15054668</f>
        <v>2.3375763500000004</v>
      </c>
      <c r="X95" s="68">
        <f>0.01439096+0.0742438+0.03536211+1.1219873+0.16116763+0.47137176+0.68446473</f>
        <v>2.5629882899999998</v>
      </c>
      <c r="Y95" s="68">
        <f>0.50279334+1.14379384</f>
        <v>1.64658718</v>
      </c>
      <c r="Z95" s="68">
        <f>2.1173994+1.2991243+1.0956</f>
        <v>4.5121237000000001</v>
      </c>
      <c r="AA95" s="68">
        <f>3.25925629+1.169+1.33320411+0.25327518+0.14542811</f>
        <v>6.160163690000001</v>
      </c>
      <c r="AB95" s="88">
        <f t="shared" si="80"/>
        <v>17.219439210000001</v>
      </c>
      <c r="AD95" s="48">
        <f>0.65868636+0.11097781+0.02066697+0.01147503+1.145</f>
        <v>1.9468061699999999</v>
      </c>
      <c r="AE95" s="48">
        <f>1.75275525+0.83219134+1.03</f>
        <v>3.6149465899999997</v>
      </c>
      <c r="AF95" s="142">
        <f>0.09134447+0.17669863+0.55433571+1.37072031+1.0564</f>
        <v>3.2494991200000003</v>
      </c>
      <c r="AG95" s="142">
        <v>4.4449816200000001</v>
      </c>
      <c r="AH95" s="142">
        <v>5.2556381100000005</v>
      </c>
      <c r="AI95" s="88">
        <f t="shared" si="91"/>
        <v>18.51187161</v>
      </c>
      <c r="AK95" s="94">
        <f t="shared" si="75"/>
        <v>62.529385750000003</v>
      </c>
      <c r="AL95" s="32"/>
      <c r="AM95" s="106"/>
      <c r="AN95" s="130"/>
      <c r="AO95" s="130"/>
      <c r="AP95" s="157"/>
      <c r="AQ95" s="153"/>
      <c r="AR95" s="153"/>
      <c r="AS95" s="113">
        <f t="shared" si="76"/>
        <v>0</v>
      </c>
      <c r="AU95" s="94">
        <f t="shared" si="77"/>
        <v>62.529385750000003</v>
      </c>
    </row>
    <row r="96" spans="1:47" ht="15" thickBot="1" x14ac:dyDescent="0.25">
      <c r="A96" s="34" t="s">
        <v>100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31">SUM(C96:M96)</f>
        <v>0</v>
      </c>
      <c r="P96" s="67"/>
      <c r="Q96" s="67"/>
      <c r="R96" s="67"/>
      <c r="S96" s="67"/>
      <c r="T96" s="67"/>
      <c r="U96" s="87">
        <f t="shared" ref="U96" si="132">SUM(P96:T96)</f>
        <v>0</v>
      </c>
      <c r="W96" s="36"/>
      <c r="X96" s="36"/>
      <c r="Y96" s="36"/>
      <c r="Z96" s="36"/>
      <c r="AA96" s="68"/>
      <c r="AB96" s="87">
        <f t="shared" ref="AB96" si="133">SUM(W96:AA96)</f>
        <v>0</v>
      </c>
      <c r="AD96" s="68"/>
      <c r="AE96" s="68">
        <v>10</v>
      </c>
      <c r="AF96" s="147"/>
      <c r="AG96" s="147"/>
      <c r="AH96" s="147"/>
      <c r="AI96" s="87">
        <f t="shared" si="91"/>
        <v>10</v>
      </c>
      <c r="AK96" s="94">
        <f t="shared" si="75"/>
        <v>10</v>
      </c>
      <c r="AL96" s="32"/>
      <c r="AM96" s="106"/>
      <c r="AN96" s="130">
        <v>15.805266</v>
      </c>
      <c r="AO96" s="130"/>
      <c r="AP96" s="157"/>
      <c r="AQ96" s="153"/>
      <c r="AR96" s="153"/>
      <c r="AS96" s="113">
        <f t="shared" si="76"/>
        <v>15.805266</v>
      </c>
      <c r="AU96" s="94">
        <f t="shared" si="77"/>
        <v>25.805266</v>
      </c>
    </row>
    <row r="97" spans="1:49" ht="13.5" thickBot="1" x14ac:dyDescent="0.25">
      <c r="A97" s="16" t="s">
        <v>101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si="78"/>
        <v>0</v>
      </c>
      <c r="P97" s="67"/>
      <c r="Q97" s="67"/>
      <c r="R97" s="67"/>
      <c r="S97" s="67"/>
      <c r="T97" s="67"/>
      <c r="U97" s="87">
        <f t="shared" si="79"/>
        <v>0</v>
      </c>
      <c r="W97" s="36"/>
      <c r="X97" s="36"/>
      <c r="Y97" s="36"/>
      <c r="Z97" s="36"/>
      <c r="AA97" s="68"/>
      <c r="AB97" s="87">
        <f t="shared" si="80"/>
        <v>0</v>
      </c>
      <c r="AD97" s="68"/>
      <c r="AE97" s="68"/>
      <c r="AF97" s="147"/>
      <c r="AG97" s="147"/>
      <c r="AH97" s="147"/>
      <c r="AI97" s="87">
        <f t="shared" si="91"/>
        <v>0</v>
      </c>
      <c r="AK97" s="94">
        <f t="shared" si="75"/>
        <v>0</v>
      </c>
      <c r="AL97" s="32"/>
      <c r="AM97" s="106"/>
      <c r="AN97" s="130">
        <v>0.1</v>
      </c>
      <c r="AO97" s="130"/>
      <c r="AP97" s="157"/>
      <c r="AQ97" s="153"/>
      <c r="AR97" s="153"/>
      <c r="AS97" s="113">
        <f t="shared" ref="AS97:AS126" si="134">SUM(AM97:AQ97)</f>
        <v>0.1</v>
      </c>
      <c r="AU97" s="94">
        <f t="shared" ref="AU97:AU126" si="135">SUM(AK97,AS97)</f>
        <v>0.1</v>
      </c>
    </row>
    <row r="98" spans="1:49" ht="26.25" thickBot="1" x14ac:dyDescent="0.25">
      <c r="A98" s="16" t="s">
        <v>102</v>
      </c>
      <c r="C98" s="66"/>
      <c r="D98" s="66"/>
      <c r="E98" s="66"/>
      <c r="F98" s="66"/>
      <c r="G98" s="66"/>
      <c r="H98" s="66"/>
      <c r="I98" s="66"/>
      <c r="J98" s="69"/>
      <c r="K98" s="67"/>
      <c r="L98" s="67"/>
      <c r="M98" s="67"/>
      <c r="N98" s="88">
        <f t="shared" si="78"/>
        <v>0</v>
      </c>
      <c r="P98" s="70"/>
      <c r="Q98" s="73"/>
      <c r="R98" s="67">
        <v>0.65</v>
      </c>
      <c r="S98" s="35">
        <v>0.45</v>
      </c>
      <c r="T98" s="68"/>
      <c r="U98" s="88">
        <f t="shared" si="79"/>
        <v>1.1000000000000001</v>
      </c>
      <c r="W98" s="68"/>
      <c r="X98" s="68"/>
      <c r="Y98" s="68"/>
      <c r="Z98" s="68"/>
      <c r="AA98" s="68"/>
      <c r="AB98" s="88">
        <f t="shared" si="80"/>
        <v>0</v>
      </c>
      <c r="AD98" s="68"/>
      <c r="AE98" s="68"/>
      <c r="AF98" s="147"/>
      <c r="AG98" s="147"/>
      <c r="AH98" s="147"/>
      <c r="AI98" s="88">
        <f t="shared" si="91"/>
        <v>0</v>
      </c>
      <c r="AK98" s="94">
        <f t="shared" si="75"/>
        <v>1.1000000000000001</v>
      </c>
      <c r="AL98" s="32"/>
      <c r="AM98" s="106"/>
      <c r="AN98" s="130"/>
      <c r="AO98" s="130"/>
      <c r="AP98" s="157"/>
      <c r="AQ98" s="153"/>
      <c r="AR98" s="153"/>
      <c r="AS98" s="113">
        <f t="shared" si="134"/>
        <v>0</v>
      </c>
      <c r="AU98" s="94">
        <f t="shared" si="135"/>
        <v>1.1000000000000001</v>
      </c>
    </row>
    <row r="99" spans="1:49" ht="13.5" thickBot="1" x14ac:dyDescent="0.25">
      <c r="A99" s="16" t="s">
        <v>103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36">SUM(C99:M99)</f>
        <v>0</v>
      </c>
      <c r="P99" s="67"/>
      <c r="Q99" s="67"/>
      <c r="R99" s="67"/>
      <c r="S99" s="67"/>
      <c r="T99" s="67"/>
      <c r="U99" s="87">
        <f t="shared" ref="U99:U101" si="137">SUM(P99:T99)</f>
        <v>0</v>
      </c>
      <c r="W99" s="36"/>
      <c r="X99" s="36"/>
      <c r="Y99" s="36"/>
      <c r="Z99" s="36"/>
      <c r="AA99" s="68"/>
      <c r="AB99" s="87">
        <f t="shared" ref="AB99:AB101" si="138">SUM(W99:AA99)</f>
        <v>0</v>
      </c>
      <c r="AD99" s="68"/>
      <c r="AE99" s="68"/>
      <c r="AF99" s="147"/>
      <c r="AG99" s="147"/>
      <c r="AH99" s="147"/>
      <c r="AI99" s="87">
        <f t="shared" si="91"/>
        <v>0</v>
      </c>
      <c r="AK99" s="94">
        <f t="shared" si="75"/>
        <v>0</v>
      </c>
      <c r="AL99" s="32"/>
      <c r="AM99" s="106"/>
      <c r="AN99" s="130">
        <v>0.2</v>
      </c>
      <c r="AO99" s="130"/>
      <c r="AP99" s="157"/>
      <c r="AQ99" s="153"/>
      <c r="AR99" s="153"/>
      <c r="AS99" s="113">
        <f t="shared" si="134"/>
        <v>0.2</v>
      </c>
      <c r="AU99" s="94">
        <f t="shared" si="135"/>
        <v>0.2</v>
      </c>
    </row>
    <row r="100" spans="1:49" ht="13.5" thickBot="1" x14ac:dyDescent="0.25">
      <c r="A100" s="16" t="s">
        <v>104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87">
        <f t="shared" ref="N100" si="139">SUM(C100:M100)</f>
        <v>0</v>
      </c>
      <c r="P100" s="67"/>
      <c r="Q100" s="67"/>
      <c r="R100" s="67"/>
      <c r="S100" s="67"/>
      <c r="T100" s="67"/>
      <c r="U100" s="87">
        <f t="shared" ref="U100" si="140">SUM(P100:T100)</f>
        <v>0</v>
      </c>
      <c r="W100" s="36"/>
      <c r="X100" s="36"/>
      <c r="Y100" s="36"/>
      <c r="Z100" s="36"/>
      <c r="AA100" s="68"/>
      <c r="AB100" s="87">
        <f t="shared" ref="AB100" si="141">SUM(W100:AA100)</f>
        <v>0</v>
      </c>
      <c r="AD100" s="68"/>
      <c r="AE100" s="68">
        <v>0.26540000000000002</v>
      </c>
      <c r="AF100" s="147"/>
      <c r="AG100" s="147"/>
      <c r="AH100" s="147"/>
      <c r="AI100" s="87">
        <f t="shared" si="91"/>
        <v>0.26540000000000002</v>
      </c>
      <c r="AK100" s="94">
        <f t="shared" ref="AK100" si="142">SUM(AB100,U100,N100,AI100)</f>
        <v>0.26540000000000002</v>
      </c>
      <c r="AL100" s="32"/>
      <c r="AM100" s="106"/>
      <c r="AN100" s="130">
        <v>1.8275723100000001</v>
      </c>
      <c r="AO100" s="130"/>
      <c r="AP100" s="157"/>
      <c r="AQ100" s="153"/>
      <c r="AR100" s="153"/>
      <c r="AS100" s="113">
        <f t="shared" si="134"/>
        <v>1.8275723100000001</v>
      </c>
      <c r="AU100" s="94">
        <f t="shared" si="135"/>
        <v>2.0929723099999999</v>
      </c>
    </row>
    <row r="101" spans="1:49" ht="16.5" customHeight="1" thickBot="1" x14ac:dyDescent="0.25">
      <c r="A101" s="34" t="s">
        <v>105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87">
        <f t="shared" ref="N101" si="143">SUM(C101:M101)</f>
        <v>0</v>
      </c>
      <c r="P101" s="67"/>
      <c r="Q101" s="67"/>
      <c r="R101" s="67"/>
      <c r="S101" s="67"/>
      <c r="T101" s="67"/>
      <c r="U101" s="87">
        <f t="shared" si="137"/>
        <v>0</v>
      </c>
      <c r="W101" s="36"/>
      <c r="X101" s="36"/>
      <c r="Y101" s="36"/>
      <c r="Z101" s="36"/>
      <c r="AA101" s="68"/>
      <c r="AB101" s="87">
        <f t="shared" si="138"/>
        <v>0</v>
      </c>
      <c r="AD101" s="68"/>
      <c r="AE101" s="68"/>
      <c r="AF101" s="147">
        <v>0.25</v>
      </c>
      <c r="AG101" s="147">
        <v>0.25</v>
      </c>
      <c r="AH101" s="147"/>
      <c r="AI101" s="87">
        <f t="shared" si="91"/>
        <v>0.5</v>
      </c>
      <c r="AK101" s="94">
        <f t="shared" si="75"/>
        <v>0.5</v>
      </c>
      <c r="AL101" s="32"/>
      <c r="AM101" s="106"/>
      <c r="AN101" s="130"/>
      <c r="AO101" s="130"/>
      <c r="AP101" s="157"/>
      <c r="AQ101" s="153"/>
      <c r="AR101" s="153"/>
      <c r="AS101" s="113">
        <f t="shared" si="134"/>
        <v>0</v>
      </c>
      <c r="AU101" s="94">
        <f t="shared" si="135"/>
        <v>0.5</v>
      </c>
    </row>
    <row r="102" spans="1:49" ht="13.5" thickBot="1" x14ac:dyDescent="0.25">
      <c r="A102" s="16" t="s">
        <v>106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44">SUM(C102:M102)</f>
        <v>0</v>
      </c>
      <c r="P102" s="67"/>
      <c r="Q102" s="67"/>
      <c r="R102" s="67"/>
      <c r="S102" s="67"/>
      <c r="T102" s="67"/>
      <c r="U102" s="87">
        <f t="shared" ref="U102" si="145">SUM(P102:T102)</f>
        <v>0</v>
      </c>
      <c r="W102" s="36"/>
      <c r="X102" s="36"/>
      <c r="Y102" s="36"/>
      <c r="Z102" s="36"/>
      <c r="AA102" s="68"/>
      <c r="AB102" s="87">
        <f t="shared" ref="AB102" si="146">SUM(W102:AA102)</f>
        <v>0</v>
      </c>
      <c r="AD102" s="68"/>
      <c r="AE102" s="68"/>
      <c r="AF102" s="147"/>
      <c r="AG102" s="147"/>
      <c r="AH102" s="147"/>
      <c r="AI102" s="87">
        <f t="shared" si="91"/>
        <v>0</v>
      </c>
      <c r="AK102" s="94">
        <f t="shared" si="75"/>
        <v>0</v>
      </c>
      <c r="AL102" s="32"/>
      <c r="AM102" s="106"/>
      <c r="AN102" s="130">
        <v>0.1</v>
      </c>
      <c r="AO102" s="130"/>
      <c r="AP102" s="157"/>
      <c r="AQ102" s="153"/>
      <c r="AR102" s="153"/>
      <c r="AS102" s="113">
        <f t="shared" si="134"/>
        <v>0.1</v>
      </c>
      <c r="AU102" s="94">
        <f t="shared" si="135"/>
        <v>0.1</v>
      </c>
    </row>
    <row r="103" spans="1:49" ht="13.5" thickBot="1" x14ac:dyDescent="0.25">
      <c r="A103" s="16" t="s">
        <v>107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ref="N103" si="147">SUM(C103:M103)</f>
        <v>0</v>
      </c>
      <c r="P103" s="67"/>
      <c r="Q103" s="67"/>
      <c r="R103" s="67"/>
      <c r="S103" s="67"/>
      <c r="T103" s="67"/>
      <c r="U103" s="87">
        <f t="shared" ref="U103" si="148">SUM(P103:T103)</f>
        <v>0</v>
      </c>
      <c r="W103" s="36"/>
      <c r="X103" s="36"/>
      <c r="Y103" s="36"/>
      <c r="Z103" s="36"/>
      <c r="AA103" s="68"/>
      <c r="AB103" s="87">
        <f t="shared" ref="AB103" si="149">SUM(W103:AA103)</f>
        <v>0</v>
      </c>
      <c r="AD103" s="68"/>
      <c r="AE103" s="68"/>
      <c r="AF103" s="147"/>
      <c r="AG103" s="147"/>
      <c r="AH103" s="147"/>
      <c r="AI103" s="87">
        <f t="shared" si="91"/>
        <v>0</v>
      </c>
      <c r="AK103" s="94">
        <f t="shared" si="75"/>
        <v>0</v>
      </c>
      <c r="AL103" s="32"/>
      <c r="AM103" s="106"/>
      <c r="AN103" s="130">
        <f>0.001+4.999</f>
        <v>5</v>
      </c>
      <c r="AO103" s="130"/>
      <c r="AP103" s="157"/>
      <c r="AQ103" s="153"/>
      <c r="AR103" s="153"/>
      <c r="AS103" s="113">
        <f t="shared" si="134"/>
        <v>5</v>
      </c>
      <c r="AU103" s="94">
        <f t="shared" si="135"/>
        <v>5</v>
      </c>
    </row>
    <row r="104" spans="1:49" ht="13.5" thickBot="1" x14ac:dyDescent="0.25">
      <c r="A104" s="26" t="s">
        <v>108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78"/>
        <v>0</v>
      </c>
      <c r="P104" s="70"/>
      <c r="Q104" s="70"/>
      <c r="R104" s="70"/>
      <c r="S104" s="70"/>
      <c r="T104" s="71"/>
      <c r="U104" s="88">
        <f t="shared" si="79"/>
        <v>0</v>
      </c>
      <c r="W104" s="71"/>
      <c r="X104" s="71"/>
      <c r="Y104" s="71"/>
      <c r="Z104" s="71"/>
      <c r="AA104" s="71"/>
      <c r="AB104" s="88">
        <f t="shared" si="80"/>
        <v>0</v>
      </c>
      <c r="AD104" s="71"/>
      <c r="AE104" s="71"/>
      <c r="AF104" s="148"/>
      <c r="AG104" s="148"/>
      <c r="AH104" s="148"/>
      <c r="AI104" s="88">
        <f t="shared" si="91"/>
        <v>0</v>
      </c>
      <c r="AK104" s="94">
        <f t="shared" si="75"/>
        <v>0</v>
      </c>
      <c r="AL104" s="32"/>
      <c r="AM104" s="106">
        <v>30</v>
      </c>
      <c r="AN104" s="130"/>
      <c r="AO104" s="130"/>
      <c r="AP104" s="157"/>
      <c r="AQ104" s="153"/>
      <c r="AR104" s="153"/>
      <c r="AS104" s="113">
        <f t="shared" si="134"/>
        <v>30</v>
      </c>
      <c r="AU104" s="94">
        <f t="shared" si="135"/>
        <v>30</v>
      </c>
    </row>
    <row r="105" spans="1:49" ht="13.5" thickBot="1" x14ac:dyDescent="0.25">
      <c r="A105" s="9" t="s">
        <v>109</v>
      </c>
      <c r="C105" s="66"/>
      <c r="D105" s="66"/>
      <c r="E105" s="66"/>
      <c r="F105" s="66"/>
      <c r="G105" s="66"/>
      <c r="H105" s="66"/>
      <c r="I105" s="66"/>
      <c r="J105" s="69"/>
      <c r="K105" s="67"/>
      <c r="L105" s="67"/>
      <c r="M105" s="67"/>
      <c r="N105" s="88">
        <f t="shared" si="78"/>
        <v>0</v>
      </c>
      <c r="P105" s="70"/>
      <c r="Q105" s="73"/>
      <c r="R105" s="67"/>
      <c r="S105" s="67"/>
      <c r="T105" s="68"/>
      <c r="U105" s="88">
        <f t="shared" si="79"/>
        <v>0</v>
      </c>
      <c r="W105" s="68"/>
      <c r="X105" s="68"/>
      <c r="Y105" s="68"/>
      <c r="Z105" s="68">
        <v>3</v>
      </c>
      <c r="AA105" s="68"/>
      <c r="AB105" s="88">
        <f t="shared" si="80"/>
        <v>3</v>
      </c>
      <c r="AD105" s="68"/>
      <c r="AE105" s="68">
        <v>1.754</v>
      </c>
      <c r="AF105" s="147">
        <v>0.3</v>
      </c>
      <c r="AG105" s="147"/>
      <c r="AH105" s="147"/>
      <c r="AI105" s="88">
        <f t="shared" si="91"/>
        <v>2.0539999999999998</v>
      </c>
      <c r="AK105" s="94">
        <f t="shared" si="75"/>
        <v>5.0540000000000003</v>
      </c>
      <c r="AL105" s="32"/>
      <c r="AM105" s="106"/>
      <c r="AN105" s="130"/>
      <c r="AO105" s="130"/>
      <c r="AP105" s="157"/>
      <c r="AQ105" s="153"/>
      <c r="AR105" s="153"/>
      <c r="AS105" s="113">
        <f t="shared" si="134"/>
        <v>0</v>
      </c>
      <c r="AU105" s="94">
        <f t="shared" si="135"/>
        <v>5.0540000000000003</v>
      </c>
    </row>
    <row r="106" spans="1:49" ht="13.5" thickBot="1" x14ac:dyDescent="0.25">
      <c r="A106" s="16" t="s">
        <v>110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87">
        <f t="shared" ref="N106" si="150">SUM(C106:M106)</f>
        <v>0</v>
      </c>
      <c r="P106" s="67"/>
      <c r="Q106" s="67"/>
      <c r="R106" s="67"/>
      <c r="S106" s="67"/>
      <c r="T106" s="67"/>
      <c r="U106" s="87">
        <f t="shared" ref="U106" si="151">SUM(P106:T106)</f>
        <v>0</v>
      </c>
      <c r="W106" s="36"/>
      <c r="X106" s="36"/>
      <c r="Y106" s="36"/>
      <c r="Z106" s="36"/>
      <c r="AA106" s="68"/>
      <c r="AB106" s="87">
        <f t="shared" ref="AB106" si="152">SUM(W106:AA106)</f>
        <v>0</v>
      </c>
      <c r="AD106" s="68"/>
      <c r="AE106" s="68"/>
      <c r="AF106" s="147"/>
      <c r="AG106" s="147"/>
      <c r="AH106" s="147"/>
      <c r="AI106" s="87">
        <f t="shared" si="91"/>
        <v>0</v>
      </c>
      <c r="AK106" s="94">
        <f t="shared" si="75"/>
        <v>0</v>
      </c>
      <c r="AL106" s="32"/>
      <c r="AM106" s="106"/>
      <c r="AN106" s="130">
        <v>0.11</v>
      </c>
      <c r="AO106" s="130"/>
      <c r="AP106" s="157"/>
      <c r="AQ106" s="153"/>
      <c r="AR106" s="153"/>
      <c r="AS106" s="113">
        <f t="shared" si="134"/>
        <v>0.11</v>
      </c>
      <c r="AU106" s="94">
        <f t="shared" si="135"/>
        <v>0.11</v>
      </c>
    </row>
    <row r="107" spans="1:49" ht="13.5" thickBot="1" x14ac:dyDescent="0.25">
      <c r="A107" s="16" t="s">
        <v>111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si="78"/>
        <v>0</v>
      </c>
      <c r="P107" s="67"/>
      <c r="Q107" s="67"/>
      <c r="R107" s="67"/>
      <c r="S107" s="67"/>
      <c r="T107" s="67"/>
      <c r="U107" s="87">
        <f t="shared" si="79"/>
        <v>0</v>
      </c>
      <c r="W107" s="36"/>
      <c r="X107" s="36"/>
      <c r="Y107" s="36"/>
      <c r="Z107" s="36"/>
      <c r="AA107" s="68"/>
      <c r="AB107" s="87">
        <f t="shared" si="80"/>
        <v>0</v>
      </c>
      <c r="AD107" s="68"/>
      <c r="AE107" s="68"/>
      <c r="AF107" s="147"/>
      <c r="AG107" s="147"/>
      <c r="AH107" s="147"/>
      <c r="AI107" s="87">
        <f t="shared" si="91"/>
        <v>0</v>
      </c>
      <c r="AK107" s="94">
        <f t="shared" si="75"/>
        <v>0</v>
      </c>
      <c r="AL107" s="32"/>
      <c r="AM107" s="106"/>
      <c r="AN107" s="130">
        <f>0.5+0.151247</f>
        <v>0.65124700000000002</v>
      </c>
      <c r="AO107" s="130">
        <v>9.4E-7</v>
      </c>
      <c r="AP107" s="157"/>
      <c r="AQ107" s="153"/>
      <c r="AR107" s="153"/>
      <c r="AS107" s="113">
        <f t="shared" si="134"/>
        <v>0.65124793999999997</v>
      </c>
      <c r="AU107" s="94">
        <f t="shared" si="135"/>
        <v>0.65124793999999997</v>
      </c>
      <c r="AW107" s="133"/>
    </row>
    <row r="108" spans="1:49" ht="13.5" thickBot="1" x14ac:dyDescent="0.25">
      <c r="A108" s="17" t="s">
        <v>112</v>
      </c>
      <c r="C108" s="66"/>
      <c r="D108" s="66"/>
      <c r="E108" s="66"/>
      <c r="F108" s="66"/>
      <c r="G108" s="66"/>
      <c r="H108" s="66"/>
      <c r="I108" s="66"/>
      <c r="J108" s="69"/>
      <c r="K108" s="67"/>
      <c r="L108" s="67"/>
      <c r="M108" s="67"/>
      <c r="N108" s="88">
        <f t="shared" si="78"/>
        <v>0</v>
      </c>
      <c r="P108" s="70"/>
      <c r="Q108" s="73"/>
      <c r="R108" s="67"/>
      <c r="S108" s="67"/>
      <c r="T108" s="68"/>
      <c r="U108" s="88">
        <f t="shared" si="79"/>
        <v>0</v>
      </c>
      <c r="W108" s="68"/>
      <c r="X108" s="68"/>
      <c r="Y108" s="68"/>
      <c r="Z108" s="68"/>
      <c r="AA108" s="68"/>
      <c r="AB108" s="88">
        <f t="shared" si="80"/>
        <v>0</v>
      </c>
      <c r="AD108" s="68"/>
      <c r="AE108" s="68"/>
      <c r="AF108" s="147"/>
      <c r="AG108" s="147"/>
      <c r="AH108" s="147"/>
      <c r="AI108" s="88">
        <f t="shared" si="91"/>
        <v>0</v>
      </c>
      <c r="AK108" s="94">
        <f t="shared" si="75"/>
        <v>0</v>
      </c>
      <c r="AL108" s="32"/>
      <c r="AM108" s="106">
        <v>10</v>
      </c>
      <c r="AN108" s="130"/>
      <c r="AO108" s="130"/>
      <c r="AP108" s="157"/>
      <c r="AQ108" s="153"/>
      <c r="AR108" s="153"/>
      <c r="AS108" s="113">
        <f t="shared" si="134"/>
        <v>10</v>
      </c>
      <c r="AU108" s="94">
        <f t="shared" si="135"/>
        <v>10</v>
      </c>
    </row>
    <row r="109" spans="1:49" ht="13.5" thickBot="1" x14ac:dyDescent="0.25">
      <c r="A109" s="16" t="s">
        <v>113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153">SUM(C109:M109)</f>
        <v>0</v>
      </c>
      <c r="P109" s="67"/>
      <c r="Q109" s="67"/>
      <c r="R109" s="67"/>
      <c r="S109" s="67"/>
      <c r="T109" s="67"/>
      <c r="U109" s="87">
        <f t="shared" ref="U109" si="154">SUM(P109:T109)</f>
        <v>0</v>
      </c>
      <c r="W109" s="36"/>
      <c r="X109" s="36"/>
      <c r="Y109" s="36"/>
      <c r="Z109" s="36"/>
      <c r="AA109" s="68"/>
      <c r="AB109" s="87">
        <f t="shared" ref="AB109" si="155">SUM(W109:AA109)</f>
        <v>0</v>
      </c>
      <c r="AD109" s="68"/>
      <c r="AE109" s="68"/>
      <c r="AF109" s="147"/>
      <c r="AG109" s="147"/>
      <c r="AH109" s="147"/>
      <c r="AI109" s="87">
        <f t="shared" si="91"/>
        <v>0</v>
      </c>
      <c r="AK109" s="94">
        <f t="shared" si="75"/>
        <v>0</v>
      </c>
      <c r="AL109" s="32"/>
      <c r="AM109" s="106"/>
      <c r="AN109" s="130">
        <v>0.1</v>
      </c>
      <c r="AO109" s="130"/>
      <c r="AP109" s="157"/>
      <c r="AQ109" s="153"/>
      <c r="AR109" s="153"/>
      <c r="AS109" s="113">
        <f t="shared" si="134"/>
        <v>0.1</v>
      </c>
      <c r="AU109" s="94">
        <f t="shared" si="135"/>
        <v>0.1</v>
      </c>
    </row>
    <row r="110" spans="1:49" ht="13.5" thickBot="1" x14ac:dyDescent="0.25">
      <c r="A110" s="27" t="s">
        <v>114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>SUM(C110:M110)</f>
        <v>0</v>
      </c>
      <c r="P110" s="42"/>
      <c r="Q110" s="48"/>
      <c r="R110" s="48"/>
      <c r="S110" s="48"/>
      <c r="T110" s="48"/>
      <c r="U110" s="83">
        <f t="shared" ref="U110" si="156">SUM(P110:T110)</f>
        <v>0</v>
      </c>
      <c r="W110" s="48"/>
      <c r="X110" s="48"/>
      <c r="Y110" s="48"/>
      <c r="Z110" s="48"/>
      <c r="AA110" s="48"/>
      <c r="AB110" s="83">
        <f t="shared" ref="AB110" si="157">SUM(W110:AA110)</f>
        <v>0</v>
      </c>
      <c r="AD110" s="48"/>
      <c r="AE110" s="48"/>
      <c r="AF110" s="142"/>
      <c r="AG110" s="142"/>
      <c r="AH110" s="142"/>
      <c r="AI110" s="83">
        <f t="shared" si="91"/>
        <v>0</v>
      </c>
      <c r="AK110" s="91">
        <f t="shared" si="75"/>
        <v>0</v>
      </c>
      <c r="AL110" s="32"/>
      <c r="AM110" s="106"/>
      <c r="AN110" s="130">
        <v>1.1596E-2</v>
      </c>
      <c r="AO110" s="130"/>
      <c r="AP110" s="157"/>
      <c r="AQ110" s="153"/>
      <c r="AR110" s="153"/>
      <c r="AS110" s="113">
        <f t="shared" si="134"/>
        <v>1.1596E-2</v>
      </c>
      <c r="AU110" s="91">
        <f t="shared" si="135"/>
        <v>1.1596E-2</v>
      </c>
    </row>
    <row r="111" spans="1:49" ht="13.5" thickBot="1" x14ac:dyDescent="0.25">
      <c r="A111" s="16" t="s">
        <v>115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87">
        <f t="shared" ref="N111" si="158">SUM(C111:M111)</f>
        <v>0</v>
      </c>
      <c r="P111" s="67"/>
      <c r="Q111" s="67"/>
      <c r="R111" s="67"/>
      <c r="S111" s="67"/>
      <c r="T111" s="67"/>
      <c r="U111" s="87">
        <f t="shared" ref="U111" si="159">SUM(P111:T111)</f>
        <v>0</v>
      </c>
      <c r="W111" s="36"/>
      <c r="X111" s="36"/>
      <c r="Y111" s="36"/>
      <c r="Z111" s="36"/>
      <c r="AA111" s="68"/>
      <c r="AB111" s="87">
        <f t="shared" ref="AB111" si="160">SUM(W111:AA111)</f>
        <v>0</v>
      </c>
      <c r="AD111" s="68"/>
      <c r="AE111" s="68"/>
      <c r="AF111" s="147"/>
      <c r="AG111" s="147"/>
      <c r="AH111" s="147"/>
      <c r="AI111" s="87">
        <f t="shared" si="91"/>
        <v>0</v>
      </c>
      <c r="AK111" s="94">
        <f t="shared" si="75"/>
        <v>0</v>
      </c>
      <c r="AL111" s="32"/>
      <c r="AM111" s="106"/>
      <c r="AN111" s="130">
        <v>0.5</v>
      </c>
      <c r="AO111" s="130"/>
      <c r="AP111" s="157"/>
      <c r="AQ111" s="153"/>
      <c r="AR111" s="153"/>
      <c r="AS111" s="113">
        <f t="shared" si="134"/>
        <v>0.5</v>
      </c>
      <c r="AU111" s="94">
        <f t="shared" si="135"/>
        <v>0.5</v>
      </c>
    </row>
    <row r="112" spans="1:49" ht="13.5" thickBot="1" x14ac:dyDescent="0.25">
      <c r="A112" s="16" t="s">
        <v>116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161">SUM(C112:M112)</f>
        <v>0</v>
      </c>
      <c r="P112" s="67"/>
      <c r="Q112" s="67"/>
      <c r="R112" s="67"/>
      <c r="S112" s="67"/>
      <c r="T112" s="67"/>
      <c r="U112" s="87">
        <f t="shared" ref="U112" si="162">SUM(P112:T112)</f>
        <v>0</v>
      </c>
      <c r="W112" s="36"/>
      <c r="X112" s="36"/>
      <c r="Y112" s="36"/>
      <c r="Z112" s="36"/>
      <c r="AA112" s="68"/>
      <c r="AB112" s="87">
        <f t="shared" ref="AB112" si="163">SUM(W112:AA112)</f>
        <v>0</v>
      </c>
      <c r="AD112" s="68"/>
      <c r="AE112" s="68"/>
      <c r="AF112" s="147"/>
      <c r="AG112" s="147"/>
      <c r="AH112" s="147"/>
      <c r="AI112" s="87">
        <f t="shared" si="91"/>
        <v>0</v>
      </c>
      <c r="AK112" s="94">
        <f t="shared" si="75"/>
        <v>0</v>
      </c>
      <c r="AL112" s="32"/>
      <c r="AM112" s="106"/>
      <c r="AN112" s="130">
        <v>1</v>
      </c>
      <c r="AO112" s="130"/>
      <c r="AP112" s="157"/>
      <c r="AQ112" s="153"/>
      <c r="AR112" s="153"/>
      <c r="AS112" s="113">
        <f t="shared" si="134"/>
        <v>1</v>
      </c>
      <c r="AU112" s="94">
        <f t="shared" si="135"/>
        <v>1</v>
      </c>
    </row>
    <row r="113" spans="1:47" ht="13.5" thickBot="1" x14ac:dyDescent="0.25">
      <c r="A113" s="16" t="s">
        <v>117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164">SUM(C113:M113)</f>
        <v>0</v>
      </c>
      <c r="P113" s="67"/>
      <c r="Q113" s="67"/>
      <c r="R113" s="67"/>
      <c r="S113" s="67"/>
      <c r="T113" s="67"/>
      <c r="U113" s="87">
        <f t="shared" ref="U113" si="165">SUM(P113:T113)</f>
        <v>0</v>
      </c>
      <c r="W113" s="36"/>
      <c r="X113" s="36"/>
      <c r="Y113" s="36"/>
      <c r="Z113" s="36"/>
      <c r="AA113" s="68"/>
      <c r="AB113" s="87">
        <f t="shared" ref="AB113" si="166">SUM(W113:AA113)</f>
        <v>0</v>
      </c>
      <c r="AD113" s="68"/>
      <c r="AE113" s="68"/>
      <c r="AF113" s="147"/>
      <c r="AG113" s="147"/>
      <c r="AH113" s="147"/>
      <c r="AI113" s="87">
        <f t="shared" si="91"/>
        <v>0</v>
      </c>
      <c r="AK113" s="94">
        <f t="shared" si="75"/>
        <v>0</v>
      </c>
      <c r="AL113" s="32"/>
      <c r="AM113" s="106"/>
      <c r="AN113" s="130">
        <v>0.25</v>
      </c>
      <c r="AO113" s="130"/>
      <c r="AP113" s="157"/>
      <c r="AQ113" s="153"/>
      <c r="AR113" s="153"/>
      <c r="AS113" s="113">
        <f t="shared" si="134"/>
        <v>0.25</v>
      </c>
      <c r="AU113" s="94">
        <f t="shared" si="135"/>
        <v>0.25</v>
      </c>
    </row>
    <row r="114" spans="1:47" ht="13.5" thickBot="1" x14ac:dyDescent="0.25">
      <c r="A114" s="27" t="s">
        <v>118</v>
      </c>
      <c r="C114" s="42"/>
      <c r="D114" s="49"/>
      <c r="E114" s="42"/>
      <c r="F114" s="42"/>
      <c r="G114" s="49"/>
      <c r="H114" s="46"/>
      <c r="I114" s="42"/>
      <c r="J114" s="42"/>
      <c r="K114" s="47"/>
      <c r="L114" s="42"/>
      <c r="M114" s="42"/>
      <c r="N114" s="83">
        <f t="shared" ref="N114" si="167">SUM(C114:M114)</f>
        <v>0</v>
      </c>
      <c r="P114" s="42"/>
      <c r="Q114" s="48"/>
      <c r="R114" s="48"/>
      <c r="S114" s="48"/>
      <c r="T114" s="48"/>
      <c r="U114" s="83">
        <f t="shared" ref="U114" si="168">SUM(P114:T114)</f>
        <v>0</v>
      </c>
      <c r="W114" s="48"/>
      <c r="X114" s="48"/>
      <c r="Y114" s="48"/>
      <c r="Z114" s="48"/>
      <c r="AA114" s="48"/>
      <c r="AB114" s="83">
        <f t="shared" ref="AB114" si="169">SUM(W114:AA114)</f>
        <v>0</v>
      </c>
      <c r="AD114" s="48"/>
      <c r="AE114" s="48"/>
      <c r="AF114" s="142"/>
      <c r="AG114" s="142"/>
      <c r="AH114" s="142"/>
      <c r="AI114" s="83">
        <f t="shared" si="91"/>
        <v>0</v>
      </c>
      <c r="AK114" s="91">
        <f t="shared" si="75"/>
        <v>0</v>
      </c>
      <c r="AL114" s="32"/>
      <c r="AM114" s="106"/>
      <c r="AN114" s="130">
        <v>3.9320541099999997</v>
      </c>
      <c r="AO114" s="130"/>
      <c r="AP114" s="157"/>
      <c r="AQ114" s="153"/>
      <c r="AR114" s="153"/>
      <c r="AS114" s="113">
        <f t="shared" si="134"/>
        <v>3.9320541099999997</v>
      </c>
      <c r="AU114" s="91">
        <f t="shared" si="135"/>
        <v>3.9320541099999997</v>
      </c>
    </row>
    <row r="115" spans="1:47" ht="13.5" thickBot="1" x14ac:dyDescent="0.25">
      <c r="A115" s="26" t="s">
        <v>119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ref="N115" si="170">SUM(C115:M115)</f>
        <v>0</v>
      </c>
      <c r="P115" s="70"/>
      <c r="Q115" s="70"/>
      <c r="R115" s="70"/>
      <c r="S115" s="70"/>
      <c r="T115" s="71"/>
      <c r="U115" s="88">
        <f t="shared" ref="U115" si="171">SUM(P115:T115)</f>
        <v>0</v>
      </c>
      <c r="W115" s="71"/>
      <c r="X115" s="71"/>
      <c r="Y115" s="71"/>
      <c r="Z115" s="71"/>
      <c r="AA115" s="71">
        <v>5</v>
      </c>
      <c r="AB115" s="88">
        <f t="shared" ref="AB115" si="172">SUM(W115:AA115)</f>
        <v>5</v>
      </c>
      <c r="AD115" s="71"/>
      <c r="AE115" s="71"/>
      <c r="AF115" s="148"/>
      <c r="AG115" s="148"/>
      <c r="AH115" s="148"/>
      <c r="AI115" s="88">
        <f t="shared" si="91"/>
        <v>0</v>
      </c>
      <c r="AK115" s="94">
        <f t="shared" si="75"/>
        <v>5</v>
      </c>
      <c r="AL115" s="32"/>
      <c r="AM115" s="106">
        <v>5</v>
      </c>
      <c r="AN115" s="130"/>
      <c r="AO115" s="130"/>
      <c r="AP115" s="157"/>
      <c r="AQ115" s="153"/>
      <c r="AR115" s="153"/>
      <c r="AS115" s="113">
        <f t="shared" si="134"/>
        <v>5</v>
      </c>
      <c r="AU115" s="94">
        <f t="shared" si="135"/>
        <v>10</v>
      </c>
    </row>
    <row r="116" spans="1:47" ht="15" thickBot="1" x14ac:dyDescent="0.25">
      <c r="A116" s="34" t="s">
        <v>120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87">
        <f t="shared" ref="N116" si="173">SUM(C116:M116)</f>
        <v>0</v>
      </c>
      <c r="P116" s="67"/>
      <c r="Q116" s="67"/>
      <c r="R116" s="67"/>
      <c r="S116" s="67"/>
      <c r="T116" s="67"/>
      <c r="U116" s="87">
        <f t="shared" ref="U116" si="174">SUM(P116:T116)</f>
        <v>0</v>
      </c>
      <c r="W116" s="36"/>
      <c r="X116" s="36"/>
      <c r="Y116" s="36"/>
      <c r="Z116" s="36"/>
      <c r="AA116" s="68"/>
      <c r="AB116" s="87">
        <f t="shared" ref="AB116" si="175">SUM(W116:AA116)</f>
        <v>0</v>
      </c>
      <c r="AD116" s="68"/>
      <c r="AE116" s="68"/>
      <c r="AF116" s="147"/>
      <c r="AG116" s="147"/>
      <c r="AH116" s="147">
        <v>0.1</v>
      </c>
      <c r="AI116" s="87">
        <f t="shared" si="91"/>
        <v>0.1</v>
      </c>
      <c r="AK116" s="94">
        <f t="shared" si="75"/>
        <v>0.1</v>
      </c>
      <c r="AL116" s="32"/>
      <c r="AM116" s="106"/>
      <c r="AN116" s="130">
        <v>0.90530509000000003</v>
      </c>
      <c r="AO116" s="130"/>
      <c r="AP116" s="157"/>
      <c r="AQ116" s="153"/>
      <c r="AR116" s="153"/>
      <c r="AS116" s="113">
        <f t="shared" si="134"/>
        <v>0.90530509000000003</v>
      </c>
      <c r="AU116" s="94">
        <f t="shared" si="135"/>
        <v>1.00530509</v>
      </c>
    </row>
    <row r="117" spans="1:47" ht="13.5" thickBot="1" x14ac:dyDescent="0.25">
      <c r="A117" s="16" t="s">
        <v>121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" si="176">SUM(C117:M117)</f>
        <v>0</v>
      </c>
      <c r="P117" s="67"/>
      <c r="Q117" s="67"/>
      <c r="R117" s="67"/>
      <c r="S117" s="67"/>
      <c r="T117" s="67"/>
      <c r="U117" s="87">
        <f t="shared" ref="U117" si="177">SUM(P117:T117)</f>
        <v>0</v>
      </c>
      <c r="W117" s="36"/>
      <c r="X117" s="36"/>
      <c r="Y117" s="36"/>
      <c r="Z117" s="36"/>
      <c r="AA117" s="68"/>
      <c r="AB117" s="87">
        <f t="shared" ref="AB117" si="178">SUM(W117:AA117)</f>
        <v>0</v>
      </c>
      <c r="AD117" s="68"/>
      <c r="AE117" s="68"/>
      <c r="AF117" s="147">
        <v>0.1</v>
      </c>
      <c r="AG117" s="147"/>
      <c r="AH117" s="147"/>
      <c r="AI117" s="87">
        <f t="shared" si="91"/>
        <v>0.1</v>
      </c>
      <c r="AK117" s="94">
        <f t="shared" si="75"/>
        <v>0.1</v>
      </c>
      <c r="AL117" s="32"/>
      <c r="AM117" s="106"/>
      <c r="AN117" s="130">
        <v>5</v>
      </c>
      <c r="AO117" s="130">
        <v>5</v>
      </c>
      <c r="AP117" s="157"/>
      <c r="AQ117" s="153"/>
      <c r="AR117" s="153"/>
      <c r="AS117" s="113">
        <f t="shared" si="134"/>
        <v>10</v>
      </c>
      <c r="AU117" s="94">
        <f t="shared" si="135"/>
        <v>10.1</v>
      </c>
    </row>
    <row r="118" spans="1:47" ht="13.5" thickBot="1" x14ac:dyDescent="0.25">
      <c r="A118" s="16" t="s">
        <v>122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ref="N118" si="179">SUM(C118:M118)</f>
        <v>0</v>
      </c>
      <c r="P118" s="67"/>
      <c r="Q118" s="67"/>
      <c r="R118" s="67"/>
      <c r="S118" s="67"/>
      <c r="T118" s="67"/>
      <c r="U118" s="87">
        <f t="shared" ref="U118" si="180">SUM(P118:T118)</f>
        <v>0</v>
      </c>
      <c r="W118" s="36"/>
      <c r="X118" s="36"/>
      <c r="Y118" s="36"/>
      <c r="Z118" s="36"/>
      <c r="AA118" s="68"/>
      <c r="AB118" s="87">
        <f t="shared" ref="AB118" si="181">SUM(W118:AA118)</f>
        <v>0</v>
      </c>
      <c r="AD118" s="68"/>
      <c r="AE118" s="68"/>
      <c r="AF118" s="147"/>
      <c r="AG118" s="147"/>
      <c r="AH118" s="147"/>
      <c r="AI118" s="87">
        <f t="shared" si="91"/>
        <v>0</v>
      </c>
      <c r="AK118" s="94">
        <f t="shared" si="75"/>
        <v>0</v>
      </c>
      <c r="AL118" s="32"/>
      <c r="AM118" s="106"/>
      <c r="AN118" s="130">
        <v>2.1</v>
      </c>
      <c r="AO118" s="130"/>
      <c r="AP118" s="157"/>
      <c r="AQ118" s="153"/>
      <c r="AR118" s="153"/>
      <c r="AS118" s="113">
        <f t="shared" si="134"/>
        <v>2.1</v>
      </c>
      <c r="AU118" s="94">
        <f t="shared" si="135"/>
        <v>2.1</v>
      </c>
    </row>
    <row r="119" spans="1:47" ht="15" thickBot="1" x14ac:dyDescent="0.25">
      <c r="A119" s="27" t="s">
        <v>123</v>
      </c>
      <c r="C119" s="66"/>
      <c r="D119" s="66"/>
      <c r="E119" s="66"/>
      <c r="F119" s="66"/>
      <c r="G119" s="66"/>
      <c r="H119" s="66"/>
      <c r="I119" s="66"/>
      <c r="J119" s="69"/>
      <c r="K119" s="67"/>
      <c r="L119" s="67"/>
      <c r="M119" s="67"/>
      <c r="N119" s="88">
        <f t="shared" si="78"/>
        <v>0</v>
      </c>
      <c r="P119" s="70"/>
      <c r="Q119" s="73"/>
      <c r="R119" s="67"/>
      <c r="S119" s="67"/>
      <c r="T119" s="68"/>
      <c r="U119" s="88">
        <f t="shared" si="79"/>
        <v>0</v>
      </c>
      <c r="W119" s="68">
        <v>1.0444</v>
      </c>
      <c r="X119" s="68">
        <v>1.10490844</v>
      </c>
      <c r="Y119" s="68">
        <v>1.0774045000000001</v>
      </c>
      <c r="Z119" s="68">
        <v>0.55359999999999998</v>
      </c>
      <c r="AA119" s="68">
        <f>1.0259925+0.6058</f>
        <v>1.6317925</v>
      </c>
      <c r="AB119" s="88">
        <f t="shared" si="80"/>
        <v>5.4121054399999995</v>
      </c>
      <c r="AD119" s="68"/>
      <c r="AE119" s="68">
        <f>0.73827+0.50295</f>
        <v>1.24122</v>
      </c>
      <c r="AF119" s="147">
        <v>0.54530000000000001</v>
      </c>
      <c r="AG119" s="147">
        <v>0.25</v>
      </c>
      <c r="AH119" s="147"/>
      <c r="AI119" s="88">
        <f t="shared" si="91"/>
        <v>2.0365199999999999</v>
      </c>
      <c r="AK119" s="94">
        <f t="shared" si="75"/>
        <v>7.4486254399999989</v>
      </c>
      <c r="AL119" s="32"/>
      <c r="AM119" s="106"/>
      <c r="AN119" s="130"/>
      <c r="AO119" s="130"/>
      <c r="AP119" s="157"/>
      <c r="AQ119" s="153"/>
      <c r="AR119" s="153"/>
      <c r="AS119" s="113">
        <f t="shared" si="134"/>
        <v>0</v>
      </c>
      <c r="AU119" s="94">
        <f t="shared" si="135"/>
        <v>7.4486254399999989</v>
      </c>
    </row>
    <row r="120" spans="1:47" ht="13.5" thickBot="1" x14ac:dyDescent="0.25">
      <c r="A120" s="26" t="s">
        <v>124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182">SUM(C120:M120)</f>
        <v>0</v>
      </c>
      <c r="P120" s="70"/>
      <c r="Q120" s="70"/>
      <c r="R120" s="70"/>
      <c r="S120" s="70"/>
      <c r="T120" s="71"/>
      <c r="U120" s="88">
        <f t="shared" ref="U120" si="183">SUM(P120:T120)</f>
        <v>0</v>
      </c>
      <c r="W120" s="71"/>
      <c r="X120" s="71"/>
      <c r="Y120" s="71"/>
      <c r="Z120" s="71"/>
      <c r="AA120" s="71">
        <v>0.75</v>
      </c>
      <c r="AB120" s="88">
        <f t="shared" ref="AB120" si="184">SUM(W120:AA120)</f>
        <v>0.75</v>
      </c>
      <c r="AD120" s="71">
        <v>0.4</v>
      </c>
      <c r="AE120" s="71">
        <v>0.52500000000000002</v>
      </c>
      <c r="AF120" s="148">
        <v>0.32500000000000001</v>
      </c>
      <c r="AG120" s="148">
        <f>1+0.325</f>
        <v>1.325</v>
      </c>
      <c r="AH120" s="148">
        <v>1</v>
      </c>
      <c r="AI120" s="88">
        <f t="shared" si="91"/>
        <v>3.5750000000000002</v>
      </c>
      <c r="AK120" s="94">
        <f t="shared" si="75"/>
        <v>4.3250000000000002</v>
      </c>
      <c r="AL120" s="32"/>
      <c r="AM120" s="106"/>
      <c r="AN120" s="130"/>
      <c r="AO120" s="130"/>
      <c r="AP120" s="157"/>
      <c r="AQ120" s="153"/>
      <c r="AR120" s="153"/>
      <c r="AS120" s="113">
        <f t="shared" si="134"/>
        <v>0</v>
      </c>
      <c r="AU120" s="94">
        <f t="shared" si="135"/>
        <v>4.3250000000000002</v>
      </c>
    </row>
    <row r="121" spans="1:47" ht="13.5" thickBot="1" x14ac:dyDescent="0.25">
      <c r="A121" s="16" t="s">
        <v>125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87">
        <f t="shared" ref="N121:N125" si="185">SUM(C121:M121)</f>
        <v>0</v>
      </c>
      <c r="P121" s="67"/>
      <c r="Q121" s="67"/>
      <c r="R121" s="67"/>
      <c r="S121" s="67"/>
      <c r="T121" s="67"/>
      <c r="U121" s="87">
        <f t="shared" ref="U121:U125" si="186">SUM(P121:T121)</f>
        <v>0</v>
      </c>
      <c r="W121" s="36"/>
      <c r="X121" s="36"/>
      <c r="Y121" s="36"/>
      <c r="Z121" s="36"/>
      <c r="AA121" s="68"/>
      <c r="AB121" s="87">
        <f t="shared" ref="AB121:AB125" si="187">SUM(W121:AA121)</f>
        <v>0</v>
      </c>
      <c r="AD121" s="68"/>
      <c r="AE121" s="68"/>
      <c r="AF121" s="147"/>
      <c r="AG121" s="147"/>
      <c r="AH121" s="147"/>
      <c r="AI121" s="87">
        <f t="shared" si="91"/>
        <v>0</v>
      </c>
      <c r="AK121" s="94">
        <f t="shared" si="75"/>
        <v>0</v>
      </c>
      <c r="AL121" s="32"/>
      <c r="AM121" s="106"/>
      <c r="AN121" s="130">
        <f>0.05775626+0.11790367+0.18070112+1.08808391+0.18313778+0.15568513+0.03736572+0.05957201+0.03600741+0.03849519+0.05089002</f>
        <v>2.0055982199999995</v>
      </c>
      <c r="AO121" s="130">
        <v>0.26966652999999996</v>
      </c>
      <c r="AP121" s="157">
        <f>0.01295926+0.04794096</f>
        <v>6.0900219999999998E-2</v>
      </c>
      <c r="AQ121" s="153"/>
      <c r="AR121" s="153"/>
      <c r="AS121" s="113">
        <f t="shared" si="134"/>
        <v>2.3361649699999996</v>
      </c>
      <c r="AU121" s="94">
        <f t="shared" si="135"/>
        <v>2.3361649699999996</v>
      </c>
    </row>
    <row r="122" spans="1:47" ht="13.5" thickBot="1" x14ac:dyDescent="0.25">
      <c r="A122" s="16" t="s">
        <v>126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185"/>
        <v>0</v>
      </c>
      <c r="P122" s="67"/>
      <c r="Q122" s="67"/>
      <c r="R122" s="67"/>
      <c r="S122" s="67"/>
      <c r="T122" s="67"/>
      <c r="U122" s="87">
        <f t="shared" si="186"/>
        <v>0</v>
      </c>
      <c r="W122" s="36"/>
      <c r="X122" s="36"/>
      <c r="Y122" s="36"/>
      <c r="Z122" s="36"/>
      <c r="AA122" s="68"/>
      <c r="AB122" s="87">
        <f t="shared" si="187"/>
        <v>0</v>
      </c>
      <c r="AD122" s="68"/>
      <c r="AE122" s="68"/>
      <c r="AF122" s="147"/>
      <c r="AG122" s="147"/>
      <c r="AH122" s="147"/>
      <c r="AI122" s="87">
        <f t="shared" si="91"/>
        <v>0</v>
      </c>
      <c r="AK122" s="94">
        <f t="shared" si="75"/>
        <v>0</v>
      </c>
      <c r="AL122" s="32"/>
      <c r="AM122" s="106"/>
      <c r="AN122" s="130">
        <v>4.5</v>
      </c>
      <c r="AO122" s="130"/>
      <c r="AP122" s="157"/>
      <c r="AQ122" s="153"/>
      <c r="AR122" s="153"/>
      <c r="AS122" s="113">
        <f t="shared" si="134"/>
        <v>4.5</v>
      </c>
      <c r="AU122" s="94">
        <f t="shared" si="135"/>
        <v>4.5</v>
      </c>
    </row>
    <row r="123" spans="1:47" ht="13.5" thickBot="1" x14ac:dyDescent="0.25">
      <c r="A123" s="16" t="s">
        <v>127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87">
        <f t="shared" ref="N123" si="188">SUM(C123:M123)</f>
        <v>0</v>
      </c>
      <c r="P123" s="67"/>
      <c r="Q123" s="67"/>
      <c r="R123" s="67"/>
      <c r="S123" s="67"/>
      <c r="T123" s="67"/>
      <c r="U123" s="87">
        <f t="shared" ref="U123" si="189">SUM(P123:T123)</f>
        <v>0</v>
      </c>
      <c r="W123" s="36"/>
      <c r="X123" s="36"/>
      <c r="Y123" s="36"/>
      <c r="Z123" s="36"/>
      <c r="AA123" s="68"/>
      <c r="AB123" s="87">
        <f t="shared" ref="AB123" si="190">SUM(W123:AA123)</f>
        <v>0</v>
      </c>
      <c r="AD123" s="68"/>
      <c r="AE123" s="68">
        <v>0.31466125</v>
      </c>
      <c r="AF123" s="147">
        <f>0.15854999+0.35587852+0.0566695+0.60974171</f>
        <v>1.18083972</v>
      </c>
      <c r="AG123" s="147">
        <f>0.33192735+0.0611077+0.16395419</f>
        <v>0.55698924000000005</v>
      </c>
      <c r="AH123" s="147"/>
      <c r="AI123" s="87">
        <f t="shared" si="91"/>
        <v>2.0524902100000002</v>
      </c>
      <c r="AK123" s="94">
        <f t="shared" ref="AK123" si="191">SUM(AB123,U123,N123,AI123)</f>
        <v>2.0524902100000002</v>
      </c>
      <c r="AL123" s="32"/>
      <c r="AM123" s="106"/>
      <c r="AN123" s="130"/>
      <c r="AO123" s="130"/>
      <c r="AP123" s="157"/>
      <c r="AQ123" s="153"/>
      <c r="AR123" s="153"/>
      <c r="AS123" s="113">
        <f t="shared" si="134"/>
        <v>0</v>
      </c>
      <c r="AU123" s="94">
        <f t="shared" si="135"/>
        <v>2.0524902100000002</v>
      </c>
    </row>
    <row r="124" spans="1:47" ht="26.25" thickBot="1" x14ac:dyDescent="0.25">
      <c r="A124" s="16" t="s">
        <v>128</v>
      </c>
      <c r="C124" s="66"/>
      <c r="D124" s="66"/>
      <c r="E124" s="66"/>
      <c r="F124" s="66"/>
      <c r="G124" s="66"/>
      <c r="H124" s="66"/>
      <c r="I124" s="66"/>
      <c r="J124" s="69"/>
      <c r="K124" s="67"/>
      <c r="L124" s="67"/>
      <c r="M124" s="67"/>
      <c r="N124" s="88">
        <f t="shared" ref="N124" si="192">SUM(C124:M124)</f>
        <v>0</v>
      </c>
      <c r="P124" s="70"/>
      <c r="Q124" s="70"/>
      <c r="R124" s="70"/>
      <c r="S124" s="70"/>
      <c r="T124" s="71"/>
      <c r="U124" s="88">
        <f t="shared" ref="U124" si="193">SUM(P124:T124)</f>
        <v>0</v>
      </c>
      <c r="W124" s="71"/>
      <c r="X124" s="71"/>
      <c r="Y124" s="71"/>
      <c r="Z124" s="71"/>
      <c r="AA124" s="71"/>
      <c r="AB124" s="88">
        <f t="shared" ref="AB124" si="194">SUM(W124:AA124)</f>
        <v>0</v>
      </c>
      <c r="AD124" s="71"/>
      <c r="AE124" s="71"/>
      <c r="AF124" s="148"/>
      <c r="AG124" s="148"/>
      <c r="AH124" s="148"/>
      <c r="AI124" s="88">
        <f t="shared" si="91"/>
        <v>0</v>
      </c>
      <c r="AK124" s="94">
        <f t="shared" ref="AK124" si="195">SUM(AB124,U124,N124,AI124)</f>
        <v>0</v>
      </c>
      <c r="AL124" s="32"/>
      <c r="AM124" s="106"/>
      <c r="AN124" s="130"/>
      <c r="AO124" s="130">
        <f>5.40756035+2.02152416</f>
        <v>7.4290845099999991</v>
      </c>
      <c r="AP124" s="157">
        <f>2.66259951+0.29488373</f>
        <v>2.9574832400000002</v>
      </c>
      <c r="AQ124" s="153">
        <v>2.1060599999999999E-3</v>
      </c>
      <c r="AR124" s="153"/>
      <c r="AS124" s="113">
        <f t="shared" si="134"/>
        <v>10.388673809999998</v>
      </c>
      <c r="AU124" s="94">
        <f t="shared" si="135"/>
        <v>10.388673809999998</v>
      </c>
    </row>
    <row r="125" spans="1:47" ht="13.5" thickBot="1" x14ac:dyDescent="0.25">
      <c r="A125" s="16" t="s">
        <v>129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87">
        <f t="shared" si="185"/>
        <v>0</v>
      </c>
      <c r="P125" s="67"/>
      <c r="Q125" s="67"/>
      <c r="R125" s="67"/>
      <c r="S125" s="67"/>
      <c r="T125" s="67"/>
      <c r="U125" s="87">
        <f t="shared" si="186"/>
        <v>0</v>
      </c>
      <c r="W125" s="36"/>
      <c r="X125" s="36"/>
      <c r="Y125" s="36"/>
      <c r="Z125" s="36"/>
      <c r="AA125" s="68"/>
      <c r="AB125" s="87">
        <f t="shared" si="187"/>
        <v>0</v>
      </c>
      <c r="AD125" s="68"/>
      <c r="AE125" s="68"/>
      <c r="AF125" s="147">
        <f>0.1+0.1</f>
        <v>0.2</v>
      </c>
      <c r="AG125" s="147">
        <v>0.1</v>
      </c>
      <c r="AH125" s="147">
        <v>0.1</v>
      </c>
      <c r="AI125" s="87">
        <f t="shared" si="91"/>
        <v>0.4</v>
      </c>
      <c r="AK125" s="94">
        <f t="shared" si="75"/>
        <v>0.4</v>
      </c>
      <c r="AL125" s="32"/>
      <c r="AM125" s="106"/>
      <c r="AN125" s="130">
        <v>0.1</v>
      </c>
      <c r="AO125" s="130">
        <v>0.25</v>
      </c>
      <c r="AP125" s="157"/>
      <c r="AQ125" s="153"/>
      <c r="AR125" s="153"/>
      <c r="AS125" s="113">
        <f t="shared" si="134"/>
        <v>0.35</v>
      </c>
      <c r="AU125" s="94">
        <f t="shared" si="135"/>
        <v>0.75</v>
      </c>
    </row>
    <row r="126" spans="1:47" ht="15" thickBot="1" x14ac:dyDescent="0.25">
      <c r="A126" s="25" t="s">
        <v>130</v>
      </c>
      <c r="C126" s="98">
        <v>0.02</v>
      </c>
      <c r="D126" s="67"/>
      <c r="E126" s="67">
        <v>1.6303609999999999</v>
      </c>
      <c r="F126" s="67">
        <v>2.5808469999999999</v>
      </c>
      <c r="G126" s="67">
        <v>1.805051</v>
      </c>
      <c r="H126" s="35">
        <v>0.47348000000000001</v>
      </c>
      <c r="I126" s="67">
        <v>1.904352</v>
      </c>
      <c r="J126" s="67">
        <v>1.1000000000000001</v>
      </c>
      <c r="K126" s="67">
        <v>0.8</v>
      </c>
      <c r="L126" s="67">
        <v>1</v>
      </c>
      <c r="M126" s="67">
        <v>1</v>
      </c>
      <c r="N126" s="88">
        <f t="shared" si="78"/>
        <v>12.314090999999999</v>
      </c>
      <c r="P126" s="67">
        <v>4.1880000000000006</v>
      </c>
      <c r="Q126" s="67">
        <v>6.6104000000000003</v>
      </c>
      <c r="R126" s="67">
        <v>12.5916456</v>
      </c>
      <c r="S126" s="67">
        <v>15.666837090000001</v>
      </c>
      <c r="T126" s="68">
        <v>13.304853870000001</v>
      </c>
      <c r="U126" s="88">
        <f t="shared" si="79"/>
        <v>52.361736560000004</v>
      </c>
      <c r="W126" s="36">
        <v>10.315829900000001</v>
      </c>
      <c r="X126" s="36">
        <v>14.869898709999999</v>
      </c>
      <c r="Y126" s="36">
        <v>5.7389966000000001</v>
      </c>
      <c r="Z126" s="68">
        <v>2.6731513900000001</v>
      </c>
      <c r="AA126" s="68">
        <v>1.1763695000000001</v>
      </c>
      <c r="AB126" s="88">
        <f t="shared" si="80"/>
        <v>34.774246099999999</v>
      </c>
      <c r="AD126" s="68">
        <v>1.08764014</v>
      </c>
      <c r="AE126" s="68">
        <f>1.13689354+0.2654-0.0012521-0.2654</f>
        <v>1.1356414399999999</v>
      </c>
      <c r="AF126" s="147">
        <f>1.92437906-1.1314</f>
        <v>0.79297905999999996</v>
      </c>
      <c r="AG126" s="147">
        <v>3.5198409900000001</v>
      </c>
      <c r="AH126" s="147">
        <v>0.65917879000000001</v>
      </c>
      <c r="AI126" s="88">
        <f t="shared" si="91"/>
        <v>7.1952804200000005</v>
      </c>
      <c r="AK126" s="95">
        <f t="shared" si="75"/>
        <v>106.64535408</v>
      </c>
      <c r="AL126" s="32"/>
      <c r="AM126" s="106">
        <f>22.043315+0.0003237</f>
        <v>22.043638699999999</v>
      </c>
      <c r="AN126" s="130">
        <f>23.33269369+0.11552911+0.01947461+1</f>
        <v>24.46769741</v>
      </c>
      <c r="AO126" s="130">
        <f>67.57105933+0.07245623+0.0070338-0.01212266</f>
        <v>67.638426699999997</v>
      </c>
      <c r="AP126" s="157">
        <f>0.08472642+0.01412301+0.00002633+0.01540343+1.1314</f>
        <v>1.2456791899999999</v>
      </c>
      <c r="AQ126" s="153"/>
      <c r="AR126" s="153"/>
      <c r="AS126" s="113">
        <f t="shared" si="134"/>
        <v>115.395442</v>
      </c>
      <c r="AU126" s="95">
        <f t="shared" si="135"/>
        <v>222.04079608000001</v>
      </c>
    </row>
    <row r="127" spans="1:47" ht="26.25" thickBot="1" x14ac:dyDescent="0.25">
      <c r="A127" s="13" t="s">
        <v>131</v>
      </c>
      <c r="C127" s="74">
        <f t="shared" ref="C127:N127" si="196">SUM(C65:C126)</f>
        <v>325.02</v>
      </c>
      <c r="D127" s="74">
        <f t="shared" si="196"/>
        <v>425</v>
      </c>
      <c r="E127" s="74">
        <f t="shared" si="196"/>
        <v>1.6303609999999999</v>
      </c>
      <c r="F127" s="74">
        <f t="shared" si="196"/>
        <v>6.0808470000000003</v>
      </c>
      <c r="G127" s="74">
        <f t="shared" si="196"/>
        <v>6.8050509999999997</v>
      </c>
      <c r="H127" s="74">
        <f t="shared" si="196"/>
        <v>154.81147999999999</v>
      </c>
      <c r="I127" s="74">
        <f t="shared" si="196"/>
        <v>1.904352</v>
      </c>
      <c r="J127" s="74">
        <f t="shared" si="196"/>
        <v>76.099999999999994</v>
      </c>
      <c r="K127" s="74">
        <f t="shared" si="196"/>
        <v>81.599999999999994</v>
      </c>
      <c r="L127" s="74">
        <f t="shared" si="196"/>
        <v>81.900000000000006</v>
      </c>
      <c r="M127" s="74">
        <f t="shared" si="196"/>
        <v>80</v>
      </c>
      <c r="N127" s="102">
        <f t="shared" si="196"/>
        <v>1240.852091</v>
      </c>
      <c r="P127" s="74">
        <f t="shared" ref="P127:U127" si="197">SUM(P65:P126)</f>
        <v>285.46560800000003</v>
      </c>
      <c r="Q127" s="74">
        <f t="shared" si="197"/>
        <v>292.87747950000005</v>
      </c>
      <c r="R127" s="74">
        <f t="shared" si="197"/>
        <v>313.16529444999998</v>
      </c>
      <c r="S127" s="74">
        <f t="shared" si="197"/>
        <v>260.29896681999998</v>
      </c>
      <c r="T127" s="74">
        <f t="shared" si="197"/>
        <v>273.12786321999999</v>
      </c>
      <c r="U127" s="102">
        <f t="shared" si="197"/>
        <v>1424.93521199</v>
      </c>
      <c r="W127" s="74">
        <f t="shared" ref="W127:AB127" si="198">SUM(W65:W126)</f>
        <v>295.24200624999997</v>
      </c>
      <c r="X127" s="74">
        <f t="shared" si="198"/>
        <v>344.95699543999996</v>
      </c>
      <c r="Y127" s="74">
        <f t="shared" si="198"/>
        <v>350.40386627999999</v>
      </c>
      <c r="Z127" s="74">
        <f t="shared" si="198"/>
        <v>330.62749709000002</v>
      </c>
      <c r="AA127" s="74">
        <f t="shared" si="198"/>
        <v>312.53591469000003</v>
      </c>
      <c r="AB127" s="102">
        <f t="shared" si="198"/>
        <v>1633.76627975</v>
      </c>
      <c r="AD127" s="74">
        <f>SUM(AD65:AD126)</f>
        <v>218.04371630999998</v>
      </c>
      <c r="AE127" s="74">
        <f>SUM(AE65:AE126)</f>
        <v>360.04481350999993</v>
      </c>
      <c r="AF127" s="149">
        <f>SUM(AF65:AF126)</f>
        <v>349.80760406000002</v>
      </c>
      <c r="AG127" s="74">
        <f>SUM(AG65:AG126)</f>
        <v>367.57522655000002</v>
      </c>
      <c r="AH127" s="149">
        <f>SUM(AH65:AH126)</f>
        <v>342.56899490000006</v>
      </c>
      <c r="AI127" s="102">
        <f t="shared" si="91"/>
        <v>1638.04035533</v>
      </c>
      <c r="AK127" s="101">
        <f>SUM(AK65:AK126)</f>
        <v>5937.5939380700011</v>
      </c>
      <c r="AL127" s="11"/>
      <c r="AM127" s="108">
        <f t="shared" ref="AM127:AS127" si="199">SUM(AM65:AM126)</f>
        <v>67.043638700000002</v>
      </c>
      <c r="AN127" s="132">
        <f t="shared" si="199"/>
        <v>311.48852686000021</v>
      </c>
      <c r="AO127" s="132">
        <f t="shared" si="199"/>
        <v>88.145883169999991</v>
      </c>
      <c r="AP127" s="159">
        <f t="shared" si="199"/>
        <v>4.2932729099999998</v>
      </c>
      <c r="AQ127" s="132">
        <f t="shared" si="199"/>
        <v>0.25221895</v>
      </c>
      <c r="AR127" s="132">
        <f t="shared" si="199"/>
        <v>0</v>
      </c>
      <c r="AS127" s="110">
        <f t="shared" si="199"/>
        <v>471.22354059000014</v>
      </c>
      <c r="AU127" s="101">
        <f>SUM(AU65:AU126)</f>
        <v>6408.8174786600011</v>
      </c>
    </row>
    <row r="128" spans="1:47" ht="13.5" thickBot="1" x14ac:dyDescent="0.25">
      <c r="A128" s="14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8"/>
      <c r="P128" s="75"/>
      <c r="Q128" s="75"/>
      <c r="R128" s="75"/>
      <c r="S128" s="75"/>
      <c r="T128" s="75"/>
      <c r="U128" s="18"/>
      <c r="W128" s="75"/>
      <c r="X128" s="75"/>
      <c r="Y128" s="75"/>
      <c r="Z128" s="75"/>
      <c r="AA128" s="75"/>
      <c r="AB128" s="18"/>
      <c r="AD128" s="75"/>
      <c r="AE128" s="75"/>
      <c r="AF128" s="150"/>
      <c r="AG128" s="150"/>
      <c r="AH128" s="150"/>
      <c r="AI128" s="18"/>
      <c r="AK128" s="103"/>
      <c r="AL128" s="11"/>
      <c r="AM128" s="99"/>
      <c r="AN128" s="99"/>
      <c r="AO128" s="99"/>
      <c r="AP128" s="164"/>
      <c r="AQ128" s="164"/>
      <c r="AR128" s="99"/>
      <c r="AS128" s="99"/>
      <c r="AU128" s="104"/>
    </row>
    <row r="129" spans="1:50" ht="13.5" thickBot="1" x14ac:dyDescent="0.25">
      <c r="A129" s="19" t="s">
        <v>132</v>
      </c>
      <c r="C129" s="76">
        <f t="shared" ref="C129:N129" si="200">C63+C127</f>
        <v>329.48339999999996</v>
      </c>
      <c r="D129" s="76">
        <f t="shared" si="200"/>
        <v>518.08656439000004</v>
      </c>
      <c r="E129" s="76">
        <f t="shared" si="200"/>
        <v>107.88534496</v>
      </c>
      <c r="F129" s="76">
        <f t="shared" si="200"/>
        <v>116.99487873000001</v>
      </c>
      <c r="G129" s="76">
        <f t="shared" si="200"/>
        <v>167.20320235999998</v>
      </c>
      <c r="H129" s="76">
        <f t="shared" si="200"/>
        <v>429.73539605999997</v>
      </c>
      <c r="I129" s="76">
        <f t="shared" si="200"/>
        <v>218.10446149000003</v>
      </c>
      <c r="J129" s="76">
        <f t="shared" si="200"/>
        <v>358.39137800000003</v>
      </c>
      <c r="K129" s="76">
        <f t="shared" si="200"/>
        <v>350.92929426000001</v>
      </c>
      <c r="L129" s="76">
        <f t="shared" si="200"/>
        <v>337.88825982000003</v>
      </c>
      <c r="M129" s="76">
        <f t="shared" si="200"/>
        <v>332.64002400000004</v>
      </c>
      <c r="N129" s="100">
        <f t="shared" si="200"/>
        <v>3267.3422040699998</v>
      </c>
      <c r="P129" s="76">
        <f t="shared" ref="P129:U129" si="201">P63+P127</f>
        <v>798.35660800000005</v>
      </c>
      <c r="Q129" s="76">
        <f t="shared" si="201"/>
        <v>908.0821338400001</v>
      </c>
      <c r="R129" s="76">
        <f t="shared" si="201"/>
        <v>1307.5018276000001</v>
      </c>
      <c r="S129" s="76">
        <f t="shared" si="201"/>
        <v>1181.1065951600001</v>
      </c>
      <c r="T129" s="76">
        <f t="shared" si="201"/>
        <v>1275.10837741</v>
      </c>
      <c r="U129" s="100">
        <f t="shared" si="201"/>
        <v>5470.1555420099994</v>
      </c>
      <c r="W129" s="76">
        <f t="shared" ref="W129:AB129" si="202">W63+W127</f>
        <v>1468.4981930200001</v>
      </c>
      <c r="X129" s="76">
        <f t="shared" si="202"/>
        <v>1470.50115691</v>
      </c>
      <c r="Y129" s="76">
        <f t="shared" si="202"/>
        <v>1488.3740361125001</v>
      </c>
      <c r="Z129" s="76">
        <f t="shared" si="202"/>
        <v>1610.6591853100003</v>
      </c>
      <c r="AA129" s="76">
        <f t="shared" si="202"/>
        <v>1463.2410690758161</v>
      </c>
      <c r="AB129" s="100">
        <f t="shared" si="202"/>
        <v>7501.273640428316</v>
      </c>
      <c r="AD129" s="76">
        <f>AD63+AD127</f>
        <v>1082.00879721</v>
      </c>
      <c r="AE129" s="76">
        <f>AE63+AE127</f>
        <v>1474.4788520819293</v>
      </c>
      <c r="AF129" s="76">
        <f>AF63+AF127</f>
        <v>1681.5623856339598</v>
      </c>
      <c r="AG129" s="76">
        <f>AG63+AG127</f>
        <v>2210.0031604982005</v>
      </c>
      <c r="AH129" s="76">
        <f>AH63+AH127</f>
        <v>949.52894870333239</v>
      </c>
      <c r="AI129" s="100">
        <f t="shared" ref="AI129:AI134" si="203">SUM(AD129:AH129)</f>
        <v>7397.582144127422</v>
      </c>
      <c r="AK129" s="100">
        <f>AK63+AK127</f>
        <v>23636.353530635741</v>
      </c>
      <c r="AL129" s="11"/>
      <c r="AM129" s="108">
        <f t="shared" ref="AM129:AR129" si="204">AM63+AM127</f>
        <v>353.31397632999995</v>
      </c>
      <c r="AN129" s="132">
        <f t="shared" si="204"/>
        <v>7028.1154799700007</v>
      </c>
      <c r="AO129" s="132">
        <f t="shared" si="204"/>
        <v>1577.1851955699999</v>
      </c>
      <c r="AP129" s="159">
        <f t="shared" si="204"/>
        <v>479.89687636000002</v>
      </c>
      <c r="AQ129" s="110">
        <f t="shared" si="204"/>
        <v>229.72704995000004</v>
      </c>
      <c r="AR129" s="110">
        <f t="shared" si="204"/>
        <v>215.25867</v>
      </c>
      <c r="AS129" s="110">
        <f>AS63+AS127</f>
        <v>9883.4972481799996</v>
      </c>
      <c r="AU129" s="100">
        <f>AU63+AU127</f>
        <v>33519.850778815744</v>
      </c>
    </row>
    <row r="130" spans="1:50" ht="13.5" thickBot="1" x14ac:dyDescent="0.25">
      <c r="A130" s="20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8"/>
      <c r="P130" s="75"/>
      <c r="Q130" s="75"/>
      <c r="R130" s="75"/>
      <c r="S130" s="75"/>
      <c r="T130" s="75"/>
      <c r="U130" s="18"/>
      <c r="W130" s="75"/>
      <c r="X130" s="75"/>
      <c r="Y130" s="75"/>
      <c r="Z130" s="75"/>
      <c r="AA130" s="75"/>
      <c r="AB130" s="18"/>
      <c r="AD130" s="75"/>
      <c r="AE130" s="75"/>
      <c r="AF130" s="150"/>
      <c r="AG130" s="150"/>
      <c r="AH130" s="150"/>
      <c r="AI130" s="18"/>
      <c r="AK130" s="18"/>
      <c r="AL130" s="11"/>
      <c r="AN130" s="124"/>
      <c r="AO130" s="124"/>
      <c r="AP130" s="160"/>
      <c r="AQ130" s="160"/>
      <c r="AR130" s="124"/>
    </row>
    <row r="131" spans="1:50" ht="15" thickBot="1" x14ac:dyDescent="0.25">
      <c r="A131" s="21" t="s">
        <v>133</v>
      </c>
      <c r="C131" s="62"/>
      <c r="D131" s="62"/>
      <c r="E131" s="62"/>
      <c r="F131" s="62"/>
      <c r="G131" s="62"/>
      <c r="H131" s="62"/>
      <c r="I131" s="62">
        <v>524.74928499999999</v>
      </c>
      <c r="J131" s="62">
        <v>428.268866</v>
      </c>
      <c r="K131" s="62">
        <v>272.63813299999998</v>
      </c>
      <c r="L131" s="62">
        <v>330.02699999999999</v>
      </c>
      <c r="M131" s="62">
        <v>320</v>
      </c>
      <c r="N131" s="101">
        <f t="shared" ref="N131:N132" si="205">SUM(C131:M131)</f>
        <v>1875.683284</v>
      </c>
      <c r="P131" s="62">
        <v>300</v>
      </c>
      <c r="Q131" s="62">
        <v>100</v>
      </c>
      <c r="R131" s="62">
        <v>200</v>
      </c>
      <c r="S131" s="77">
        <v>0</v>
      </c>
      <c r="T131" s="77">
        <v>0</v>
      </c>
      <c r="U131" s="101">
        <f t="shared" ref="U131:U132" si="206">SUM(P131:T131)</f>
        <v>600</v>
      </c>
      <c r="W131" s="77">
        <v>100</v>
      </c>
      <c r="X131" s="77">
        <v>0</v>
      </c>
      <c r="Y131" s="77">
        <v>50</v>
      </c>
      <c r="Z131" s="77">
        <f>65.69998245+250</f>
        <v>315.69998244999999</v>
      </c>
      <c r="AA131" s="77">
        <f>200+200.36460762+6.07750001</f>
        <v>406.44210763000001</v>
      </c>
      <c r="AB131" s="101">
        <f t="shared" ref="AB131:AB132" si="207">SUM(W131:AA131)</f>
        <v>872.14209008</v>
      </c>
      <c r="AD131" s="77">
        <f>100+334.4</f>
        <v>434.4</v>
      </c>
      <c r="AE131" s="77">
        <f>275+130+229</f>
        <v>634</v>
      </c>
      <c r="AF131" s="151">
        <v>434.8</v>
      </c>
      <c r="AG131" s="151">
        <f>322+43.836386</f>
        <v>365.836386</v>
      </c>
      <c r="AH131" s="151">
        <v>440</v>
      </c>
      <c r="AI131" s="101">
        <f t="shared" si="203"/>
        <v>2309.0363859999998</v>
      </c>
      <c r="AK131" s="101">
        <f t="shared" ref="AK131:AK132" si="208">SUM(AB131,U131,N131,AI131)</f>
        <v>5656.8617600799998</v>
      </c>
      <c r="AL131" s="8"/>
      <c r="AM131" s="108">
        <v>0</v>
      </c>
      <c r="AN131" s="132">
        <f>400+380</f>
        <v>780</v>
      </c>
      <c r="AO131" s="132">
        <v>195</v>
      </c>
      <c r="AP131" s="159">
        <v>0</v>
      </c>
      <c r="AQ131" s="110">
        <v>0</v>
      </c>
      <c r="AR131" s="110">
        <v>0</v>
      </c>
      <c r="AS131" s="110">
        <f>SUM(AM131:AR131)</f>
        <v>975</v>
      </c>
      <c r="AU131" s="101">
        <f>SUM(AK131,AS131)</f>
        <v>6631.8617600799998</v>
      </c>
    </row>
    <row r="132" spans="1:50" ht="15" thickBot="1" x14ac:dyDescent="0.25">
      <c r="A132" s="21" t="s">
        <v>134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>
        <v>42.877049999999997</v>
      </c>
      <c r="N132" s="101">
        <f t="shared" si="205"/>
        <v>42.877049999999997</v>
      </c>
      <c r="P132" s="62">
        <f>128165700/1000000</f>
        <v>128.16569999999999</v>
      </c>
      <c r="Q132" s="62">
        <v>223.5</v>
      </c>
      <c r="R132" s="62">
        <v>214.42</v>
      </c>
      <c r="S132" s="62">
        <f>25+65+6+36.72+105</f>
        <v>237.72</v>
      </c>
      <c r="T132" s="62">
        <f>10+100+12.96</f>
        <v>122.96000000000001</v>
      </c>
      <c r="U132" s="101">
        <f t="shared" si="206"/>
        <v>926.76570000000004</v>
      </c>
      <c r="W132" s="62">
        <f>17+73+8.5+8.64</f>
        <v>107.14</v>
      </c>
      <c r="X132" s="62">
        <f>18.21725+16.5</f>
        <v>34.71725</v>
      </c>
      <c r="Y132" s="62">
        <f>25+20+11.5425</f>
        <v>56.542500000000004</v>
      </c>
      <c r="Z132" s="62">
        <f>55+7.695+6.7625</f>
        <v>69.457499999999996</v>
      </c>
      <c r="AA132" s="62">
        <f>27+48</f>
        <v>75</v>
      </c>
      <c r="AB132" s="101">
        <f t="shared" si="207"/>
        <v>342.85724999999996</v>
      </c>
      <c r="AD132" s="62">
        <v>0</v>
      </c>
      <c r="AE132" s="62">
        <v>0</v>
      </c>
      <c r="AF132" s="144">
        <v>0</v>
      </c>
      <c r="AG132" s="144">
        <v>0</v>
      </c>
      <c r="AH132" s="144">
        <v>0</v>
      </c>
      <c r="AI132" s="101">
        <f t="shared" si="203"/>
        <v>0</v>
      </c>
      <c r="AK132" s="101">
        <f t="shared" si="208"/>
        <v>1312.5</v>
      </c>
      <c r="AL132" s="8"/>
      <c r="AM132" s="37"/>
      <c r="AN132" s="124"/>
      <c r="AO132" s="124"/>
      <c r="AP132" s="163"/>
      <c r="AQ132" s="163"/>
      <c r="AR132" s="124"/>
      <c r="AS132" s="37"/>
      <c r="AU132" s="101">
        <f>SUM(AK132,AS132)</f>
        <v>1312.5</v>
      </c>
    </row>
    <row r="133" spans="1:50" ht="13.5" thickBot="1" x14ac:dyDescent="0.25">
      <c r="A133" s="20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5"/>
      <c r="P133" s="63"/>
      <c r="Q133" s="63"/>
      <c r="R133" s="63"/>
      <c r="S133" s="63"/>
      <c r="T133" s="63"/>
      <c r="U133" s="15"/>
      <c r="W133" s="63"/>
      <c r="X133" s="63"/>
      <c r="Y133" s="63"/>
      <c r="Z133" s="63"/>
      <c r="AA133" s="63"/>
      <c r="AB133" s="15"/>
      <c r="AD133" s="63"/>
      <c r="AE133" s="63"/>
      <c r="AF133" s="145"/>
      <c r="AG133" s="145"/>
      <c r="AH133" s="145"/>
      <c r="AI133" s="15"/>
      <c r="AK133" s="15"/>
      <c r="AL133" s="11"/>
      <c r="AN133" s="124"/>
      <c r="AO133" s="124"/>
      <c r="AP133" s="162"/>
      <c r="AQ133" s="162"/>
      <c r="AR133" s="124"/>
    </row>
    <row r="134" spans="1:50" ht="13.5" thickBot="1" x14ac:dyDescent="0.25">
      <c r="A134" s="22" t="s">
        <v>135</v>
      </c>
      <c r="C134" s="78">
        <f t="shared" ref="C134:N134" si="209">SUM(C129:C132)</f>
        <v>329.48339999999996</v>
      </c>
      <c r="D134" s="78">
        <f t="shared" si="209"/>
        <v>518.08656439000004</v>
      </c>
      <c r="E134" s="78">
        <f t="shared" si="209"/>
        <v>107.88534496</v>
      </c>
      <c r="F134" s="78">
        <f t="shared" si="209"/>
        <v>116.99487873000001</v>
      </c>
      <c r="G134" s="78">
        <f t="shared" si="209"/>
        <v>167.20320235999998</v>
      </c>
      <c r="H134" s="78">
        <f t="shared" si="209"/>
        <v>429.73539605999997</v>
      </c>
      <c r="I134" s="78">
        <f t="shared" si="209"/>
        <v>742.85374649000005</v>
      </c>
      <c r="J134" s="78">
        <f t="shared" si="209"/>
        <v>786.66024400000003</v>
      </c>
      <c r="K134" s="78">
        <f t="shared" si="209"/>
        <v>623.56742725999993</v>
      </c>
      <c r="L134" s="78">
        <f t="shared" si="209"/>
        <v>667.91525982000007</v>
      </c>
      <c r="M134" s="78">
        <f t="shared" si="209"/>
        <v>695.51707400000009</v>
      </c>
      <c r="N134" s="100">
        <f t="shared" si="209"/>
        <v>5185.9025380699995</v>
      </c>
      <c r="P134" s="78">
        <f t="shared" ref="P134:U134" si="210">SUM(P129:P132)</f>
        <v>1226.5223080000001</v>
      </c>
      <c r="Q134" s="78">
        <f t="shared" si="210"/>
        <v>1231.5821338400001</v>
      </c>
      <c r="R134" s="78">
        <f t="shared" si="210"/>
        <v>1721.9218276000001</v>
      </c>
      <c r="S134" s="78">
        <f t="shared" si="210"/>
        <v>1418.8265951600001</v>
      </c>
      <c r="T134" s="78">
        <f t="shared" si="210"/>
        <v>1398.06837741</v>
      </c>
      <c r="U134" s="100">
        <f t="shared" si="210"/>
        <v>6996.9212420099993</v>
      </c>
      <c r="W134" s="78">
        <f t="shared" ref="W134:AB134" si="211">SUM(W129:W132)</f>
        <v>1675.6381930200002</v>
      </c>
      <c r="X134" s="78">
        <f t="shared" si="211"/>
        <v>1505.2184069099999</v>
      </c>
      <c r="Y134" s="78">
        <f t="shared" si="211"/>
        <v>1594.9165361125001</v>
      </c>
      <c r="Z134" s="78">
        <f t="shared" si="211"/>
        <v>1995.8166677600002</v>
      </c>
      <c r="AA134" s="78">
        <f t="shared" si="211"/>
        <v>1944.6831767058161</v>
      </c>
      <c r="AB134" s="100">
        <f t="shared" si="211"/>
        <v>8716.2729805083145</v>
      </c>
      <c r="AD134" s="78">
        <f>SUM(AD129:AD132)</f>
        <v>1516.4087972100001</v>
      </c>
      <c r="AE134" s="78">
        <f>SUM(AE129:AE132)</f>
        <v>2108.4788520819293</v>
      </c>
      <c r="AF134" s="78">
        <f>SUM(AF129:AF132)</f>
        <v>2116.36238563396</v>
      </c>
      <c r="AG134" s="78">
        <f>SUM(AG129:AG132)</f>
        <v>2575.8395464982004</v>
      </c>
      <c r="AH134" s="78">
        <f>SUM(AH129:AH132)</f>
        <v>1389.5289487033324</v>
      </c>
      <c r="AI134" s="100">
        <f t="shared" si="203"/>
        <v>9706.6185301274236</v>
      </c>
      <c r="AK134" s="100">
        <f>SUM(AK129:AK132)</f>
        <v>30605.71529071574</v>
      </c>
      <c r="AL134" s="11"/>
      <c r="AM134" s="108">
        <f t="shared" ref="AM134:AS134" si="212">SUM(AM129:AM132)</f>
        <v>353.31397632999995</v>
      </c>
      <c r="AN134" s="132">
        <f t="shared" si="212"/>
        <v>7808.1154799700007</v>
      </c>
      <c r="AO134" s="132">
        <f t="shared" si="212"/>
        <v>1772.1851955699999</v>
      </c>
      <c r="AP134" s="159">
        <f t="shared" si="212"/>
        <v>479.89687636000002</v>
      </c>
      <c r="AQ134" s="110">
        <f t="shared" si="212"/>
        <v>229.72704995000004</v>
      </c>
      <c r="AR134" s="110">
        <f>SUM(AR129:AR132)</f>
        <v>215.25867</v>
      </c>
      <c r="AS134" s="110">
        <f t="shared" si="212"/>
        <v>10858.49724818</v>
      </c>
      <c r="AU134" s="100">
        <f>SUM(AU129:AU132)</f>
        <v>41464.212538895743</v>
      </c>
      <c r="AW134" s="166"/>
      <c r="AX134" s="167"/>
    </row>
    <row r="135" spans="1:50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P135" s="23"/>
      <c r="Q135" s="23"/>
      <c r="R135" s="23"/>
      <c r="S135" s="23"/>
      <c r="T135" s="23"/>
      <c r="U135" s="23"/>
      <c r="W135" s="23"/>
      <c r="X135" s="23"/>
      <c r="Y135" s="23"/>
      <c r="Z135" s="23"/>
      <c r="AA135" s="23"/>
      <c r="AB135" s="23"/>
      <c r="AD135" s="23"/>
      <c r="AE135" s="23"/>
      <c r="AF135" s="23"/>
      <c r="AG135" s="23"/>
      <c r="AH135" s="23"/>
      <c r="AK135" s="23"/>
      <c r="AN135" s="124"/>
      <c r="AO135" s="124"/>
      <c r="AP135" s="161"/>
      <c r="AQ135" s="161"/>
      <c r="AR135" s="178"/>
    </row>
    <row r="136" spans="1:50" ht="13.5" thickBot="1" x14ac:dyDescent="0.25">
      <c r="A136" s="118" t="s">
        <v>136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P136" s="23"/>
      <c r="Q136" s="23"/>
      <c r="R136" s="23"/>
      <c r="S136" s="23"/>
      <c r="T136" s="23"/>
      <c r="U136" s="23"/>
      <c r="W136" s="23"/>
      <c r="X136" s="23"/>
      <c r="Y136" s="23"/>
      <c r="Z136" s="23"/>
      <c r="AA136" s="23"/>
      <c r="AB136" s="23"/>
      <c r="AD136" s="23"/>
      <c r="AE136" s="23"/>
      <c r="AF136" s="23"/>
      <c r="AG136" s="23"/>
      <c r="AH136" s="23"/>
      <c r="AI136" s="23"/>
      <c r="AK136" s="23"/>
      <c r="AM136" s="134"/>
      <c r="AN136" s="134"/>
      <c r="AO136" s="134"/>
      <c r="AP136" s="162"/>
      <c r="AQ136" s="162"/>
      <c r="AR136" s="124"/>
    </row>
    <row r="137" spans="1:50" ht="13.5" thickBot="1" x14ac:dyDescent="0.25">
      <c r="A137" s="119" t="s">
        <v>15</v>
      </c>
      <c r="N137" s="124"/>
      <c r="U137" s="124"/>
      <c r="AB137" s="124"/>
      <c r="AD137" s="124"/>
      <c r="AE137" s="124"/>
      <c r="AF137" s="124"/>
      <c r="AG137" s="124"/>
      <c r="AH137" s="124"/>
      <c r="AI137" s="124"/>
      <c r="AK137" s="124"/>
      <c r="AL137" s="32"/>
      <c r="AM137" s="105"/>
      <c r="AN137" s="129"/>
      <c r="AO137" s="129">
        <v>1.1366000000000001</v>
      </c>
      <c r="AP137" s="156"/>
      <c r="AQ137" s="152"/>
      <c r="AR137" s="152"/>
      <c r="AS137" s="112">
        <f t="shared" ref="AS137:AS146" si="213">SUM(AM137:AQ137)</f>
        <v>1.1366000000000001</v>
      </c>
    </row>
    <row r="138" spans="1:50" ht="13.5" thickBot="1" x14ac:dyDescent="0.25">
      <c r="A138" s="26" t="s">
        <v>137</v>
      </c>
      <c r="AE138" s="124"/>
      <c r="AF138" s="124"/>
      <c r="AG138" s="124"/>
      <c r="AH138" s="124"/>
      <c r="AL138" s="32"/>
      <c r="AM138" s="106"/>
      <c r="AN138" s="130">
        <v>55.759120601333301</v>
      </c>
      <c r="AO138" s="130">
        <f>24.28132446+62.69823707</f>
        <v>86.979561529999998</v>
      </c>
      <c r="AP138" s="157"/>
      <c r="AQ138" s="153"/>
      <c r="AR138" s="153"/>
      <c r="AS138" s="113">
        <f t="shared" si="213"/>
        <v>142.73868213133329</v>
      </c>
    </row>
    <row r="139" spans="1:50" ht="13.5" thickBot="1" x14ac:dyDescent="0.25">
      <c r="A139" s="26" t="s">
        <v>138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P139" s="139"/>
      <c r="Q139" s="139"/>
      <c r="R139" s="139"/>
      <c r="S139" s="139"/>
      <c r="T139" s="139"/>
      <c r="W139" s="139"/>
      <c r="X139" s="139"/>
      <c r="Y139" s="139"/>
      <c r="Z139" s="139"/>
      <c r="AA139" s="139"/>
      <c r="AE139" s="124"/>
      <c r="AF139" s="124"/>
      <c r="AG139" s="124"/>
      <c r="AH139" s="124"/>
      <c r="AL139" s="32"/>
      <c r="AM139" s="106"/>
      <c r="AN139" s="130"/>
      <c r="AO139" s="130">
        <v>355.22177411000001</v>
      </c>
      <c r="AP139" s="157"/>
      <c r="AQ139" s="153"/>
      <c r="AR139" s="153"/>
      <c r="AS139" s="113">
        <f t="shared" si="213"/>
        <v>355.22177411000001</v>
      </c>
    </row>
    <row r="140" spans="1:50" ht="13.5" thickBot="1" x14ac:dyDescent="0.25">
      <c r="A140" s="26" t="s">
        <v>27</v>
      </c>
      <c r="AL140" s="32"/>
      <c r="AM140" s="106"/>
      <c r="AN140" s="130">
        <v>22.514199999999999</v>
      </c>
      <c r="AO140" s="130"/>
      <c r="AP140" s="157"/>
      <c r="AQ140" s="153"/>
      <c r="AR140" s="153"/>
      <c r="AS140" s="113">
        <f t="shared" si="213"/>
        <v>22.514199999999999</v>
      </c>
    </row>
    <row r="141" spans="1:50" ht="13.5" thickBot="1" x14ac:dyDescent="0.25">
      <c r="A141" s="16" t="s">
        <v>28</v>
      </c>
      <c r="AL141" s="32"/>
      <c r="AM141" s="106"/>
      <c r="AN141" s="130">
        <v>212.699106818182</v>
      </c>
      <c r="AO141" s="130">
        <f>101.82+315.45</f>
        <v>417.27</v>
      </c>
      <c r="AP141" s="157"/>
      <c r="AQ141" s="153"/>
      <c r="AR141" s="153"/>
      <c r="AS141" s="113">
        <f t="shared" si="213"/>
        <v>629.96910681818201</v>
      </c>
    </row>
    <row r="142" spans="1:50" ht="13.5" thickBot="1" x14ac:dyDescent="0.25">
      <c r="A142" s="16" t="s">
        <v>32</v>
      </c>
      <c r="AL142" s="32"/>
      <c r="AM142" s="106"/>
      <c r="AN142" s="130"/>
      <c r="AO142" s="130">
        <v>3.8555999999999999</v>
      </c>
      <c r="AP142" s="157"/>
      <c r="AQ142" s="153"/>
      <c r="AR142" s="153"/>
      <c r="AS142" s="113">
        <f t="shared" si="213"/>
        <v>3.8555999999999999</v>
      </c>
    </row>
    <row r="143" spans="1:50" ht="13.5" thickBot="1" x14ac:dyDescent="0.25">
      <c r="A143" s="137" t="s">
        <v>139</v>
      </c>
      <c r="AL143" s="32"/>
      <c r="AM143" s="106"/>
      <c r="AN143" s="130"/>
      <c r="AO143" s="130"/>
      <c r="AP143" s="157">
        <f>92.78350515+38.1443299</f>
        <v>130.92783505</v>
      </c>
      <c r="AQ143" s="153"/>
      <c r="AR143" s="153"/>
      <c r="AS143" s="113">
        <f t="shared" si="213"/>
        <v>130.92783505</v>
      </c>
    </row>
    <row r="144" spans="1:50" ht="13.5" thickBot="1" x14ac:dyDescent="0.25">
      <c r="A144" s="26" t="s">
        <v>46</v>
      </c>
      <c r="AL144" s="32"/>
      <c r="AM144" s="106"/>
      <c r="AN144" s="130">
        <v>6.0381</v>
      </c>
      <c r="AO144" s="130">
        <v>2.9897999999999998</v>
      </c>
      <c r="AP144" s="157"/>
      <c r="AQ144" s="153"/>
      <c r="AR144" s="153"/>
      <c r="AS144" s="113">
        <f t="shared" si="213"/>
        <v>9.0278999999999989</v>
      </c>
    </row>
    <row r="145" spans="1:47" ht="13.5" thickBot="1" x14ac:dyDescent="0.25">
      <c r="A145" s="16" t="s">
        <v>66</v>
      </c>
      <c r="AL145" s="32"/>
      <c r="AM145" s="106"/>
      <c r="AN145" s="130">
        <v>500</v>
      </c>
      <c r="AO145" s="130"/>
      <c r="AP145" s="157"/>
      <c r="AQ145" s="153"/>
      <c r="AR145" s="153"/>
      <c r="AS145" s="113">
        <f t="shared" si="213"/>
        <v>500</v>
      </c>
    </row>
    <row r="146" spans="1:47" ht="13.5" thickBot="1" x14ac:dyDescent="0.25">
      <c r="A146" s="121" t="s">
        <v>140</v>
      </c>
      <c r="AL146" s="32"/>
      <c r="AM146" s="106"/>
      <c r="AN146" s="130">
        <v>30</v>
      </c>
      <c r="AO146" s="130"/>
      <c r="AP146" s="157"/>
      <c r="AQ146" s="153"/>
      <c r="AR146" s="153"/>
      <c r="AS146" s="113">
        <f t="shared" si="213"/>
        <v>30</v>
      </c>
    </row>
    <row r="147" spans="1:47" ht="13.5" thickBot="1" x14ac:dyDescent="0.25">
      <c r="AL147" s="11"/>
      <c r="AM147" s="108">
        <f t="shared" ref="AM147" si="214">SUM(AM137:AM146)</f>
        <v>0</v>
      </c>
      <c r="AN147" s="132">
        <f>SUM(AN137:AN146)</f>
        <v>827.01052741951526</v>
      </c>
      <c r="AO147" s="132">
        <f t="shared" ref="AO147" si="215">SUM(AO137:AO146)</f>
        <v>867.45333563999998</v>
      </c>
      <c r="AP147" s="159">
        <f t="shared" ref="AP147" si="216">SUM(AP137:AP146)</f>
        <v>130.92783505</v>
      </c>
      <c r="AQ147" s="110">
        <f>SUM(AQ137:AQ146)</f>
        <v>0</v>
      </c>
      <c r="AR147" s="110">
        <f>SUM(AR137:AR146)</f>
        <v>0</v>
      </c>
      <c r="AS147" s="110">
        <f t="shared" ref="AS147" si="217">SUM(AS137:AS146)</f>
        <v>1825.3916981095153</v>
      </c>
    </row>
    <row r="148" spans="1:47" ht="13.5" thickBot="1" x14ac:dyDescent="0.25">
      <c r="A148" s="118" t="s">
        <v>141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P148" s="23"/>
      <c r="Q148" s="23"/>
      <c r="R148" s="23"/>
      <c r="S148" s="23"/>
      <c r="T148" s="23"/>
      <c r="U148" s="23"/>
      <c r="W148" s="23"/>
      <c r="X148" s="23"/>
      <c r="Y148" s="23"/>
      <c r="Z148" s="23"/>
      <c r="AA148" s="23"/>
      <c r="AB148" s="23"/>
      <c r="AD148" s="23"/>
      <c r="AE148" s="23"/>
      <c r="AF148" s="23"/>
      <c r="AG148" s="23"/>
      <c r="AH148" s="23"/>
      <c r="AI148" s="23"/>
      <c r="AK148" s="23"/>
      <c r="AM148" s="117"/>
      <c r="AN148" s="124"/>
      <c r="AO148" s="124"/>
      <c r="AP148" s="160"/>
      <c r="AQ148" s="160"/>
      <c r="AR148" s="124"/>
    </row>
    <row r="149" spans="1:47" ht="13.5" thickBot="1" x14ac:dyDescent="0.25">
      <c r="A149" s="119" t="s">
        <v>142</v>
      </c>
      <c r="N149" s="124"/>
      <c r="U149" s="124"/>
      <c r="AB149" s="124"/>
      <c r="AD149" s="124"/>
      <c r="AE149" s="124"/>
      <c r="AF149" s="124"/>
      <c r="AG149" s="124"/>
      <c r="AH149" s="124"/>
      <c r="AI149" s="124"/>
      <c r="AK149" s="124"/>
      <c r="AL149" s="32"/>
      <c r="AM149" s="105"/>
      <c r="AN149" s="129"/>
      <c r="AO149" s="129"/>
      <c r="AP149" s="156">
        <v>5.1667330700000003</v>
      </c>
      <c r="AQ149" s="152"/>
      <c r="AR149" s="152"/>
      <c r="AS149" s="112">
        <f t="shared" ref="AS149:AS156" si="218">SUM(AM149:AQ149)</f>
        <v>5.1667330700000003</v>
      </c>
    </row>
    <row r="150" spans="1:47" ht="13.5" thickBot="1" x14ac:dyDescent="0.25">
      <c r="A150" s="26" t="s">
        <v>15</v>
      </c>
      <c r="AE150" s="124"/>
      <c r="AF150" s="124"/>
      <c r="AG150" s="124"/>
      <c r="AH150" s="124"/>
      <c r="AL150" s="32"/>
      <c r="AM150" s="106"/>
      <c r="AN150" s="130"/>
      <c r="AO150" s="130">
        <v>3.4098000000000002</v>
      </c>
      <c r="AP150" s="157">
        <v>2.47112</v>
      </c>
      <c r="AQ150" s="153"/>
      <c r="AR150" s="153"/>
      <c r="AS150" s="113">
        <f t="shared" si="218"/>
        <v>5.8809199999999997</v>
      </c>
    </row>
    <row r="151" spans="1:47" ht="13.5" thickBot="1" x14ac:dyDescent="0.25">
      <c r="A151" s="16" t="s">
        <v>137</v>
      </c>
      <c r="AL151" s="32"/>
      <c r="AM151" s="106"/>
      <c r="AN151" s="130"/>
      <c r="AO151" s="130">
        <f>8.01217851+1.82089318+18.458374+3.69767552</f>
        <v>31.98912121</v>
      </c>
      <c r="AP151" s="157"/>
      <c r="AQ151" s="153"/>
      <c r="AR151" s="153"/>
      <c r="AS151" s="113">
        <f t="shared" si="218"/>
        <v>31.98912121</v>
      </c>
    </row>
    <row r="152" spans="1:47" ht="13.5" thickBot="1" x14ac:dyDescent="0.25">
      <c r="A152" s="16" t="s">
        <v>23</v>
      </c>
      <c r="AL152" s="32"/>
      <c r="AM152" s="106"/>
      <c r="AN152" s="130">
        <v>2.2736163</v>
      </c>
      <c r="AO152" s="130"/>
      <c r="AP152" s="157"/>
      <c r="AQ152" s="153"/>
      <c r="AR152" s="153"/>
      <c r="AS152" s="113">
        <f t="shared" si="218"/>
        <v>2.2736163</v>
      </c>
    </row>
    <row r="153" spans="1:47" ht="13.5" thickBot="1" x14ac:dyDescent="0.25">
      <c r="A153" s="26" t="s">
        <v>138</v>
      </c>
      <c r="AE153" s="124"/>
      <c r="AF153" s="124"/>
      <c r="AG153" s="124"/>
      <c r="AH153" s="124"/>
      <c r="AL153" s="32"/>
      <c r="AM153" s="106"/>
      <c r="AN153" s="130"/>
      <c r="AO153" s="130">
        <v>42.540725889999997</v>
      </c>
      <c r="AP153" s="157"/>
      <c r="AQ153" s="153"/>
      <c r="AR153" s="153"/>
      <c r="AS153" s="113">
        <f t="shared" si="218"/>
        <v>42.540725889999997</v>
      </c>
    </row>
    <row r="154" spans="1:47" ht="13.5" thickBot="1" x14ac:dyDescent="0.25">
      <c r="A154" s="16" t="s">
        <v>32</v>
      </c>
      <c r="AL154" s="32"/>
      <c r="AM154" s="106"/>
      <c r="AN154" s="130">
        <v>1.694205</v>
      </c>
      <c r="AO154" s="130">
        <v>0.55079999999999996</v>
      </c>
      <c r="AP154" s="157"/>
      <c r="AQ154" s="153"/>
      <c r="AR154" s="153"/>
      <c r="AS154" s="113">
        <f t="shared" si="218"/>
        <v>2.2450049999999999</v>
      </c>
    </row>
    <row r="155" spans="1:47" ht="13.5" thickBot="1" x14ac:dyDescent="0.25">
      <c r="A155" s="26" t="s">
        <v>46</v>
      </c>
      <c r="AL155" s="32"/>
      <c r="AM155" s="106"/>
      <c r="AN155" s="130">
        <f>0.5004+0.31878</f>
        <v>0.81918000000000002</v>
      </c>
      <c r="AO155" s="130">
        <f>3.43368-2.9898</f>
        <v>0.44388000000000005</v>
      </c>
      <c r="AP155" s="157"/>
      <c r="AQ155" s="153"/>
      <c r="AR155" s="153"/>
      <c r="AS155" s="113">
        <f t="shared" si="218"/>
        <v>1.2630600000000001</v>
      </c>
      <c r="AU155" s="126"/>
    </row>
    <row r="156" spans="1:47" ht="13.5" thickBot="1" x14ac:dyDescent="0.25">
      <c r="A156" s="120" t="s">
        <v>143</v>
      </c>
      <c r="AL156" s="32"/>
      <c r="AM156" s="106"/>
      <c r="AN156" s="130">
        <v>2.1377728</v>
      </c>
      <c r="AO156" s="130"/>
      <c r="AP156" s="157"/>
      <c r="AQ156" s="153"/>
      <c r="AR156" s="153"/>
      <c r="AS156" s="113">
        <f t="shared" si="218"/>
        <v>2.1377728</v>
      </c>
    </row>
    <row r="157" spans="1:47" ht="13.5" thickBot="1" x14ac:dyDescent="0.25">
      <c r="AL157" s="11"/>
      <c r="AM157" s="108">
        <f>SUM(AM149:AM156)</f>
        <v>0</v>
      </c>
      <c r="AN157" s="132">
        <f t="shared" ref="AN157:AS157" si="219">SUM(AN149:AN156)</f>
        <v>6.9247741000000005</v>
      </c>
      <c r="AO157" s="132">
        <f t="shared" ref="AO157:AQ157" si="220">SUM(AO149:AO156)</f>
        <v>78.93432709999999</v>
      </c>
      <c r="AP157" s="159">
        <f t="shared" ref="AP157:AR157" si="221">SUM(AP149:AP156)</f>
        <v>7.6378530700000002</v>
      </c>
      <c r="AQ157" s="110">
        <f t="shared" si="220"/>
        <v>0</v>
      </c>
      <c r="AR157" s="110">
        <f t="shared" si="221"/>
        <v>0</v>
      </c>
      <c r="AS157" s="110">
        <f t="shared" si="219"/>
        <v>93.496954269999989</v>
      </c>
    </row>
    <row r="158" spans="1:47" ht="13.5" thickBot="1" x14ac:dyDescent="0.25">
      <c r="A158" s="118" t="s">
        <v>144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P158" s="23"/>
      <c r="Q158" s="23"/>
      <c r="R158" s="23"/>
      <c r="S158" s="23"/>
      <c r="T158" s="23"/>
      <c r="U158" s="23"/>
      <c r="W158" s="23"/>
      <c r="X158" s="23"/>
      <c r="Y158" s="23"/>
      <c r="Z158" s="23"/>
      <c r="AA158" s="23"/>
      <c r="AB158" s="23"/>
      <c r="AD158" s="23"/>
      <c r="AE158" s="23"/>
      <c r="AF158" s="23"/>
      <c r="AG158" s="23"/>
      <c r="AH158" s="23"/>
      <c r="AI158" s="23"/>
      <c r="AK158" s="23"/>
      <c r="AM158" s="117"/>
      <c r="AN158" s="124"/>
      <c r="AO158" s="124"/>
      <c r="AP158" s="160"/>
      <c r="AQ158" s="160"/>
      <c r="AR158" s="124"/>
    </row>
    <row r="159" spans="1:47" ht="13.5" thickBot="1" x14ac:dyDescent="0.25">
      <c r="A159" s="119" t="s">
        <v>27</v>
      </c>
      <c r="AL159" s="32"/>
      <c r="AM159" s="105"/>
      <c r="AN159" s="129">
        <v>5.6285499999999997</v>
      </c>
      <c r="AO159" s="129"/>
      <c r="AP159" s="156"/>
      <c r="AQ159" s="152"/>
      <c r="AR159" s="152">
        <v>0</v>
      </c>
      <c r="AS159" s="112">
        <f>SUM(AM159:AR159)</f>
        <v>5.6285499999999997</v>
      </c>
    </row>
    <row r="160" spans="1:47" ht="13.5" thickBot="1" x14ac:dyDescent="0.25">
      <c r="A160" s="120" t="s">
        <v>28</v>
      </c>
      <c r="AL160" s="32"/>
      <c r="AM160" s="106"/>
      <c r="AN160" s="130">
        <v>57.77</v>
      </c>
      <c r="AO160" s="130">
        <v>-47.232030369999997</v>
      </c>
      <c r="AP160" s="157"/>
      <c r="AQ160" s="153"/>
      <c r="AR160" s="153">
        <v>0</v>
      </c>
      <c r="AS160" s="112">
        <f>SUM(AM160:AR160)</f>
        <v>10.537969630000006</v>
      </c>
    </row>
    <row r="161" spans="1:47" ht="13.5" thickBot="1" x14ac:dyDescent="0.25">
      <c r="AL161" s="11"/>
      <c r="AM161" s="108">
        <f t="shared" ref="AM161:AS161" si="222">SUM(AM159:AM160)</f>
        <v>0</v>
      </c>
      <c r="AN161" s="132">
        <f t="shared" si="222"/>
        <v>63.39855</v>
      </c>
      <c r="AO161" s="132">
        <f t="shared" si="222"/>
        <v>-47.232030369999997</v>
      </c>
      <c r="AP161" s="159">
        <f t="shared" si="222"/>
        <v>0</v>
      </c>
      <c r="AQ161" s="110">
        <f t="shared" si="222"/>
        <v>0</v>
      </c>
      <c r="AR161" s="110">
        <v>0</v>
      </c>
      <c r="AS161" s="110">
        <f t="shared" si="222"/>
        <v>16.166519630000007</v>
      </c>
    </row>
    <row r="163" spans="1:47" x14ac:dyDescent="0.2">
      <c r="AP163" s="138"/>
      <c r="AQ163" s="138"/>
      <c r="AR163" s="138"/>
    </row>
    <row r="164" spans="1:47" ht="17.25" customHeight="1" x14ac:dyDescent="0.2">
      <c r="A164" s="125" t="s">
        <v>145</v>
      </c>
      <c r="AD164" s="122"/>
      <c r="AE164" s="122"/>
      <c r="AF164" s="122"/>
      <c r="AG164" s="122"/>
      <c r="AH164" s="122"/>
      <c r="AI164" s="122"/>
      <c r="AJ164" s="123"/>
      <c r="AK164" s="123"/>
      <c r="AS164" s="122"/>
      <c r="AU164" s="123"/>
    </row>
    <row r="165" spans="1:47" s="171" customFormat="1" ht="12" customHeight="1" x14ac:dyDescent="0.2">
      <c r="A165" s="181" t="s">
        <v>146</v>
      </c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1"/>
      <c r="AG165" s="181"/>
      <c r="AH165" s="181"/>
      <c r="AI165" s="181"/>
      <c r="AJ165" s="181"/>
      <c r="AK165" s="181"/>
      <c r="AL165" s="181"/>
      <c r="AM165" s="181"/>
      <c r="AN165" s="181"/>
      <c r="AO165" s="181"/>
      <c r="AP165" s="181"/>
      <c r="AQ165" s="181"/>
      <c r="AR165" s="181"/>
      <c r="AS165" s="181"/>
      <c r="AT165" s="181"/>
      <c r="AU165" s="181"/>
    </row>
    <row r="166" spans="1:47" s="171" customFormat="1" x14ac:dyDescent="0.2">
      <c r="A166" s="181" t="s">
        <v>147</v>
      </c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81"/>
      <c r="AK166" s="181"/>
      <c r="AL166" s="181"/>
      <c r="AM166" s="181"/>
      <c r="AN166" s="181"/>
      <c r="AO166" s="181"/>
      <c r="AP166" s="181"/>
      <c r="AQ166" s="181"/>
      <c r="AR166" s="181"/>
      <c r="AS166" s="181"/>
      <c r="AT166" s="181"/>
      <c r="AU166" s="181"/>
    </row>
    <row r="167" spans="1:47" s="171" customFormat="1" ht="30.75" customHeight="1" x14ac:dyDescent="0.2">
      <c r="A167" s="181" t="s">
        <v>148</v>
      </c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  <c r="AG167" s="181"/>
      <c r="AH167" s="181"/>
      <c r="AI167" s="181"/>
      <c r="AJ167" s="181"/>
      <c r="AK167" s="181"/>
      <c r="AL167" s="181"/>
      <c r="AM167" s="181"/>
      <c r="AN167" s="181"/>
      <c r="AO167" s="181"/>
      <c r="AP167" s="181"/>
      <c r="AQ167" s="181"/>
      <c r="AR167" s="181"/>
      <c r="AS167" s="181"/>
      <c r="AT167" s="181"/>
      <c r="AU167" s="181"/>
    </row>
    <row r="168" spans="1:47" s="171" customFormat="1" ht="12" customHeight="1" x14ac:dyDescent="0.2">
      <c r="A168" s="181" t="s">
        <v>149</v>
      </c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  <c r="AG168" s="181"/>
      <c r="AH168" s="181"/>
      <c r="AI168" s="181"/>
      <c r="AJ168" s="181"/>
      <c r="AK168" s="181"/>
      <c r="AL168" s="181"/>
      <c r="AM168" s="181"/>
      <c r="AN168" s="181"/>
      <c r="AO168" s="181"/>
      <c r="AP168" s="181"/>
      <c r="AQ168" s="181"/>
      <c r="AR168" s="181"/>
      <c r="AS168" s="181"/>
      <c r="AT168" s="181"/>
      <c r="AU168" s="181"/>
    </row>
    <row r="169" spans="1:47" s="171" customFormat="1" ht="12" customHeight="1" x14ac:dyDescent="0.2">
      <c r="A169" s="172" t="s">
        <v>150</v>
      </c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P169" s="173"/>
      <c r="Q169" s="173"/>
      <c r="R169" s="173"/>
      <c r="S169" s="173"/>
      <c r="T169" s="173"/>
      <c r="U169" s="173"/>
      <c r="W169" s="173"/>
      <c r="X169" s="173"/>
      <c r="Y169" s="173"/>
      <c r="Z169" s="173"/>
      <c r="AA169" s="173"/>
      <c r="AB169" s="173"/>
      <c r="AD169" s="173"/>
      <c r="AE169" s="173"/>
      <c r="AF169" s="173"/>
      <c r="AG169" s="173"/>
      <c r="AH169" s="173"/>
      <c r="AI169" s="173"/>
      <c r="AK169" s="173"/>
      <c r="AL169" s="173"/>
      <c r="AM169" s="174"/>
      <c r="AS169" s="174"/>
    </row>
    <row r="170" spans="1:47" s="171" customFormat="1" ht="12" customHeight="1" x14ac:dyDescent="0.2">
      <c r="A170" s="181" t="s">
        <v>151</v>
      </c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181"/>
      <c r="AT170" s="181"/>
      <c r="AU170" s="181"/>
    </row>
    <row r="171" spans="1:47" s="171" customFormat="1" x14ac:dyDescent="0.2">
      <c r="A171" s="172" t="s">
        <v>152</v>
      </c>
      <c r="L171" s="175"/>
      <c r="M171" s="175"/>
      <c r="N171" s="175"/>
      <c r="P171" s="175"/>
      <c r="Q171" s="175"/>
      <c r="R171" s="175"/>
      <c r="S171" s="175"/>
      <c r="T171" s="175"/>
      <c r="U171" s="175"/>
      <c r="W171" s="175"/>
      <c r="X171" s="175"/>
      <c r="Y171" s="175"/>
      <c r="Z171" s="175"/>
      <c r="AA171" s="175"/>
      <c r="AB171" s="175"/>
      <c r="AD171" s="175"/>
      <c r="AE171" s="175"/>
      <c r="AF171" s="175"/>
      <c r="AG171" s="175"/>
      <c r="AH171" s="175"/>
      <c r="AI171" s="175"/>
    </row>
    <row r="172" spans="1:47" s="171" customFormat="1" ht="43.5" customHeight="1" x14ac:dyDescent="0.2">
      <c r="A172" s="181" t="s">
        <v>153</v>
      </c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1"/>
      <c r="AM172" s="181"/>
      <c r="AN172" s="181"/>
      <c r="AO172" s="181"/>
      <c r="AP172" s="181"/>
      <c r="AQ172" s="181"/>
      <c r="AR172" s="181"/>
      <c r="AS172" s="181"/>
      <c r="AT172" s="181"/>
      <c r="AU172" s="181"/>
    </row>
    <row r="173" spans="1:47" s="171" customFormat="1" ht="12" customHeight="1" x14ac:dyDescent="0.2">
      <c r="A173" s="172" t="s">
        <v>154</v>
      </c>
    </row>
    <row r="174" spans="1:47" x14ac:dyDescent="0.2">
      <c r="A174" s="172" t="s">
        <v>159</v>
      </c>
    </row>
    <row r="176" spans="1:47" ht="42" customHeight="1" x14ac:dyDescent="0.35">
      <c r="A176" s="30" t="s">
        <v>155</v>
      </c>
    </row>
    <row r="177" spans="1:38" s="169" customFormat="1" ht="15.75" x14ac:dyDescent="0.25">
      <c r="A177" s="168" t="s">
        <v>1</v>
      </c>
      <c r="P177" s="170"/>
      <c r="Q177" s="170"/>
      <c r="R177" s="170"/>
      <c r="S177" s="170"/>
      <c r="T177" s="170"/>
      <c r="W177" s="170"/>
      <c r="X177" s="170"/>
      <c r="Y177" s="170"/>
      <c r="Z177" s="170"/>
      <c r="AA177" s="170"/>
      <c r="AD177" s="170"/>
      <c r="AE177" s="170"/>
      <c r="AF177" s="170"/>
      <c r="AG177" s="170"/>
      <c r="AH177" s="170"/>
      <c r="AI177" s="170"/>
    </row>
    <row r="178" spans="1:38" ht="15.75" x14ac:dyDescent="0.25">
      <c r="A178" s="3" t="s">
        <v>2</v>
      </c>
      <c r="C178" s="4"/>
      <c r="D178" s="4"/>
      <c r="E178" s="4"/>
      <c r="F178" s="4"/>
      <c r="G178" s="4"/>
      <c r="H178" s="4"/>
      <c r="I178" s="4"/>
      <c r="J178" s="4"/>
    </row>
    <row r="179" spans="1:38" ht="13.5" thickBot="1" x14ac:dyDescent="0.25"/>
    <row r="180" spans="1:38" ht="30.75" thickBot="1" x14ac:dyDescent="0.3">
      <c r="A180" s="5"/>
      <c r="C180" s="6">
        <v>2000</v>
      </c>
      <c r="D180" s="6">
        <v>2001</v>
      </c>
      <c r="E180" s="6">
        <v>2002</v>
      </c>
      <c r="F180" s="6">
        <v>2003</v>
      </c>
      <c r="G180" s="6">
        <v>2004</v>
      </c>
      <c r="H180" s="7">
        <v>2005</v>
      </c>
      <c r="I180" s="6">
        <v>2006</v>
      </c>
      <c r="J180" s="7">
        <v>2007</v>
      </c>
      <c r="K180" s="6">
        <v>2008</v>
      </c>
      <c r="L180" s="7">
        <v>2009</v>
      </c>
      <c r="M180" s="7">
        <v>2010</v>
      </c>
      <c r="N180" s="40" t="s">
        <v>6</v>
      </c>
      <c r="P180" s="7">
        <v>2011</v>
      </c>
      <c r="Q180" s="7">
        <v>2012</v>
      </c>
      <c r="R180" s="7">
        <v>2013</v>
      </c>
      <c r="S180" s="7">
        <v>2014</v>
      </c>
      <c r="T180" s="7">
        <v>2015</v>
      </c>
      <c r="U180" s="40" t="s">
        <v>7</v>
      </c>
      <c r="W180" s="7">
        <v>2016</v>
      </c>
      <c r="X180" s="7">
        <v>2017</v>
      </c>
      <c r="Y180" s="7">
        <v>2018</v>
      </c>
      <c r="Z180" s="7">
        <v>2019</v>
      </c>
      <c r="AA180" s="7">
        <v>2020</v>
      </c>
      <c r="AB180" s="40" t="s">
        <v>8</v>
      </c>
      <c r="AK180" s="41" t="s">
        <v>10</v>
      </c>
    </row>
    <row r="181" spans="1:38" ht="13.5" thickBot="1" x14ac:dyDescent="0.25">
      <c r="A181" s="9" t="s">
        <v>156</v>
      </c>
      <c r="C181" s="42"/>
      <c r="D181" s="49"/>
      <c r="E181" s="49"/>
      <c r="F181" s="49"/>
      <c r="G181" s="49"/>
      <c r="H181" s="50"/>
      <c r="I181" s="42"/>
      <c r="J181" s="54"/>
      <c r="K181" s="47"/>
      <c r="L181" s="42"/>
      <c r="M181" s="42"/>
      <c r="N181" s="86"/>
      <c r="P181" s="42"/>
      <c r="Q181" s="48"/>
      <c r="R181" s="48"/>
      <c r="S181" s="48">
        <v>30.742000000000001</v>
      </c>
      <c r="T181" s="48">
        <v>24.263000000000002</v>
      </c>
      <c r="U181" s="86">
        <f t="shared" ref="U181:U182" si="223">SUM(P181:T181)</f>
        <v>55.005000000000003</v>
      </c>
      <c r="W181" s="48">
        <v>22.976890000000001</v>
      </c>
      <c r="X181" s="48">
        <v>22.191076850000002</v>
      </c>
      <c r="Y181" s="48">
        <v>24.479173379999999</v>
      </c>
      <c r="Z181" s="48">
        <v>22.397200000000002</v>
      </c>
      <c r="AA181" s="48"/>
      <c r="AB181" s="86">
        <f t="shared" ref="AB181:AB182" si="224">SUM(W181:AA181)</f>
        <v>92.044340229999989</v>
      </c>
      <c r="AK181" s="96">
        <f t="shared" ref="AK181:AK182" si="225">SUM(AB181,U181,N181)</f>
        <v>147.04934022999998</v>
      </c>
    </row>
    <row r="182" spans="1:38" ht="13.5" thickBot="1" x14ac:dyDescent="0.25">
      <c r="A182" s="27" t="s">
        <v>143</v>
      </c>
      <c r="C182" s="42"/>
      <c r="D182" s="49"/>
      <c r="E182" s="49"/>
      <c r="F182" s="49"/>
      <c r="G182" s="49"/>
      <c r="H182" s="50"/>
      <c r="I182" s="42"/>
      <c r="J182" s="54"/>
      <c r="K182" s="47"/>
      <c r="L182" s="42"/>
      <c r="M182" s="42"/>
      <c r="N182" s="88"/>
      <c r="P182" s="42"/>
      <c r="Q182" s="48"/>
      <c r="R182" s="48"/>
      <c r="S182" s="48"/>
      <c r="T182" s="48">
        <v>4.7321999999999997</v>
      </c>
      <c r="U182" s="88">
        <f t="shared" si="223"/>
        <v>4.7321999999999997</v>
      </c>
      <c r="W182" s="48">
        <v>18.600539999999999</v>
      </c>
      <c r="X182" s="48">
        <v>11.45331</v>
      </c>
      <c r="Y182" s="48">
        <v>5.2708399999999997</v>
      </c>
      <c r="Z182" s="48"/>
      <c r="AA182" s="48"/>
      <c r="AB182" s="88">
        <f t="shared" si="224"/>
        <v>35.324689999999997</v>
      </c>
      <c r="AK182" s="96">
        <f t="shared" si="225"/>
        <v>40.056889999999996</v>
      </c>
    </row>
    <row r="183" spans="1:38" ht="13.5" thickBot="1" x14ac:dyDescent="0.25">
      <c r="A183" s="13" t="s">
        <v>68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101"/>
      <c r="P183" s="62"/>
      <c r="Q183" s="62"/>
      <c r="R183" s="62"/>
      <c r="S183" s="62">
        <f t="shared" ref="S183:AK183" si="226">SUM(S181:S182)</f>
        <v>30.742000000000001</v>
      </c>
      <c r="T183" s="62">
        <f t="shared" si="226"/>
        <v>28.995200000000001</v>
      </c>
      <c r="U183" s="89">
        <f t="shared" si="226"/>
        <v>59.737200000000001</v>
      </c>
      <c r="W183" s="62">
        <f t="shared" si="226"/>
        <v>41.57743</v>
      </c>
      <c r="X183" s="62">
        <f t="shared" si="226"/>
        <v>33.644386850000004</v>
      </c>
      <c r="Y183" s="62">
        <f t="shared" si="226"/>
        <v>29.750013379999999</v>
      </c>
      <c r="Z183" s="62">
        <f t="shared" si="226"/>
        <v>22.397200000000002</v>
      </c>
      <c r="AA183" s="62">
        <f t="shared" si="226"/>
        <v>0</v>
      </c>
      <c r="AB183" s="89">
        <f t="shared" si="226"/>
        <v>127.36903022999999</v>
      </c>
      <c r="AK183" s="101">
        <f t="shared" si="226"/>
        <v>187.10623022999999</v>
      </c>
    </row>
    <row r="184" spans="1:38" ht="13.5" thickBot="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P184" s="4"/>
      <c r="Q184" s="4"/>
      <c r="R184" s="4"/>
      <c r="S184" s="4"/>
      <c r="T184" s="4"/>
      <c r="W184" s="4"/>
      <c r="X184" s="4"/>
      <c r="Y184" s="4"/>
      <c r="Z184" s="4"/>
      <c r="AA184" s="4"/>
    </row>
    <row r="185" spans="1:38" ht="13.5" thickBot="1" x14ac:dyDescent="0.25">
      <c r="A185" s="29" t="s">
        <v>140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86"/>
      <c r="P185" s="80"/>
      <c r="Q185" s="80"/>
      <c r="R185" s="80"/>
      <c r="S185" s="80"/>
      <c r="T185" s="81">
        <v>105</v>
      </c>
      <c r="U185" s="86">
        <f t="shared" ref="U185" si="227">SUM(P185:T185)</f>
        <v>105</v>
      </c>
      <c r="W185" s="81">
        <v>51.6</v>
      </c>
      <c r="X185" s="81">
        <v>40</v>
      </c>
      <c r="Y185" s="81">
        <v>44.6</v>
      </c>
      <c r="Z185" s="81"/>
      <c r="AA185" s="81"/>
      <c r="AB185" s="86">
        <f t="shared" ref="AB185" si="228">SUM(W185:AA185)</f>
        <v>136.19999999999999</v>
      </c>
      <c r="AK185" s="97">
        <f t="shared" ref="AK185" si="229">SUM(AB185,U185,N185)</f>
        <v>241.2</v>
      </c>
      <c r="AL185" s="32"/>
    </row>
    <row r="186" spans="1:38" ht="13.5" thickBot="1" x14ac:dyDescent="0.25">
      <c r="A186" s="13" t="s">
        <v>157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01"/>
      <c r="P186" s="74"/>
      <c r="Q186" s="74"/>
      <c r="R186" s="74"/>
      <c r="S186" s="74"/>
      <c r="T186" s="74">
        <f t="shared" ref="T186:AK186" si="230">SUM(T185)</f>
        <v>105</v>
      </c>
      <c r="U186" s="89">
        <f t="shared" si="230"/>
        <v>105</v>
      </c>
      <c r="W186" s="74">
        <f t="shared" si="230"/>
        <v>51.6</v>
      </c>
      <c r="X186" s="74">
        <f t="shared" si="230"/>
        <v>40</v>
      </c>
      <c r="Y186" s="74">
        <f t="shared" si="230"/>
        <v>44.6</v>
      </c>
      <c r="Z186" s="74">
        <f t="shared" si="230"/>
        <v>0</v>
      </c>
      <c r="AA186" s="74">
        <f t="shared" si="230"/>
        <v>0</v>
      </c>
      <c r="AB186" s="89">
        <f t="shared" si="230"/>
        <v>136.19999999999999</v>
      </c>
      <c r="AK186" s="101">
        <f t="shared" si="230"/>
        <v>241.2</v>
      </c>
      <c r="AL186" s="11"/>
    </row>
    <row r="187" spans="1:38" ht="13.5" thickBot="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P187" s="4"/>
      <c r="Q187" s="4"/>
      <c r="R187" s="4"/>
      <c r="S187" s="4"/>
      <c r="T187" s="4"/>
      <c r="W187" s="4"/>
      <c r="X187" s="4"/>
      <c r="Y187" s="4"/>
      <c r="Z187" s="4"/>
      <c r="AA187" s="4"/>
    </row>
    <row r="188" spans="1:38" ht="13.5" thickBot="1" x14ac:dyDescent="0.25">
      <c r="A188" s="22" t="s">
        <v>135</v>
      </c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100"/>
      <c r="P188" s="78"/>
      <c r="Q188" s="78"/>
      <c r="R188" s="78"/>
      <c r="S188" s="78">
        <f t="shared" ref="S188:AK188" si="231">SUM(S183,S186)</f>
        <v>30.742000000000001</v>
      </c>
      <c r="T188" s="78">
        <f t="shared" si="231"/>
        <v>133.99520000000001</v>
      </c>
      <c r="U188" s="100">
        <f t="shared" si="231"/>
        <v>164.7372</v>
      </c>
      <c r="W188" s="78">
        <f t="shared" si="231"/>
        <v>93.177430000000001</v>
      </c>
      <c r="X188" s="78">
        <f t="shared" si="231"/>
        <v>73.644386850000004</v>
      </c>
      <c r="Y188" s="78">
        <f t="shared" si="231"/>
        <v>74.350013380000007</v>
      </c>
      <c r="Z188" s="78">
        <f t="shared" si="231"/>
        <v>22.397200000000002</v>
      </c>
      <c r="AA188" s="78">
        <f t="shared" si="231"/>
        <v>0</v>
      </c>
      <c r="AB188" s="100">
        <f t="shared" si="231"/>
        <v>263.56903022999995</v>
      </c>
      <c r="AK188" s="100">
        <f t="shared" si="231"/>
        <v>428.30623022999998</v>
      </c>
    </row>
  </sheetData>
  <mergeCells count="8">
    <mergeCell ref="AU5:AU6"/>
    <mergeCell ref="A170:AU170"/>
    <mergeCell ref="A172:AU172"/>
    <mergeCell ref="AM5:AS5"/>
    <mergeCell ref="A167:AU167"/>
    <mergeCell ref="A168:AU168"/>
    <mergeCell ref="A166:AU166"/>
    <mergeCell ref="A165:AU165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2 U24 AB24 AB32 AB14 U14 AJ125:AJ126 AN127 AJ111:AJ122 AJ76 N111:AD122 N125:AD125 AT125:AU126 AT111:AU122 AL76:AM76 AL93:AN93 AL111:AN122 AL125:AN125 AL126 AJ101:AJ109 N101:AD109 AT101:AU109 AL102:AN109 AL82:AN85 N82:AD85 AJ82:AJ85 AL95:AN95 AL94:AM94 N86:AB86 AL88:AN88 N88:AD88 AJ88 N53:AB55 U56 U59 AB59:AD59 AJ63:AL63 AJ80 N80:AD80 AL80:AN80 N35:AB44 AT63:AU63 N13 AS124 AS142 AS153 AL96:AM96 N45:AD45 U17:AD17 N57:AD58 N60:AD61 AB62:AD63 AB56:AD56 AJ45:AN45 AJ62:AN62 AJ56:AN60 N46:AB51 AL99:AN99 AT99:AU99 N99:AD99 AJ99 AL101:AM101 N126:P126 U126:V126 AA126:AD126 AC76:AD76 AJ93:AJ96 N93:AD96 N74:AB77 AS74 U100:AB100 N52:AE52 U12:AB12 U123:AB124 AJ61:AN61 AT56:AU62" formula="1"/>
    <ignoredError sqref="G63:W63 AH6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GAVI-1705067222-1247489</_dlc_DocId>
    <_dlc_DocIdUrl xmlns="57a992bc-bd44-4bca-8c15-5d6bcceffd31">
      <Url>https://gavinet.sharepoint.com/teams/fop/fin/_layouts/15/DocIdRedir.aspx?ID=GAVI-1705067222-1247489</Url>
      <Description>GAVI-1705067222-1247489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B11A6-D140-4432-835C-73F5F457BFA5}">
  <ds:schemaRefs>
    <ds:schemaRef ds:uri="http://schemas.microsoft.com/office/2006/documentManagement/types"/>
    <ds:schemaRef ds:uri="http://schemas.microsoft.com/office/infopath/2007/PartnerControls"/>
    <ds:schemaRef ds:uri="57a992bc-bd44-4bca-8c15-5d6bcceffd31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d0706217-df7c-4bf4-936d-b09aa3b837a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AC50A7-7A97-4663-9EB0-B58674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2000-2025 Cash Receipts</vt:lpstr>
      <vt:lpstr>'2000-2025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Berkay Denli</cp:lastModifiedBy>
  <cp:revision/>
  <dcterms:created xsi:type="dcterms:W3CDTF">2013-01-25T10:21:26Z</dcterms:created>
  <dcterms:modified xsi:type="dcterms:W3CDTF">2026-03-03T14:53:33Z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6d4e4836-1ae4-4d17-82be-bc56672d4ec2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