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mc:AlternateContent xmlns:mc="http://schemas.openxmlformats.org/markup-compatibility/2006">
    <mc:Choice Requires="x15">
      <x15ac:absPath xmlns:x15ac="http://schemas.microsoft.com/office/spreadsheetml/2010/11/ac" url="C:\Users\CHAI\Downloads\"/>
    </mc:Choice>
  </mc:AlternateContent>
  <xr:revisionPtr revIDLastSave="0" documentId="13_ncr:1_{CCB6B5D7-8BBA-4C07-8013-D21C7C34945F}" xr6:coauthVersionLast="47" xr6:coauthVersionMax="47" xr10:uidLastSave="{00000000-0000-0000-0000-000000000000}"/>
  <bookViews>
    <workbookView xWindow="-120" yWindow="-120" windowWidth="20730" windowHeight="11160" xr2:uid="{00000000-000D-0000-FFFF-FFFF00000000}"/>
  </bookViews>
  <sheets>
    <sheet name="Instructions pour les pays" sheetId="1" r:id="rId1"/>
    <sheet name="Résumé des options ECF" sheetId="8" r:id="rId2"/>
    <sheet name="Modèle spécifié d'ECF" sheetId="3" r:id="rId3"/>
    <sheet name="Option B_CCE Model selection" sheetId="9" state="hidden" r:id="rId4"/>
    <sheet name="Option C_CCE Model selection" sheetId="10" state="hidden" r:id="rId5"/>
    <sheet name="Prix et modèle des ECF " sheetId="2" r:id="rId6"/>
    <sheet name="Reference_Dropdown1" sheetId="11" state="hidden" r:id="rId7"/>
    <sheet name="Reference_Dropdowns2" sheetId="12" state="hidden" r:id="rId8"/>
  </sheets>
  <definedNames>
    <definedName name="_1.Chambresfroidesdeplainpied">Reference_Dropdowns2!$A$3:$A$7</definedName>
    <definedName name="_1.Chambresfroidesdeplainpied10cbm">Reference_Dropdowns2!$A$11:$A$26</definedName>
    <definedName name="_1.Chambresfroidesdeplainpied30cbm">Reference_Dropdowns2!$B$11:$B$26</definedName>
    <definedName name="_1.Chambresfroidesdeplainpied40cbm">Reference_Dropdowns2!$C$11:$C$26</definedName>
    <definedName name="_1.Walkincoldrooms">Reference_Dropdowns2!$A$3:$A$7</definedName>
    <definedName name="_1.Walkincoldrooms10cbm">Reference_Dropdowns2!$A$11:$A$26</definedName>
    <definedName name="_1.Walkincoldrooms30cbm">Reference_Dropdowns2!$B$11:$B$26</definedName>
    <definedName name="_1.Walkincoldrooms40cbm">Reference_Dropdowns2!$C$11:$C$26</definedName>
    <definedName name="_10.OffgridSDDrefrigerators_withfreezercomp">Reference_Dropdowns2!$J$3:$J$7</definedName>
    <definedName name="_10.OffgridSDDrefrigerators_withfreezercomp_120L">Reference_Dropdowns2!$AD$11:$AD$26</definedName>
    <definedName name="_10.OffgridSDDrefrigerators_withfreezercomp_30L">Reference_Dropdowns2!$AA$11:$AA$26</definedName>
    <definedName name="_10.OffgridSDDrefrigerators_withfreezercomp30__60L">Reference_Dropdowns2!$AB$11:$AB$26</definedName>
    <definedName name="_10.OffgridSDDrefrigerators_withfreezercomp60__90L">Reference_Dropdowns2!$AC$11:$AC$26</definedName>
    <definedName name="_10.OffgridSDDrefrigerators_withfreezercomp90__120L">Reference_Dropdowns2!$AD$11:$AD$26</definedName>
    <definedName name="_10.RéfrigérateurshorsréseauSDD_aveccomp.congélateur">Reference_Dropdowns2!$J$3:$J$7</definedName>
    <definedName name="_10.RéfrigérateurshorsréseauSDD_aveccomp.congélateur_30L">Reference_Dropdowns2!$AA$11:$AA$26</definedName>
    <definedName name="_10.RéfrigérateurshorsréseauSDD_aveccomp.congélateur30__60L">Reference_Dropdowns2!$AB$11:$AB$26</definedName>
    <definedName name="_10.RéfrigérateurshorsréseauSDD_aveccomp.congélateur60__90L">Reference_Dropdowns2!$AC$11:$AC$26</definedName>
    <definedName name="_10.RéfrigérateurshorsréseauSDD_aveccomp.congélateur90__120L">Reference_Dropdowns2!$AD$11:$AD$26</definedName>
    <definedName name="_11.CongélateurhorsréseauSDD">Reference_Dropdowns2!$K$3:$K$7</definedName>
    <definedName name="_11.CongélateurhorsréseauSDD30__60L">Reference_Dropdowns2!$AE$11:$AE$26</definedName>
    <definedName name="_11.CongélateurhorsréseauSDD60__90L">Reference_Dropdowns2!$AF$11:$AF$26</definedName>
    <definedName name="_11.OffgridSDDfreezer">Reference_Dropdowns2!$K$3:$K$7</definedName>
    <definedName name="_11.OffgridSDDfreezer_120L">Reference_Dropdowns2!#REF!</definedName>
    <definedName name="_11.OffgridSDDfreezer_30L">Reference_Dropdowns2!#REF!</definedName>
    <definedName name="_11.OffgridSDDfreezer30__60L">Reference_Dropdowns2!$AE$11:$AE$26</definedName>
    <definedName name="_11.OffgridSDDfreezer60__90L">Reference_Dropdowns2!$AF$11:$AF$26</definedName>
    <definedName name="_11.OffgridSDDfreezer90__120L">Reference_Dropdowns2!#REF!</definedName>
    <definedName name="_12.Outildesuividelatempérature_30DTR">Reference_Dropdowns2!$L$3:$L$7</definedName>
    <definedName name="_12.Outildesuividelatempérature_30DTRNA">Reference_Dropdowns2!$AG$11:$AG$26</definedName>
    <definedName name="_12.Temperaturemonitoringdevice_30DTR">Reference_Dropdowns2!$L$3:$L$7</definedName>
    <definedName name="_12.Temperaturemonitoringdevice_30DTRNA">Reference_Dropdowns2!$AG$11:$AG$26</definedName>
    <definedName name="_13.Dispositifsdesurveillanceàdistancedelatempérature_RTMD">Reference_Dropdowns2!$M$3:$M$7</definedName>
    <definedName name="_13.Dispositifsdesurveillanceàdistancedelatempérature_RTMDRefrigerator">Reference_Dropdowns2!$AI$11:$AI$26</definedName>
    <definedName name="_13.Dispositifsdesurveillanceàdistancedelatempérature_RTMDWICR">Reference_Dropdowns2!$AH$11:$AH$26</definedName>
    <definedName name="_13.Remotetemperaturemonitoringdevices_RTMDs">Reference_Dropdowns2!$M$3:$M$7</definedName>
    <definedName name="_13.Remotetemperaturemonitoringdevices_RTMDsRefrigerator">Reference_Dropdowns2!$AI$11:$AI$26</definedName>
    <definedName name="_13.Remotetemperaturemonitoringdevices_RTMDsWICR">Reference_Dropdowns2!$AH$11:$AH$26</definedName>
    <definedName name="_14.Portevaccinstraditionnels">Reference_Dropdowns2!$N$3:$N$7</definedName>
    <definedName name="_14.Portevaccinstraditionnels_5L">Reference_Dropdowns2!$AJ$11:$AJ$26</definedName>
    <definedName name="_14.Standardvaccinecarriers">Reference_Dropdowns2!$N$3:$N$7</definedName>
    <definedName name="_14.Standardvaccinecarriers_5L">Reference_Dropdowns2!$AJ$11:$AJ$26</definedName>
    <definedName name="_15.Freezefreevaccinecarriers">Reference_Dropdowns2!$O$3:$O$7</definedName>
    <definedName name="_15.Freezefreevaccinecarriers_5L">Reference_Dropdowns2!$AK$11:$AK$26</definedName>
    <definedName name="_15.Portevaccinshorsgel">Reference_Dropdowns2!$O$3:$O$7</definedName>
    <definedName name="_15.Portevaccinshorsgel_5L">Reference_Dropdowns2!$AK$11:$AK$26</definedName>
    <definedName name="_16.Glacièrespourvaccinstraditionnelles">Reference_Dropdowns2!$P$3:$P$7</definedName>
    <definedName name="_16.Glacièrespourvaccinstraditionnelles_15L">Reference_Dropdowns2!$AM$11:$AM$26</definedName>
    <definedName name="_16.Glacièrespourvaccinstraditionnelles5_15L">Reference_Dropdowns2!$AL$11:$AL$26</definedName>
    <definedName name="_16.Standardvaccinecoldboxes">Reference_Dropdowns2!$P$3:$P$7</definedName>
    <definedName name="_16.Standardvaccinecoldboxes_15L">Reference_Dropdowns2!$AM$11:$AM$26</definedName>
    <definedName name="_16.Standardvaccinecoldboxes5_15L">Reference_Dropdowns2!$AL$11:$AL$26</definedName>
    <definedName name="_17.Freezefreecoldboxes">Reference_Dropdowns2!$Q$3:$Q$7</definedName>
    <definedName name="_17.Freezefreecoldboxes_15L">Reference_Dropdowns2!$AN$11:$AN$26</definedName>
    <definedName name="_17.Glacièreshorsgel">Reference_Dropdowns2!$Q$3:$Q$7</definedName>
    <definedName name="_17.Glacièreshorsgel_15L">Reference_Dropdowns2!$AN$11:$AN$26</definedName>
    <definedName name="_18.Régulateursdetensionpouréquipement">Reference_Dropdowns2!$R$3:$R$7</definedName>
    <definedName name="_18.RégulateursdetensionpouréquipementNA">Reference_Dropdowns2!$AO$11:$AO$26</definedName>
    <definedName name="_18.Voltageregulatorsforequipment">Reference_Dropdowns2!$R$3:$R$7</definedName>
    <definedName name="_18.VoltageregulatorsforequipmentNA">Reference_Dropdowns2!$AO$11:$AO$26</definedName>
    <definedName name="_19.Icepacks">Reference_Dropdowns2!$S$3:$S$7</definedName>
    <definedName name="_19.IcepacksNA">Reference_Dropdowns2!$AP$11:$AP$26</definedName>
    <definedName name="_19.Packsdeglace">Reference_Dropdowns2!$S$3:$S$7</definedName>
    <definedName name="_19.PacksdeglaceNA">Reference_Dropdowns2!$AP$11:$AP$26</definedName>
    <definedName name="_2.Chambresfroidesdeplainpiedaveccongélateurs">Reference_Dropdowns2!$B$3:$B$7</definedName>
    <definedName name="_2.Chambresfroidesdeplainpiedaveccongélateurs40cbm">Reference_Dropdowns2!$D$11:$D$26</definedName>
    <definedName name="_2.Walkincoldroomswithfreezers">Reference_Dropdowns2!$B$3:$B$7</definedName>
    <definedName name="_2.Walkincoldroomswithfreezers40cbm">Reference_Dropdowns2!$D$11:$D$26</definedName>
    <definedName name="_20.PiècesderechangepourlesnouveauxéquipementsILRsanscongélateur">Reference_Dropdowns2!$T$3:$T$7</definedName>
    <definedName name="_20.PiècesderechangepourlesnouveauxéquipementsILRsanscongélateurNA">Reference_Dropdowns2!$AQ$11:$AQ$26</definedName>
    <definedName name="_20.SparepartsfornewILRequipmentwithoutfreezer">Reference_Dropdowns2!$T$3:$T$7</definedName>
    <definedName name="_20.SparepartsfornewILRequipmentwithoutfreezerNA">Reference_Dropdowns2!$AQ$11:$AQ$26</definedName>
    <definedName name="_21.PiècesderechangepourlesnouveauxéquipementsILRaveccongélateur">Reference_Dropdowns2!$U$3:$U$7</definedName>
    <definedName name="_21.PiècesderechangepourlesnouveauxéquipementsILRaveccongélateurNA">Reference_Dropdowns2!$AR$11:$AR$26</definedName>
    <definedName name="_21.SparepartsfornewILRequipmentwithfreezer">Reference_Dropdowns2!$U$3:$U$7</definedName>
    <definedName name="_21.SparepartsfornewILRequipmentwithfreezerNA">Reference_Dropdowns2!$AR$11:$AR$26</definedName>
    <definedName name="_22.Piècesderechangepourlesnouveauxcongélateurs">Reference_Dropdowns2!$V$3:$V$7</definedName>
    <definedName name="_22.PiècesderechangepourlesnouveauxcongélateursNA">Reference_Dropdowns2!$AS$11:$AS$26</definedName>
    <definedName name="_22.Sparepartsfornewfreezerequipment">Reference_Dropdowns2!$V$3:$V$7</definedName>
    <definedName name="_22.SparepartsfornewfreezerequipmentNA">Reference_Dropdowns2!$AS$11:$AS$26</definedName>
    <definedName name="_23.PiècesderechangepourlesnouveauxSDDaveccomp.congélateur">Reference_Dropdowns2!$W$3:$W$7</definedName>
    <definedName name="_23.PiècesderechangepourlesnouveauxSDDaveccomp.congélateurNA">Reference_Dropdowns2!$AT$11:$AT$26</definedName>
    <definedName name="_23.SparepartsfornewSDDwithoutfreezercomp">Reference_Dropdowns2!$W$3:$W$7</definedName>
    <definedName name="_23.SparepartsfornewSDDwithoutfreezercompNA">Reference_Dropdowns2!$AT$11:$AT$26</definedName>
    <definedName name="_24.PiècesderechangepourlesnouveauxSDDsanscomp.congélateur">Reference_Dropdowns2!$X$3:$X$7</definedName>
    <definedName name="_24.PiècesderechangepourlesnouveauxSDDsanscomp.congélateurNA">Reference_Dropdowns2!$AU$11:$AU$26</definedName>
    <definedName name="_24.SparepartsfornewSDDwithfreezercomp">Reference_Dropdowns2!$X$3:$X$7</definedName>
    <definedName name="_24.SparepartsfornewSDDwithfreezercompNA">Reference_Dropdowns2!$AU$11:$AU$26</definedName>
    <definedName name="_25.NouveauxcongélateursSDDpiècesderechange">Reference_Dropdowns2!$Y$3:$Y$7</definedName>
    <definedName name="_25.NouveauxcongélateursSDDpiècesderechangeNA">Reference_Dropdowns2!$AV$11:$AV$26</definedName>
    <definedName name="_25.SparepartsfornewSDDfreezer">Reference_Dropdowns2!$Y$3:$Y$7</definedName>
    <definedName name="_25.SparepartsfornewSDDfreezerNA">Reference_Dropdowns2!$AV$11:$AV$26</definedName>
    <definedName name="_3.Marcherdanslecongélateur">Reference_Dropdowns2!$C$3:$C$7</definedName>
    <definedName name="_3.Marcherdanslecongélateur20cbm">Reference_Dropdowns2!$E$11:$E$26</definedName>
    <definedName name="_3.Walkinfreezers">Reference_Dropdowns2!$C$3:$C$7</definedName>
    <definedName name="_3.Walkinfreezers20cbm">Reference_Dropdowns2!$E$11:$E$26</definedName>
    <definedName name="_3.WalkinfreezersX">Reference_Dropdowns2!$E$11:$E$26</definedName>
    <definedName name="_3.WalkinfreezersY">Reference_Dropdowns2!#REF!</definedName>
    <definedName name="_4.Locationàcourttermepourchambresfroides">Reference_Dropdowns2!$D$3:$D$7</definedName>
    <definedName name="_4.Locationàcourttermepourchambresfroides10cbm">Reference_Dropdowns2!$F$11:$F$26</definedName>
    <definedName name="_4.Locationàcourttermepourchambresfroides20cbm">Reference_Dropdowns2!$G$11:$G$26</definedName>
    <definedName name="_4.Locationàcourttermepourchambresfroides30cbm">Reference_Dropdowns2!$H$11:$H$26</definedName>
    <definedName name="_4.Locationàcourttermepourchambresfroides40cbm">Reference_Dropdowns2!$I$11:$I$26</definedName>
    <definedName name="_4.ShorttermleaseforWalkincoldrooms">Reference_Dropdowns2!$D$3:$D$7</definedName>
    <definedName name="_4.ShorttermleaseforWalkincoldrooms10cbm">Reference_Dropdowns2!$F$11:$F$26</definedName>
    <definedName name="_4.ShorttermleaseforWalkincoldrooms20cbm">Reference_Dropdowns2!$G$11:$G$26</definedName>
    <definedName name="_4.ShorttermleaseforWalkincoldrooms30cbm">Reference_Dropdowns2!$H$11:$H$26</definedName>
    <definedName name="_4.ShorttermleaseforWalkincoldrooms40cbm">Reference_Dropdowns2!$I$11:$I$26</definedName>
    <definedName name="_5.LeasingWalkincoldroomsorfreezerroom">Reference_Dropdowns2!$E$3:$E$7</definedName>
    <definedName name="_5.LeasingWalkincoldroomsorfreezerroom10cbmLT">Reference_Dropdowns2!$J$11:$J$26</definedName>
    <definedName name="_5.LeasingWalkincoldroomsorfreezerroom20cbmLT">Reference_Dropdowns2!$K$11:$K$26</definedName>
    <definedName name="_5.LeasingWalkincoldroomsorfreezerroom30cbmLT">Reference_Dropdowns2!$L$11:$L$26</definedName>
    <definedName name="_5.LeasingWalkincoldroomsorfreezerroom40cbmLT">Reference_Dropdowns2!$M$11:$M$26</definedName>
    <definedName name="_5.Locationdechambresfroidesdeplainpiedoudechambresdecongélation">Reference_Dropdowns2!$E$3:$E$7</definedName>
    <definedName name="_5.Locationdechambresfroidesdeplainpiedoudechambresdecongélation10cbmLT">Reference_Dropdowns2!$J$11:$J$26</definedName>
    <definedName name="_5.Locationdechambresfroidesdeplainpiedoudechambresdecongélation20cbmLT">Reference_Dropdowns2!$K$11:$K$26</definedName>
    <definedName name="_5.Locationdechambresfroidesdeplainpiedoudechambresdecongélation30cbmLT">Reference_Dropdowns2!$L$11:$L$26</definedName>
    <definedName name="_5.Locationdechambresfroidesdeplainpiedoudechambresdecongélation40cbmLT">Reference_Dropdowns2!$M$11:$M$26</definedName>
    <definedName name="_6.OngridILR_withoutfreezercomp">Reference_Dropdowns2!$F$3:$F$7</definedName>
    <definedName name="_6.OngridILR_withoutfreezercomp_120L">Reference_Dropdowns2!$Q$11:$Q$26</definedName>
    <definedName name="_6.OngridILR_withoutfreezercomp_30L">Reference_Dropdowns2!#REF!</definedName>
    <definedName name="_6.OngridILR_withoutfreezercomp30__60L">Reference_Dropdowns2!$N$11:$N$26</definedName>
    <definedName name="_6.OngridILR_withoutfreezercomp60__90L">Reference_Dropdowns2!$O$11:$O$26</definedName>
    <definedName name="_6.OngridILR_withoutfreezercomp90__120L">Reference_Dropdowns2!$P$11:$P$26</definedName>
    <definedName name="_6.RéfrigérateurILRàgaineréfrigérantesurréseau_sanscomp.congélateur">Reference_Dropdowns2!$F$3:$F$7</definedName>
    <definedName name="_6.RéfrigérateurILRàgaineréfrigérantesurréseau_sanscomp.congélateur_120L">Reference_Dropdowns2!$Q$11:$Q$26</definedName>
    <definedName name="_6.RéfrigérateurILRàgaineréfrigérantesurréseau_sanscomp.congélateur30__60L">Reference_Dropdowns2!$N$11:$N$26</definedName>
    <definedName name="_6.RéfrigérateurILRàgaineréfrigérantesurréseau_sanscomp.congélateur60__90L">Reference_Dropdowns2!$O$11:$O$26</definedName>
    <definedName name="_6.RéfrigérateurILRàgaineréfrigérantesurréseau_sanscomp.congélateur90__120L">Reference_Dropdowns2!$P$11:$P$26</definedName>
    <definedName name="_7.ILRsurréseau_aveccomp.congélateur">Reference_Dropdowns2!$G$3:$G$7</definedName>
    <definedName name="_7.ILRsurréseau_aveccomp.congélateur30__60L">Reference_Dropdowns2!$R$11:$R$26</definedName>
    <definedName name="_7.ILRsurréseau_aveccomp.congélateur60__90L">Reference_Dropdowns2!$S$11:$S$26</definedName>
    <definedName name="_7.OngridILR_withfreezercomp">Reference_Dropdowns2!$G$3:$G$7</definedName>
    <definedName name="_7.OngridILR_withfreezercomp_120L">Reference_Dropdowns2!#REF!</definedName>
    <definedName name="_7.OngridILR_withfreezercomp_30L">Reference_Dropdowns2!#REF!</definedName>
    <definedName name="_7.OngridILR_withfreezercomp30__60L">Reference_Dropdowns2!$R$11:$R$26</definedName>
    <definedName name="_7.OngridILR_withfreezercomp60__90L">Reference_Dropdowns2!$S$11:$S$26</definedName>
    <definedName name="_7.OngridILR_withfreezercomp90__120L">Reference_Dropdowns2!#REF!</definedName>
    <definedName name="_8.Congélateurssurréseau">Reference_Dropdowns2!$H$3:$H$7</definedName>
    <definedName name="_8.Congélateurssurréseau_120L">Reference_Dropdowns2!$U$11:$U$26</definedName>
    <definedName name="_8.Congélateurssurréseau90__120L">Reference_Dropdowns2!$T$11:$T$26</definedName>
    <definedName name="_8.Ongridfreezers">Reference_Dropdowns2!$H$3:$H$7</definedName>
    <definedName name="_8.Ongridfreezers_120L">Reference_Dropdowns2!$U$11:$U$26</definedName>
    <definedName name="_8.Ongridfreezers_30L">Reference_Dropdowns2!#REF!</definedName>
    <definedName name="_8.Ongridfreezers30__60L">Reference_Dropdowns2!$T$11:$T$26</definedName>
    <definedName name="_8.Ongridfreezers60__90L">Reference_Dropdowns2!$U$11:$U$26</definedName>
    <definedName name="_8.Ongridfreezers90__120L">Reference_Dropdowns2!$T$11:$T$26</definedName>
    <definedName name="_9.OffgridSDDrefrigerators_withoutfreezercomp">Reference_Dropdowns2!$I$3:$I$7</definedName>
    <definedName name="_9.OffgridSDDrefrigerators_withoutfreezercomp_120L">Reference_Dropdowns2!$Z$11:$Z$26</definedName>
    <definedName name="_9.OffgridSDDrefrigerators_withoutfreezercomp_30L">Reference_Dropdowns2!$V$11:$V$26</definedName>
    <definedName name="_9.OffgridSDDrefrigerators_withoutfreezercomp30__60L">Reference_Dropdowns2!$W$11:$W$26</definedName>
    <definedName name="_9.OffgridSDDrefrigerators_withoutfreezercomp60__90L">Reference_Dropdowns2!$X$11:$X$26</definedName>
    <definedName name="_9.OffgridSDDrefrigerators_withoutfreezercomp90__120L">Reference_Dropdowns2!$Y$11:$Y$26</definedName>
    <definedName name="_9.RéfrigérateurshorsréseauSDD_sanscomp.congélateur">Reference_Dropdowns2!$I$3:$I$7</definedName>
    <definedName name="_9.RéfrigérateurshorsréseauSDD_sanscomp.congélateur_120L">Reference_Dropdowns2!$Z$11:$Z$26</definedName>
    <definedName name="_9.RéfrigérateurshorsréseauSDD_sanscomp.congélateur_30L">Reference_Dropdowns2!$V$11:$V$26</definedName>
    <definedName name="_9.RéfrigérateurshorsréseauSDD_sanscomp.congélateur30__60L">Reference_Dropdowns2!$W$11:$W$26</definedName>
    <definedName name="_9.RéfrigérateurshorsréseauSDD_sanscomp.congélateur60__90L">Reference_Dropdowns2!$X$11:$X$26</definedName>
    <definedName name="_9.RéfrigérateurshorsréseauSDD_sanscomp.congélateur90__120L">Reference_Dropdowns2!$Y$11:$Y$26</definedName>
    <definedName name="_xlnm._FilterDatabase" localSheetId="5" hidden="1">'Prix et modèle des ECF '!$B$4:$B$236</definedName>
    <definedName name="equipmentwithnoservicecost">'Prix et modèle des ECF '!$AB$14,'Prix et modèle des ECF '!$AB$16:$AB$27</definedName>
    <definedName name="Typed_équipement">Reference_Dropdown1!$F$2:$F$26</definedName>
    <definedName name="typeofequipment">Reference_Dropdown1!$C$2:$C$26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8" l="1"/>
  <c r="D15" i="8"/>
  <c r="D16" i="8"/>
  <c r="C16" i="8"/>
  <c r="N37" i="2"/>
  <c r="O37" i="2"/>
  <c r="N38" i="2"/>
  <c r="O38" i="2"/>
  <c r="I42" i="2"/>
  <c r="N42" i="2" s="1"/>
  <c r="I41" i="2"/>
  <c r="O41" i="2" s="1"/>
  <c r="I40" i="2"/>
  <c r="O40" i="2" s="1"/>
  <c r="I39" i="2"/>
  <c r="O39" i="2" s="1"/>
  <c r="I36" i="2"/>
  <c r="O36" i="2" s="1"/>
  <c r="I35" i="2"/>
  <c r="O35" i="2" s="1"/>
  <c r="AD10" i="12"/>
  <c r="Z10" i="12"/>
  <c r="N41" i="2" l="1"/>
  <c r="N39" i="2"/>
  <c r="N35" i="2"/>
  <c r="O42" i="2"/>
  <c r="N40" i="2"/>
  <c r="N36" i="2"/>
  <c r="D210" i="2"/>
  <c r="E210" i="2"/>
  <c r="D211" i="2"/>
  <c r="E211" i="2"/>
  <c r="D212" i="2"/>
  <c r="E212" i="2"/>
  <c r="D213" i="2"/>
  <c r="E213" i="2"/>
  <c r="D214" i="2"/>
  <c r="E214" i="2"/>
  <c r="D215" i="2"/>
  <c r="E215" i="2"/>
  <c r="D216" i="2"/>
  <c r="E216" i="2"/>
  <c r="D217" i="2"/>
  <c r="E217" i="2"/>
  <c r="D218" i="2"/>
  <c r="E218" i="2"/>
  <c r="D219" i="2"/>
  <c r="E219" i="2"/>
  <c r="D220" i="2"/>
  <c r="E220" i="2"/>
  <c r="D221" i="2"/>
  <c r="E221" i="2"/>
  <c r="D222" i="2"/>
  <c r="E222" i="2"/>
  <c r="D223" i="2"/>
  <c r="E223" i="2"/>
  <c r="D224" i="2"/>
  <c r="E224" i="2"/>
  <c r="D225" i="2"/>
  <c r="E225" i="2"/>
  <c r="D226" i="2"/>
  <c r="E226" i="2"/>
  <c r="D227" i="2"/>
  <c r="E227" i="2"/>
  <c r="D228" i="2"/>
  <c r="E228" i="2"/>
  <c r="D229" i="2"/>
  <c r="E229" i="2"/>
  <c r="D230" i="2"/>
  <c r="E230" i="2"/>
  <c r="D231" i="2"/>
  <c r="E231" i="2"/>
  <c r="D232" i="2"/>
  <c r="E232" i="2"/>
  <c r="D233" i="2"/>
  <c r="E233" i="2"/>
  <c r="D234" i="2"/>
  <c r="E234" i="2"/>
  <c r="D235" i="2"/>
  <c r="E235" i="2"/>
  <c r="D236" i="2"/>
  <c r="E236" i="2"/>
  <c r="D209" i="2"/>
  <c r="E209" i="2"/>
  <c r="D203" i="2"/>
  <c r="E203" i="2"/>
  <c r="D204" i="2"/>
  <c r="E204" i="2"/>
  <c r="D205" i="2"/>
  <c r="E205" i="2"/>
  <c r="D206" i="2"/>
  <c r="E206" i="2"/>
  <c r="D207" i="2"/>
  <c r="E207" i="2"/>
  <c r="D208" i="2"/>
  <c r="E208" i="2"/>
  <c r="D185" i="2"/>
  <c r="E185" i="2"/>
  <c r="D186" i="2"/>
  <c r="E186" i="2"/>
  <c r="D187" i="2"/>
  <c r="E187" i="2"/>
  <c r="D188" i="2"/>
  <c r="E188" i="2"/>
  <c r="D189" i="2"/>
  <c r="E189" i="2"/>
  <c r="D190" i="2"/>
  <c r="E190" i="2"/>
  <c r="D191" i="2"/>
  <c r="E191" i="2"/>
  <c r="D192" i="2"/>
  <c r="E192" i="2"/>
  <c r="D193" i="2"/>
  <c r="E193" i="2"/>
  <c r="D194" i="2"/>
  <c r="E194" i="2"/>
  <c r="D195" i="2"/>
  <c r="E195" i="2"/>
  <c r="D196" i="2"/>
  <c r="E196" i="2"/>
  <c r="D197" i="2"/>
  <c r="E197" i="2"/>
  <c r="D198" i="2"/>
  <c r="E198" i="2"/>
  <c r="D199" i="2"/>
  <c r="E199" i="2"/>
  <c r="D200" i="2"/>
  <c r="E200" i="2"/>
  <c r="D201" i="2"/>
  <c r="E201" i="2"/>
  <c r="D202" i="2"/>
  <c r="E202" i="2"/>
  <c r="E184" i="2"/>
  <c r="D184" i="2"/>
  <c r="Y10" i="12"/>
  <c r="X10" i="12"/>
  <c r="W10" i="12"/>
  <c r="V10" i="12"/>
  <c r="F7" i="3" l="1"/>
  <c r="D7" i="3"/>
  <c r="G7" i="3"/>
  <c r="I7" i="3" s="1"/>
  <c r="E7" i="3"/>
  <c r="M36" i="3"/>
  <c r="M35" i="3"/>
  <c r="M34" i="3"/>
  <c r="M26" i="3"/>
  <c r="M18" i="3"/>
  <c r="M10" i="3"/>
  <c r="M25" i="3"/>
  <c r="M17" i="3"/>
  <c r="M9" i="3"/>
  <c r="M24" i="3"/>
  <c r="M16" i="3"/>
  <c r="M8" i="3"/>
  <c r="M23" i="3"/>
  <c r="M15" i="3"/>
  <c r="M7" i="3"/>
  <c r="M33" i="3"/>
  <c r="M32" i="3"/>
  <c r="M31" i="3"/>
  <c r="M30" i="3"/>
  <c r="M22" i="3"/>
  <c r="M14" i="3"/>
  <c r="M6" i="3"/>
  <c r="M21" i="3"/>
  <c r="M13" i="3"/>
  <c r="M5" i="3"/>
  <c r="M28" i="3"/>
  <c r="M20" i="3"/>
  <c r="M12" i="3"/>
  <c r="M4" i="3"/>
  <c r="M27" i="3"/>
  <c r="M19" i="3"/>
  <c r="M11" i="3"/>
  <c r="D4" i="3"/>
  <c r="M29" i="3"/>
  <c r="AI10" i="12"/>
  <c r="AH10" i="12"/>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4" i="3"/>
  <c r="D35" i="3"/>
  <c r="E35" i="3"/>
  <c r="F35" i="3"/>
  <c r="G35" i="3"/>
  <c r="I35" i="3" s="1"/>
  <c r="K35" i="3" s="1"/>
  <c r="D36" i="3"/>
  <c r="E36" i="3"/>
  <c r="F36" i="3"/>
  <c r="G36" i="3"/>
  <c r="I36" i="3" s="1"/>
  <c r="K36" i="3" s="1"/>
  <c r="N5" i="3"/>
  <c r="O5" i="3" s="1"/>
  <c r="S5" i="3"/>
  <c r="T5" i="3"/>
  <c r="U5" i="3" s="1"/>
  <c r="W5" i="3" s="1"/>
  <c r="N6" i="3"/>
  <c r="O6" i="3" s="1"/>
  <c r="S6" i="3"/>
  <c r="T6" i="3"/>
  <c r="N7" i="3"/>
  <c r="S7" i="3"/>
  <c r="T7" i="3"/>
  <c r="U7" i="3" s="1"/>
  <c r="W7" i="3" s="1"/>
  <c r="N8" i="3"/>
  <c r="S8" i="3"/>
  <c r="T8" i="3"/>
  <c r="U8" i="3" s="1"/>
  <c r="W8" i="3" s="1"/>
  <c r="N9" i="3"/>
  <c r="O9" i="3" s="1"/>
  <c r="Q9" i="3" s="1"/>
  <c r="S9" i="3"/>
  <c r="T9" i="3"/>
  <c r="U9" i="3" s="1"/>
  <c r="W9" i="3" s="1"/>
  <c r="N10" i="3"/>
  <c r="S10" i="3"/>
  <c r="T10" i="3"/>
  <c r="U10" i="3" s="1"/>
  <c r="W10" i="3" s="1"/>
  <c r="N11" i="3"/>
  <c r="O11" i="3" s="1"/>
  <c r="S11" i="3"/>
  <c r="T11" i="3"/>
  <c r="N12" i="3"/>
  <c r="O12" i="3" s="1"/>
  <c r="S12" i="3"/>
  <c r="T12" i="3"/>
  <c r="U12" i="3" s="1"/>
  <c r="W12" i="3" s="1"/>
  <c r="N13" i="3"/>
  <c r="O13" i="3" s="1"/>
  <c r="S13" i="3"/>
  <c r="T13" i="3"/>
  <c r="U13" i="3" s="1"/>
  <c r="N14" i="3"/>
  <c r="O14" i="3" s="1"/>
  <c r="S14" i="3"/>
  <c r="T14" i="3"/>
  <c r="N15" i="3"/>
  <c r="O15" i="3" s="1"/>
  <c r="S15" i="3"/>
  <c r="T15" i="3"/>
  <c r="U15" i="3" s="1"/>
  <c r="N16" i="3"/>
  <c r="O16" i="3" s="1"/>
  <c r="S16" i="3"/>
  <c r="T16" i="3"/>
  <c r="U16" i="3" s="1"/>
  <c r="W16" i="3" s="1"/>
  <c r="N17" i="3"/>
  <c r="O17" i="3" s="1"/>
  <c r="S17" i="3"/>
  <c r="T17" i="3"/>
  <c r="U17" i="3" s="1"/>
  <c r="N18" i="3"/>
  <c r="O18" i="3" s="1"/>
  <c r="S18" i="3"/>
  <c r="T18" i="3"/>
  <c r="U18" i="3" s="1"/>
  <c r="W18" i="3" s="1"/>
  <c r="N19" i="3"/>
  <c r="S19" i="3"/>
  <c r="T19" i="3"/>
  <c r="N20" i="3"/>
  <c r="S20" i="3"/>
  <c r="T20" i="3"/>
  <c r="U20" i="3" s="1"/>
  <c r="W20" i="3" s="1"/>
  <c r="N21" i="3"/>
  <c r="O21" i="3" s="1"/>
  <c r="Q21" i="3" s="1"/>
  <c r="S21" i="3"/>
  <c r="T21" i="3"/>
  <c r="U21" i="3" s="1"/>
  <c r="W21" i="3" s="1"/>
  <c r="N22" i="3"/>
  <c r="O22" i="3" s="1"/>
  <c r="S22" i="3"/>
  <c r="T22" i="3"/>
  <c r="U22" i="3" s="1"/>
  <c r="N23" i="3"/>
  <c r="O23" i="3" s="1"/>
  <c r="S23" i="3"/>
  <c r="T23" i="3"/>
  <c r="U23" i="3" s="1"/>
  <c r="W23" i="3" s="1"/>
  <c r="N24" i="3"/>
  <c r="O24" i="3" s="1"/>
  <c r="Q24" i="3" s="1"/>
  <c r="S24" i="3"/>
  <c r="T24" i="3"/>
  <c r="U24" i="3" s="1"/>
  <c r="W24" i="3" s="1"/>
  <c r="N25" i="3"/>
  <c r="O25" i="3" s="1"/>
  <c r="Q25" i="3" s="1"/>
  <c r="S25" i="3"/>
  <c r="T25" i="3"/>
  <c r="U25" i="3" s="1"/>
  <c r="W25" i="3" s="1"/>
  <c r="N26" i="3"/>
  <c r="O26" i="3" s="1"/>
  <c r="Q26" i="3" s="1"/>
  <c r="S26" i="3"/>
  <c r="T26" i="3"/>
  <c r="U26" i="3" s="1"/>
  <c r="W26" i="3" s="1"/>
  <c r="N27" i="3"/>
  <c r="O27" i="3" s="1"/>
  <c r="Q27" i="3" s="1"/>
  <c r="S27" i="3"/>
  <c r="T27" i="3"/>
  <c r="U27" i="3" s="1"/>
  <c r="W27" i="3" s="1"/>
  <c r="N28" i="3"/>
  <c r="O28" i="3" s="1"/>
  <c r="Q28" i="3" s="1"/>
  <c r="S28" i="3"/>
  <c r="T28" i="3"/>
  <c r="U28" i="3" s="1"/>
  <c r="W28" i="3" s="1"/>
  <c r="N29" i="3"/>
  <c r="O29" i="3" s="1"/>
  <c r="Q29" i="3" s="1"/>
  <c r="S29" i="3"/>
  <c r="T29" i="3"/>
  <c r="U29" i="3" s="1"/>
  <c r="W29" i="3" s="1"/>
  <c r="N30" i="3"/>
  <c r="O30" i="3" s="1"/>
  <c r="Q30" i="3" s="1"/>
  <c r="S30" i="3"/>
  <c r="T30" i="3"/>
  <c r="U30" i="3" s="1"/>
  <c r="W30" i="3" s="1"/>
  <c r="N31" i="3"/>
  <c r="O31" i="3" s="1"/>
  <c r="Q31" i="3" s="1"/>
  <c r="S31" i="3"/>
  <c r="T31" i="3"/>
  <c r="U31" i="3" s="1"/>
  <c r="W31" i="3" s="1"/>
  <c r="N32" i="3"/>
  <c r="O32" i="3" s="1"/>
  <c r="Q32" i="3" s="1"/>
  <c r="S32" i="3"/>
  <c r="T32" i="3"/>
  <c r="U32" i="3" s="1"/>
  <c r="W32" i="3" s="1"/>
  <c r="N33" i="3"/>
  <c r="O33" i="3" s="1"/>
  <c r="Q33" i="3" s="1"/>
  <c r="S33" i="3"/>
  <c r="T33" i="3"/>
  <c r="U33" i="3" s="1"/>
  <c r="W33" i="3" s="1"/>
  <c r="N34" i="3"/>
  <c r="O34" i="3" s="1"/>
  <c r="Q34" i="3" s="1"/>
  <c r="S34" i="3"/>
  <c r="T34" i="3"/>
  <c r="U34" i="3" s="1"/>
  <c r="W34" i="3" s="1"/>
  <c r="N35" i="3"/>
  <c r="O35" i="3" s="1"/>
  <c r="Q35" i="3" s="1"/>
  <c r="S35" i="3"/>
  <c r="T35" i="3"/>
  <c r="U35" i="3" s="1"/>
  <c r="W35" i="3" s="1"/>
  <c r="N36" i="3"/>
  <c r="O36" i="3" s="1"/>
  <c r="Q36" i="3" s="1"/>
  <c r="S36" i="3"/>
  <c r="T36" i="3"/>
  <c r="U36" i="3" s="1"/>
  <c r="W36" i="3" s="1"/>
  <c r="T4" i="3"/>
  <c r="U4" i="3" s="1"/>
  <c r="S4" i="3"/>
  <c r="N4" i="3"/>
  <c r="O4" i="3" s="1"/>
  <c r="D11" i="3"/>
  <c r="E11" i="3"/>
  <c r="F11" i="3"/>
  <c r="A10" i="12"/>
  <c r="AV10" i="12"/>
  <c r="AU10" i="12"/>
  <c r="AT10" i="12"/>
  <c r="AS10" i="12"/>
  <c r="AR10" i="12"/>
  <c r="AQ10" i="12"/>
  <c r="AP10" i="12"/>
  <c r="AO10" i="12"/>
  <c r="AN10" i="12"/>
  <c r="AM10" i="12"/>
  <c r="AL10" i="12"/>
  <c r="AK10" i="12"/>
  <c r="AJ10" i="12"/>
  <c r="AG10" i="12"/>
  <c r="AF10" i="12"/>
  <c r="AE10" i="12"/>
  <c r="AC10" i="12"/>
  <c r="AB10" i="12"/>
  <c r="AA10" i="12"/>
  <c r="U10" i="12"/>
  <c r="T10" i="12"/>
  <c r="S10" i="12"/>
  <c r="R10" i="12"/>
  <c r="Q10" i="12"/>
  <c r="P10" i="12"/>
  <c r="O10" i="12"/>
  <c r="N10" i="12"/>
  <c r="M10" i="12"/>
  <c r="L10" i="12"/>
  <c r="K10" i="12"/>
  <c r="J10" i="12"/>
  <c r="I10" i="12"/>
  <c r="H10" i="12"/>
  <c r="G10" i="12"/>
  <c r="F10" i="12"/>
  <c r="E10" i="12"/>
  <c r="D10" i="12"/>
  <c r="C10" i="12"/>
  <c r="B10" i="12"/>
  <c r="C3" i="11"/>
  <c r="F3" i="11" s="1"/>
  <c r="C4" i="11"/>
  <c r="F4" i="11" s="1"/>
  <c r="C5" i="11"/>
  <c r="F5" i="11" s="1"/>
  <c r="C6" i="11"/>
  <c r="F6" i="11" s="1"/>
  <c r="C7" i="11"/>
  <c r="F7" i="11" s="1"/>
  <c r="C8" i="11"/>
  <c r="F8" i="11" s="1"/>
  <c r="C9" i="11"/>
  <c r="F9" i="11" s="1"/>
  <c r="C10" i="11"/>
  <c r="F10" i="11" s="1"/>
  <c r="C11" i="11"/>
  <c r="F11" i="11" s="1"/>
  <c r="C12" i="11"/>
  <c r="F12" i="11" s="1"/>
  <c r="C13" i="11"/>
  <c r="F13" i="11" s="1"/>
  <c r="C14" i="11"/>
  <c r="F14" i="11" s="1"/>
  <c r="C15" i="11"/>
  <c r="F15" i="11" s="1"/>
  <c r="C16" i="11"/>
  <c r="F16" i="11" s="1"/>
  <c r="C17" i="11"/>
  <c r="F17" i="11" s="1"/>
  <c r="C18" i="11"/>
  <c r="F18" i="11" s="1"/>
  <c r="C19" i="11"/>
  <c r="F19" i="11" s="1"/>
  <c r="C20" i="11"/>
  <c r="F20" i="11" s="1"/>
  <c r="C21" i="11"/>
  <c r="F21" i="11" s="1"/>
  <c r="C22" i="11"/>
  <c r="F22" i="11" s="1"/>
  <c r="C23" i="11"/>
  <c r="F23" i="11" s="1"/>
  <c r="C24" i="11"/>
  <c r="F24" i="11" s="1"/>
  <c r="C25" i="11"/>
  <c r="F25" i="11" s="1"/>
  <c r="C26" i="11"/>
  <c r="F26" i="11" s="1"/>
  <c r="C2" i="11"/>
  <c r="F2" i="11" s="1"/>
  <c r="D13" i="8" l="1"/>
  <c r="V47" i="3"/>
  <c r="J47" i="3"/>
  <c r="P47" i="3"/>
  <c r="V54" i="3"/>
  <c r="V56" i="3" s="1"/>
  <c r="Q16" i="3"/>
  <c r="Q18" i="3"/>
  <c r="Q12" i="3"/>
  <c r="O8" i="3"/>
  <c r="Q8" i="3" s="1"/>
  <c r="O20" i="3"/>
  <c r="Q20" i="3" s="1"/>
  <c r="O7" i="3"/>
  <c r="Q7" i="3" s="1"/>
  <c r="Q23" i="3"/>
  <c r="O19" i="3"/>
  <c r="Q19" i="3" s="1"/>
  <c r="U14" i="3"/>
  <c r="W14" i="3" s="1"/>
  <c r="W17" i="3"/>
  <c r="U19" i="3"/>
  <c r="W19" i="3" s="1"/>
  <c r="W22" i="3"/>
  <c r="W15" i="3"/>
  <c r="Q15" i="3"/>
  <c r="W13" i="3"/>
  <c r="U11" i="3"/>
  <c r="W11" i="3" s="1"/>
  <c r="Q11" i="3"/>
  <c r="O10" i="3"/>
  <c r="Q10" i="3" s="1"/>
  <c r="U6" i="3"/>
  <c r="W6" i="3" s="1"/>
  <c r="Q17" i="3"/>
  <c r="Q13" i="3"/>
  <c r="Q5" i="3"/>
  <c r="Q6" i="3"/>
  <c r="W4" i="3"/>
  <c r="C13" i="8"/>
  <c r="B14" i="8"/>
  <c r="C14" i="8"/>
  <c r="Q4" i="3"/>
  <c r="B12" i="8"/>
  <c r="D14" i="8"/>
  <c r="C12" i="8"/>
  <c r="D12" i="8"/>
  <c r="B13" i="8"/>
  <c r="Q22" i="3"/>
  <c r="Q14" i="3"/>
  <c r="V37" i="3" l="1"/>
  <c r="V49" i="3" s="1"/>
  <c r="P37" i="3"/>
  <c r="P52" i="3" s="1"/>
  <c r="P54" i="3"/>
  <c r="P56" i="3" s="1"/>
  <c r="V52" i="3" l="1"/>
  <c r="V58" i="3" s="1"/>
  <c r="P49" i="3"/>
  <c r="P58" i="3" s="1"/>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I45" i="10"/>
  <c r="I45" i="9"/>
  <c r="H34" i="10"/>
  <c r="F34" i="10"/>
  <c r="E34" i="10"/>
  <c r="D34" i="10"/>
  <c r="C34" i="10"/>
  <c r="H33" i="10"/>
  <c r="F33" i="10"/>
  <c r="E33" i="10"/>
  <c r="D33" i="10"/>
  <c r="C33" i="10"/>
  <c r="H32" i="10"/>
  <c r="F32" i="10"/>
  <c r="E32" i="10"/>
  <c r="D32" i="10"/>
  <c r="C32" i="10"/>
  <c r="H31" i="10"/>
  <c r="F31" i="10"/>
  <c r="E31" i="10"/>
  <c r="D31" i="10"/>
  <c r="C31" i="10"/>
  <c r="H30" i="10"/>
  <c r="F30" i="10"/>
  <c r="E30" i="10"/>
  <c r="D30" i="10"/>
  <c r="C30" i="10"/>
  <c r="H29" i="10"/>
  <c r="F29" i="10"/>
  <c r="E29" i="10"/>
  <c r="D29" i="10"/>
  <c r="C29" i="10"/>
  <c r="H28" i="10"/>
  <c r="F28" i="10"/>
  <c r="E28" i="10"/>
  <c r="D28" i="10"/>
  <c r="C28" i="10"/>
  <c r="H27" i="10"/>
  <c r="F27" i="10"/>
  <c r="E27" i="10"/>
  <c r="D27" i="10"/>
  <c r="C27" i="10"/>
  <c r="H26" i="10"/>
  <c r="F26" i="10"/>
  <c r="E26" i="10"/>
  <c r="D26" i="10"/>
  <c r="C26" i="10"/>
  <c r="H25" i="10"/>
  <c r="F25" i="10"/>
  <c r="E25" i="10"/>
  <c r="D25" i="10"/>
  <c r="C25" i="10"/>
  <c r="H24" i="10"/>
  <c r="F24" i="10"/>
  <c r="E24" i="10"/>
  <c r="D24" i="10"/>
  <c r="C24" i="10"/>
  <c r="H23" i="10"/>
  <c r="F23" i="10"/>
  <c r="E23" i="10"/>
  <c r="D23" i="10"/>
  <c r="C23" i="10"/>
  <c r="F22" i="10"/>
  <c r="H22" i="10" s="1"/>
  <c r="J22" i="10" s="1"/>
  <c r="E22" i="10"/>
  <c r="D22" i="10"/>
  <c r="C22" i="10"/>
  <c r="F21" i="10"/>
  <c r="H21" i="10" s="1"/>
  <c r="J21" i="10" s="1"/>
  <c r="E21" i="10"/>
  <c r="D21" i="10"/>
  <c r="C21" i="10"/>
  <c r="H20" i="10"/>
  <c r="F20" i="10"/>
  <c r="E20" i="10"/>
  <c r="D20" i="10"/>
  <c r="C20" i="10"/>
  <c r="F19" i="10"/>
  <c r="H19" i="10" s="1"/>
  <c r="J19" i="10" s="1"/>
  <c r="E19" i="10"/>
  <c r="D19" i="10"/>
  <c r="C19" i="10"/>
  <c r="F18" i="10"/>
  <c r="H18" i="10" s="1"/>
  <c r="J18" i="10" s="1"/>
  <c r="E18" i="10"/>
  <c r="D18" i="10"/>
  <c r="C18" i="10"/>
  <c r="F17" i="10"/>
  <c r="H17" i="10" s="1"/>
  <c r="J17" i="10" s="1"/>
  <c r="E17" i="10"/>
  <c r="D17" i="10"/>
  <c r="C17" i="10"/>
  <c r="F16" i="10"/>
  <c r="H16" i="10" s="1"/>
  <c r="J16" i="10" s="1"/>
  <c r="E16" i="10"/>
  <c r="D16" i="10"/>
  <c r="C16" i="10"/>
  <c r="F15" i="10"/>
  <c r="H15" i="10" s="1"/>
  <c r="J15" i="10" s="1"/>
  <c r="E15" i="10"/>
  <c r="D15" i="10"/>
  <c r="C15" i="10"/>
  <c r="F14" i="10"/>
  <c r="H14" i="10" s="1"/>
  <c r="J14" i="10" s="1"/>
  <c r="E14" i="10"/>
  <c r="D14" i="10"/>
  <c r="C14" i="10"/>
  <c r="F13" i="10"/>
  <c r="H13" i="10" s="1"/>
  <c r="J13" i="10" s="1"/>
  <c r="E13" i="10"/>
  <c r="D13" i="10"/>
  <c r="C13" i="10"/>
  <c r="F12" i="10"/>
  <c r="H12" i="10" s="1"/>
  <c r="J12" i="10" s="1"/>
  <c r="E12" i="10"/>
  <c r="D12" i="10"/>
  <c r="C12" i="10"/>
  <c r="F11" i="10"/>
  <c r="H11" i="10" s="1"/>
  <c r="J11" i="10" s="1"/>
  <c r="E11" i="10"/>
  <c r="D11" i="10"/>
  <c r="C11" i="10"/>
  <c r="F10" i="10"/>
  <c r="H10" i="10" s="1"/>
  <c r="J10" i="10" s="1"/>
  <c r="E10" i="10"/>
  <c r="D10" i="10"/>
  <c r="C10" i="10"/>
  <c r="F9" i="10"/>
  <c r="H9" i="10" s="1"/>
  <c r="J9" i="10" s="1"/>
  <c r="E9" i="10"/>
  <c r="D9" i="10"/>
  <c r="C9" i="10"/>
  <c r="F8" i="10"/>
  <c r="H8" i="10" s="1"/>
  <c r="J8" i="10" s="1"/>
  <c r="E8" i="10"/>
  <c r="D8" i="10"/>
  <c r="C8" i="10"/>
  <c r="F7" i="10"/>
  <c r="H7" i="10" s="1"/>
  <c r="J7" i="10" s="1"/>
  <c r="E7" i="10"/>
  <c r="D7" i="10"/>
  <c r="C7" i="10"/>
  <c r="F6" i="10"/>
  <c r="H6" i="10" s="1"/>
  <c r="J6" i="10" s="1"/>
  <c r="E6" i="10"/>
  <c r="D6" i="10"/>
  <c r="C6" i="10"/>
  <c r="F5" i="10"/>
  <c r="H5" i="10" s="1"/>
  <c r="J5" i="10" s="1"/>
  <c r="E5" i="10"/>
  <c r="D5" i="10"/>
  <c r="C5" i="10"/>
  <c r="F4" i="10"/>
  <c r="H4" i="10" s="1"/>
  <c r="J4" i="10" s="1"/>
  <c r="E4" i="10"/>
  <c r="D4" i="10"/>
  <c r="C4" i="10"/>
  <c r="N117" i="2"/>
  <c r="O117" i="2"/>
  <c r="N118" i="2"/>
  <c r="O118" i="2"/>
  <c r="N112" i="2"/>
  <c r="N111" i="2"/>
  <c r="O111" i="2"/>
  <c r="O112" i="2"/>
  <c r="N110" i="2"/>
  <c r="O110" i="2"/>
  <c r="N113" i="2"/>
  <c r="O113" i="2"/>
  <c r="N114" i="2"/>
  <c r="O114" i="2"/>
  <c r="N115" i="2"/>
  <c r="O115" i="2"/>
  <c r="N116" i="2"/>
  <c r="O116" i="2"/>
  <c r="N109" i="2"/>
  <c r="O183" i="2"/>
  <c r="O174" i="2"/>
  <c r="N183" i="2"/>
  <c r="N174" i="2"/>
  <c r="O155" i="2"/>
  <c r="O148" i="2"/>
  <c r="O143" i="2"/>
  <c r="N155" i="2"/>
  <c r="N148" i="2"/>
  <c r="N143" i="2"/>
  <c r="O136" i="2"/>
  <c r="O131" i="2"/>
  <c r="N136" i="2"/>
  <c r="N131" i="2"/>
  <c r="H155" i="2"/>
  <c r="H154" i="2"/>
  <c r="H153" i="2"/>
  <c r="H152" i="2"/>
  <c r="H151" i="2"/>
  <c r="H150" i="2"/>
  <c r="H149" i="2"/>
  <c r="H148" i="2"/>
  <c r="H147" i="2"/>
  <c r="H146" i="2"/>
  <c r="H145" i="2"/>
  <c r="H144" i="2"/>
  <c r="H143" i="2"/>
  <c r="H142" i="2"/>
  <c r="H141" i="2"/>
  <c r="H140" i="2"/>
  <c r="H136" i="2"/>
  <c r="H135" i="2"/>
  <c r="H134" i="2"/>
  <c r="H133" i="2"/>
  <c r="H132" i="2"/>
  <c r="H131" i="2"/>
  <c r="H130" i="2"/>
  <c r="H129" i="2"/>
  <c r="H128" i="2"/>
  <c r="H127" i="2"/>
  <c r="H126" i="2"/>
  <c r="H125" i="2"/>
  <c r="H124" i="2"/>
  <c r="H123" i="2"/>
  <c r="H20" i="9"/>
  <c r="H23" i="9"/>
  <c r="H24" i="9"/>
  <c r="H25" i="9"/>
  <c r="H26" i="9"/>
  <c r="H27" i="9"/>
  <c r="H28" i="9"/>
  <c r="H29" i="9"/>
  <c r="H30" i="9"/>
  <c r="H31" i="9"/>
  <c r="H32" i="9"/>
  <c r="H33" i="9"/>
  <c r="H34" i="9"/>
  <c r="AD21" i="2"/>
  <c r="AD22" i="2"/>
  <c r="G8" i="3"/>
  <c r="C5" i="9"/>
  <c r="D5" i="9"/>
  <c r="E5" i="9"/>
  <c r="F5" i="9"/>
  <c r="H5" i="9" s="1"/>
  <c r="J5" i="9" s="1"/>
  <c r="C6" i="9"/>
  <c r="D6" i="9"/>
  <c r="E6" i="9"/>
  <c r="F6" i="9"/>
  <c r="H6" i="9" s="1"/>
  <c r="J6" i="9" s="1"/>
  <c r="C7" i="9"/>
  <c r="D7" i="9"/>
  <c r="E7" i="9"/>
  <c r="F7" i="9"/>
  <c r="H7" i="9" s="1"/>
  <c r="J7" i="9" s="1"/>
  <c r="C8" i="9"/>
  <c r="D8" i="9"/>
  <c r="E8" i="9"/>
  <c r="F8" i="9"/>
  <c r="H8" i="9" s="1"/>
  <c r="J8" i="9" s="1"/>
  <c r="C9" i="9"/>
  <c r="D9" i="9"/>
  <c r="E9" i="9"/>
  <c r="F9" i="9"/>
  <c r="H9" i="9" s="1"/>
  <c r="J9" i="9" s="1"/>
  <c r="C10" i="9"/>
  <c r="D10" i="9"/>
  <c r="E10" i="9"/>
  <c r="F10" i="9"/>
  <c r="H10" i="9" s="1"/>
  <c r="J10" i="9" s="1"/>
  <c r="C11" i="9"/>
  <c r="D11" i="9"/>
  <c r="E11" i="9"/>
  <c r="F11" i="9"/>
  <c r="H11" i="9" s="1"/>
  <c r="J11" i="9" s="1"/>
  <c r="C12" i="9"/>
  <c r="D12" i="9"/>
  <c r="E12" i="9"/>
  <c r="F12" i="9"/>
  <c r="H12" i="9" s="1"/>
  <c r="J12" i="9" s="1"/>
  <c r="C13" i="9"/>
  <c r="D13" i="9"/>
  <c r="E13" i="9"/>
  <c r="F13" i="9"/>
  <c r="H13" i="9" s="1"/>
  <c r="J13" i="9" s="1"/>
  <c r="C14" i="9"/>
  <c r="D14" i="9"/>
  <c r="E14" i="9"/>
  <c r="F14" i="9"/>
  <c r="H14" i="9" s="1"/>
  <c r="J14" i="9" s="1"/>
  <c r="C15" i="9"/>
  <c r="D15" i="9"/>
  <c r="E15" i="9"/>
  <c r="F15" i="9"/>
  <c r="H15" i="9" s="1"/>
  <c r="J15" i="9" s="1"/>
  <c r="C16" i="9"/>
  <c r="D16" i="9"/>
  <c r="E16" i="9"/>
  <c r="F16" i="9"/>
  <c r="H16" i="9" s="1"/>
  <c r="J16" i="9" s="1"/>
  <c r="C17" i="9"/>
  <c r="D17" i="9"/>
  <c r="E17" i="9"/>
  <c r="F17" i="9"/>
  <c r="H17" i="9" s="1"/>
  <c r="J17" i="9" s="1"/>
  <c r="C18" i="9"/>
  <c r="D18" i="9"/>
  <c r="E18" i="9"/>
  <c r="F18" i="9"/>
  <c r="H18" i="9" s="1"/>
  <c r="J18" i="9" s="1"/>
  <c r="C19" i="9"/>
  <c r="D19" i="9"/>
  <c r="E19" i="9"/>
  <c r="F19" i="9"/>
  <c r="H19" i="9" s="1"/>
  <c r="J19" i="9" s="1"/>
  <c r="C20" i="9"/>
  <c r="D20" i="9"/>
  <c r="E20" i="9"/>
  <c r="F20" i="9"/>
  <c r="C21" i="9"/>
  <c r="D21" i="9"/>
  <c r="E21" i="9"/>
  <c r="F21" i="9"/>
  <c r="H21" i="9" s="1"/>
  <c r="J21" i="9" s="1"/>
  <c r="C22" i="9"/>
  <c r="D22" i="9"/>
  <c r="E22" i="9"/>
  <c r="F22" i="9"/>
  <c r="H22" i="9" s="1"/>
  <c r="J22" i="9" s="1"/>
  <c r="C23" i="9"/>
  <c r="D23" i="9"/>
  <c r="E23" i="9"/>
  <c r="F23" i="9"/>
  <c r="C24" i="9"/>
  <c r="D24" i="9"/>
  <c r="E24" i="9"/>
  <c r="F24" i="9"/>
  <c r="C25" i="9"/>
  <c r="D25" i="9"/>
  <c r="E25" i="9"/>
  <c r="F25" i="9"/>
  <c r="C26" i="9"/>
  <c r="D26" i="9"/>
  <c r="E26" i="9"/>
  <c r="F26" i="9"/>
  <c r="C27" i="9"/>
  <c r="D27" i="9"/>
  <c r="E27" i="9"/>
  <c r="F27" i="9"/>
  <c r="C28" i="9"/>
  <c r="D28" i="9"/>
  <c r="E28" i="9"/>
  <c r="F28" i="9"/>
  <c r="C29" i="9"/>
  <c r="D29" i="9"/>
  <c r="E29" i="9"/>
  <c r="F29" i="9"/>
  <c r="C30" i="9"/>
  <c r="D30" i="9"/>
  <c r="E30" i="9"/>
  <c r="F30" i="9"/>
  <c r="C31" i="9"/>
  <c r="D31" i="9"/>
  <c r="E31" i="9"/>
  <c r="F31" i="9"/>
  <c r="C32" i="9"/>
  <c r="D32" i="9"/>
  <c r="E32" i="9"/>
  <c r="F32" i="9"/>
  <c r="C34" i="9"/>
  <c r="D34" i="9"/>
  <c r="E34" i="9"/>
  <c r="F34" i="9"/>
  <c r="E4" i="9"/>
  <c r="D4" i="9"/>
  <c r="C4" i="9"/>
  <c r="F5" i="3"/>
  <c r="F6" i="3"/>
  <c r="F8" i="3"/>
  <c r="F9" i="3"/>
  <c r="F10" i="3"/>
  <c r="F12" i="3"/>
  <c r="F13" i="3"/>
  <c r="F14" i="3"/>
  <c r="F15" i="3"/>
  <c r="F16" i="3"/>
  <c r="F17" i="3"/>
  <c r="F18" i="3"/>
  <c r="F19" i="3"/>
  <c r="F20" i="3"/>
  <c r="F21" i="3"/>
  <c r="F22" i="3"/>
  <c r="F23" i="3"/>
  <c r="F24" i="3"/>
  <c r="F25" i="3"/>
  <c r="F26" i="3"/>
  <c r="F27" i="3"/>
  <c r="F28" i="3"/>
  <c r="F29" i="3"/>
  <c r="F30" i="3"/>
  <c r="F32" i="3"/>
  <c r="F33" i="3"/>
  <c r="F34" i="3"/>
  <c r="F4" i="3"/>
  <c r="D5" i="3"/>
  <c r="D6" i="3"/>
  <c r="D8" i="3"/>
  <c r="D9" i="3"/>
  <c r="D10" i="3"/>
  <c r="D12" i="3"/>
  <c r="D13" i="3"/>
  <c r="D14" i="3"/>
  <c r="D15" i="3"/>
  <c r="D16" i="3"/>
  <c r="D17" i="3"/>
  <c r="D18" i="3"/>
  <c r="D19" i="3"/>
  <c r="D20" i="3"/>
  <c r="D21" i="3"/>
  <c r="D22" i="3"/>
  <c r="D23" i="3"/>
  <c r="D24" i="3"/>
  <c r="D25" i="3"/>
  <c r="D26" i="3"/>
  <c r="D27" i="3"/>
  <c r="D28" i="3"/>
  <c r="D29" i="3"/>
  <c r="D30" i="3"/>
  <c r="D32" i="3"/>
  <c r="D33" i="3"/>
  <c r="D34" i="3"/>
  <c r="E5" i="3"/>
  <c r="E6" i="3"/>
  <c r="E8" i="3"/>
  <c r="E9" i="3"/>
  <c r="E10" i="3"/>
  <c r="E12" i="3"/>
  <c r="E13" i="3"/>
  <c r="E14" i="3"/>
  <c r="E15" i="3"/>
  <c r="E16" i="3"/>
  <c r="E17" i="3"/>
  <c r="E18" i="3"/>
  <c r="E19" i="3"/>
  <c r="E20" i="3"/>
  <c r="E21" i="3"/>
  <c r="E22" i="3"/>
  <c r="E23" i="3"/>
  <c r="E24" i="3"/>
  <c r="E25" i="3"/>
  <c r="E26" i="3"/>
  <c r="E27" i="3"/>
  <c r="E28" i="3"/>
  <c r="E29" i="3"/>
  <c r="E30" i="3"/>
  <c r="E32" i="3"/>
  <c r="E4" i="3"/>
  <c r="AD18" i="2"/>
  <c r="AD16" i="2"/>
  <c r="O43" i="2"/>
  <c r="N43" i="2"/>
  <c r="O46" i="2"/>
  <c r="N46" i="2"/>
  <c r="O45" i="2"/>
  <c r="O44" i="2"/>
  <c r="N44" i="2"/>
  <c r="N45" i="2"/>
  <c r="N121" i="2"/>
  <c r="O121" i="2"/>
  <c r="F4" i="9"/>
  <c r="H4" i="9" s="1"/>
  <c r="J4" i="9" s="1"/>
  <c r="N119" i="2"/>
  <c r="O119" i="2"/>
  <c r="L34" i="10"/>
  <c r="L33" i="10"/>
  <c r="L32"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4"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G34" i="3"/>
  <c r="I34" i="3" s="1"/>
  <c r="E34" i="3"/>
  <c r="G33" i="3"/>
  <c r="I33" i="3" s="1"/>
  <c r="E33" i="3"/>
  <c r="G32" i="3"/>
  <c r="I32" i="3" s="1"/>
  <c r="G31" i="3"/>
  <c r="I31" i="3" s="1"/>
  <c r="G30" i="3"/>
  <c r="I30" i="3" s="1"/>
  <c r="G29" i="3"/>
  <c r="I29" i="3" s="1"/>
  <c r="G28" i="3"/>
  <c r="I28" i="3" s="1"/>
  <c r="G27" i="3"/>
  <c r="I27" i="3" s="1"/>
  <c r="G26" i="3"/>
  <c r="I26" i="3" s="1"/>
  <c r="G25" i="3"/>
  <c r="I25" i="3" s="1"/>
  <c r="G24" i="3"/>
  <c r="I24" i="3" s="1"/>
  <c r="G23" i="3"/>
  <c r="G22" i="3"/>
  <c r="G21" i="3"/>
  <c r="I21" i="3" s="1"/>
  <c r="G20" i="3"/>
  <c r="G19" i="3"/>
  <c r="G18" i="3"/>
  <c r="G17" i="3"/>
  <c r="G16" i="3"/>
  <c r="G15" i="3"/>
  <c r="G14" i="3"/>
  <c r="G13" i="3"/>
  <c r="G12" i="3"/>
  <c r="G11" i="3"/>
  <c r="G10" i="3"/>
  <c r="G9" i="3"/>
  <c r="G6" i="3"/>
  <c r="G5" i="3"/>
  <c r="AD7" i="2"/>
  <c r="O48" i="2"/>
  <c r="O49" i="2"/>
  <c r="O50" i="2"/>
  <c r="O47" i="2"/>
  <c r="N48" i="2"/>
  <c r="N49" i="2"/>
  <c r="N50" i="2"/>
  <c r="N47" i="2"/>
  <c r="O169" i="2"/>
  <c r="N169" i="2"/>
  <c r="O168" i="2"/>
  <c r="N168" i="2"/>
  <c r="O167" i="2"/>
  <c r="N167" i="2"/>
  <c r="O166" i="2"/>
  <c r="N166" i="2"/>
  <c r="O165" i="2"/>
  <c r="N165" i="2"/>
  <c r="O164" i="2"/>
  <c r="N164" i="2"/>
  <c r="O163" i="2"/>
  <c r="N163" i="2"/>
  <c r="O162" i="2"/>
  <c r="N162" i="2"/>
  <c r="O161" i="2"/>
  <c r="N161" i="2"/>
  <c r="O160" i="2"/>
  <c r="N160" i="2"/>
  <c r="O159" i="2"/>
  <c r="N159" i="2"/>
  <c r="O158" i="2"/>
  <c r="N158" i="2"/>
  <c r="O157" i="2"/>
  <c r="N157" i="2"/>
  <c r="N4" i="2"/>
  <c r="O4" i="2"/>
  <c r="N9" i="2"/>
  <c r="O9" i="2"/>
  <c r="N18" i="2"/>
  <c r="O18" i="2"/>
  <c r="N5" i="2"/>
  <c r="O5" i="2"/>
  <c r="N10" i="2"/>
  <c r="O10" i="2"/>
  <c r="N11" i="2"/>
  <c r="O11" i="2"/>
  <c r="N19" i="2"/>
  <c r="O19" i="2"/>
  <c r="N20" i="2"/>
  <c r="O20" i="2"/>
  <c r="N6" i="2"/>
  <c r="O6" i="2"/>
  <c r="N12" i="2"/>
  <c r="O12" i="2"/>
  <c r="N13" i="2"/>
  <c r="O13" i="2"/>
  <c r="N21" i="2"/>
  <c r="O21" i="2"/>
  <c r="N22" i="2"/>
  <c r="O22" i="2"/>
  <c r="N7" i="2"/>
  <c r="O7" i="2"/>
  <c r="N14" i="2"/>
  <c r="O14" i="2"/>
  <c r="N15" i="2"/>
  <c r="O15" i="2"/>
  <c r="N23" i="2"/>
  <c r="O23" i="2"/>
  <c r="N24" i="2"/>
  <c r="O24" i="2"/>
  <c r="N8" i="2"/>
  <c r="O8" i="2"/>
  <c r="N16" i="2"/>
  <c r="O16" i="2"/>
  <c r="N17" i="2"/>
  <c r="O17" i="2"/>
  <c r="N25" i="2"/>
  <c r="O25" i="2"/>
  <c r="N26" i="2"/>
  <c r="O26" i="2"/>
  <c r="N27" i="2"/>
  <c r="O27" i="2"/>
  <c r="N28" i="2"/>
  <c r="O28" i="2"/>
  <c r="N29" i="2"/>
  <c r="O29" i="2"/>
  <c r="N30" i="2"/>
  <c r="O30" i="2"/>
  <c r="N33" i="2"/>
  <c r="O33" i="2"/>
  <c r="N34" i="2"/>
  <c r="O34" i="2"/>
  <c r="N31" i="2"/>
  <c r="O31" i="2"/>
  <c r="N32" i="2"/>
  <c r="O32" i="2"/>
  <c r="AD6" i="2"/>
  <c r="AD5" i="2"/>
  <c r="AD4" i="2"/>
  <c r="H156" i="2"/>
  <c r="AD27" i="2"/>
  <c r="G4" i="3"/>
  <c r="AD26" i="2"/>
  <c r="AD25" i="2"/>
  <c r="AD24" i="2"/>
  <c r="AD23" i="2"/>
  <c r="AD13" i="2"/>
  <c r="AD20" i="2"/>
  <c r="O108" i="2"/>
  <c r="N108" i="2"/>
  <c r="O156" i="2"/>
  <c r="N156" i="2"/>
  <c r="H139" i="2"/>
  <c r="O102" i="2"/>
  <c r="N102" i="2"/>
  <c r="O101" i="2"/>
  <c r="N101" i="2"/>
  <c r="O104" i="2"/>
  <c r="N104" i="2"/>
  <c r="O109" i="2"/>
  <c r="O122" i="2"/>
  <c r="N122" i="2"/>
  <c r="O120" i="2"/>
  <c r="N120" i="2"/>
  <c r="O107" i="2"/>
  <c r="N107" i="2"/>
  <c r="O106" i="2"/>
  <c r="N106" i="2"/>
  <c r="O105" i="2"/>
  <c r="N105" i="2"/>
  <c r="AD9" i="2"/>
  <c r="AD10" i="2"/>
  <c r="AD11" i="2"/>
  <c r="AD12" i="2"/>
  <c r="AD14" i="2"/>
  <c r="AD15" i="2"/>
  <c r="AD17" i="2"/>
  <c r="AD19" i="2"/>
  <c r="AD8" i="2"/>
  <c r="O103" i="2"/>
  <c r="N103" i="2"/>
  <c r="J30" i="10" l="1"/>
  <c r="J24" i="10"/>
  <c r="J32" i="10"/>
  <c r="J23" i="10"/>
  <c r="J29" i="9"/>
  <c r="I9" i="3"/>
  <c r="K9" i="3" s="1"/>
  <c r="I17" i="3"/>
  <c r="K17" i="3" s="1"/>
  <c r="I8" i="3"/>
  <c r="K8" i="3" s="1"/>
  <c r="I10" i="3"/>
  <c r="K10" i="3" s="1"/>
  <c r="I18" i="3"/>
  <c r="K18" i="3" s="1"/>
  <c r="I12" i="3"/>
  <c r="K12" i="3" s="1"/>
  <c r="I20" i="3"/>
  <c r="K20" i="3" s="1"/>
  <c r="I19" i="3"/>
  <c r="K19" i="3" s="1"/>
  <c r="I13" i="3"/>
  <c r="K13" i="3" s="1"/>
  <c r="I11" i="3"/>
  <c r="K11" i="3" s="1"/>
  <c r="I14" i="3"/>
  <c r="K14" i="3" s="1"/>
  <c r="I5" i="3"/>
  <c r="K5" i="3" s="1"/>
  <c r="I15" i="3"/>
  <c r="K15" i="3" s="1"/>
  <c r="I23" i="3"/>
  <c r="K23" i="3" s="1"/>
  <c r="I4" i="3"/>
  <c r="K4" i="3" s="1"/>
  <c r="I6" i="3"/>
  <c r="K6" i="3" s="1"/>
  <c r="I16" i="3"/>
  <c r="K16" i="3" s="1"/>
  <c r="I22" i="3"/>
  <c r="K22" i="3" s="1"/>
  <c r="J29" i="10"/>
  <c r="J30" i="9"/>
  <c r="J20" i="9"/>
  <c r="K34" i="3"/>
  <c r="K26" i="3"/>
  <c r="J27" i="10"/>
  <c r="J33" i="10"/>
  <c r="K25" i="3"/>
  <c r="K33" i="3"/>
  <c r="K32" i="3"/>
  <c r="J20" i="10"/>
  <c r="K24" i="3"/>
  <c r="J26" i="10"/>
  <c r="J34" i="10"/>
  <c r="J25" i="10"/>
  <c r="J28" i="9"/>
  <c r="J25" i="9"/>
  <c r="J28" i="10"/>
  <c r="J27" i="9"/>
  <c r="J31" i="9"/>
  <c r="J23" i="9"/>
  <c r="I52" i="9"/>
  <c r="J32" i="9"/>
  <c r="J24" i="9"/>
  <c r="J34" i="9"/>
  <c r="J26" i="9"/>
  <c r="K28" i="3"/>
  <c r="I52" i="10"/>
  <c r="K30" i="3"/>
  <c r="K29" i="3"/>
  <c r="K27" i="3"/>
  <c r="K21" i="3"/>
  <c r="K31" i="3"/>
  <c r="J54" i="3" l="1"/>
  <c r="J56" i="3" s="1"/>
  <c r="J37" i="3"/>
  <c r="J52" i="3" s="1"/>
  <c r="I35" i="10"/>
  <c r="I47" i="10" s="1"/>
  <c r="I54" i="9"/>
  <c r="I35" i="9"/>
  <c r="I50" i="9" s="1"/>
  <c r="I54" i="10"/>
  <c r="B15" i="8" l="1"/>
  <c r="I50" i="10"/>
  <c r="I56" i="10" s="1"/>
  <c r="I47" i="9"/>
  <c r="I56" i="9" s="1"/>
  <c r="J49" i="3"/>
  <c r="J58" i="3" l="1"/>
  <c r="B1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tc={4D514791-1137-4EA3-B0CD-A161B297648D}</author>
  </authors>
  <commentList>
    <comment ref="A45" authorId="0" shapeId="0" xr:uid="{4D514791-1137-4EA3-B0CD-A161B297648D}">
      <text>
        <t>[Threaded comment]
Your version of Excel allows you to read this threaded comment; however, any edits to it will get removed if the file is opened in a newer version of Excel. Learn more: https://go.microsoft.com/fwlink/?linkid=870924
Comment:
    Rate for orders below 2400 units</t>
      </text>
    </comment>
  </commentList>
</comments>
</file>

<file path=xl/sharedStrings.xml><?xml version="1.0" encoding="utf-8"?>
<sst xmlns="http://schemas.openxmlformats.org/spreadsheetml/2006/main" count="2518" uniqueCount="511">
  <si>
    <t>Option A</t>
  </si>
  <si>
    <t>Option B</t>
  </si>
  <si>
    <t>Option C</t>
  </si>
  <si>
    <t>Section 2: Please explain the rationale for selecting the final option below</t>
  </si>
  <si>
    <t>TOTAL</t>
  </si>
  <si>
    <t>Type of equipment</t>
  </si>
  <si>
    <t>Equipment model</t>
  </si>
  <si>
    <t>Equipment make</t>
  </si>
  <si>
    <t>Vaccine capacity (L)</t>
  </si>
  <si>
    <t>Freezer gross volume (L)</t>
  </si>
  <si>
    <t>PQS indicative equipment unit price $US</t>
  </si>
  <si>
    <t>Estimated service bundle cost $US</t>
  </si>
  <si>
    <t>Total unit cost
including service bundle cost $US</t>
  </si>
  <si>
    <t>Number of equipment</t>
  </si>
  <si>
    <t>Total amount
$US</t>
  </si>
  <si>
    <t>Select from dropdown list</t>
  </si>
  <si>
    <t xml:space="preserve">Enter cost within service bundle price range </t>
  </si>
  <si>
    <t>Enter quantity</t>
  </si>
  <si>
    <t>_1. Walk in cold rooms</t>
  </si>
  <si>
    <t>_2. Walk in cold rooms with freezers</t>
  </si>
  <si>
    <t>_3. Short term lease for Walk in cold rooms</t>
  </si>
  <si>
    <t>30 cbm</t>
  </si>
  <si>
    <t>_4. Leasing Walk in cold rooms or freezer room</t>
  </si>
  <si>
    <t>30 cbm LT</t>
  </si>
  <si>
    <t>_5. On grid ILR_without freezer comp.</t>
  </si>
  <si>
    <t>_6. On grid ILR_with freezer comp.</t>
  </si>
  <si>
    <t>_7. On grid freezers</t>
  </si>
  <si>
    <t>_8. Off grid SDD refrigerators_without freezer comp.</t>
  </si>
  <si>
    <t>_9. Off grid SDD refrigerators_with freezer comp.</t>
  </si>
  <si>
    <t>_10. Off grid SDD freezer</t>
  </si>
  <si>
    <t>_11. Temperature monitoring device_30DTR</t>
  </si>
  <si>
    <t>_12. Remote temperature monitoring devices_RTMDs</t>
  </si>
  <si>
    <t>_13. Standard vaccine carriers</t>
  </si>
  <si>
    <t>_14. Freeze free vaccine carriers</t>
  </si>
  <si>
    <t>_15. Standard vaccine cold boxes</t>
  </si>
  <si>
    <t>_16. Freeze free cold boxes</t>
  </si>
  <si>
    <t xml:space="preserve">_17. Voltage regulators for equipment </t>
  </si>
  <si>
    <t>_18. Ice packs</t>
  </si>
  <si>
    <t>_19. Spare parts for new ILR equipment without freezer</t>
  </si>
  <si>
    <t>_20. Spare parts for new ILR equipment with freezer</t>
  </si>
  <si>
    <t>_21. Spare parts for new freezer equipment</t>
  </si>
  <si>
    <t>_22. Spare parts for new SDD without freezer comp.</t>
  </si>
  <si>
    <t>_23. Spare parts for new SDD with freezer comp.</t>
  </si>
  <si>
    <t>_24. Spare parts for new SDD freezer</t>
  </si>
  <si>
    <t>Total Equipment Budget (excluding Leasing costs)</t>
  </si>
  <si>
    <t>Total estimated International Freight Fees $US</t>
  </si>
  <si>
    <t>Total Budget (Incl. 6% Additional Buffer and International Freight)</t>
  </si>
  <si>
    <r>
      <t xml:space="preserve">Procurement Service Fees ( % of Budget Per UNICEF: 5%) </t>
    </r>
    <r>
      <rPr>
        <b/>
        <sz val="11"/>
        <color rgb="FFFF0000"/>
        <rFont val="Calibri"/>
        <family val="2"/>
        <scheme val="minor"/>
      </rPr>
      <t>Enter %</t>
    </r>
  </si>
  <si>
    <t>Estimated Procurement Fees $US</t>
  </si>
  <si>
    <t>Total Leasing fees</t>
  </si>
  <si>
    <t>Total Budget (Including 6% additional buffer, International Freight, leasing fees and UNICEF Procurement or contracting fees) $US</t>
  </si>
  <si>
    <t>10 cbm</t>
  </si>
  <si>
    <t>10 cbm LT</t>
  </si>
  <si>
    <t>Index</t>
  </si>
  <si>
    <t>Solar Panel Mounting</t>
  </si>
  <si>
    <t>Foster</t>
  </si>
  <si>
    <t>-</t>
  </si>
  <si>
    <t>NA</t>
  </si>
  <si>
    <t>Haier</t>
  </si>
  <si>
    <t>Porkka</t>
  </si>
  <si>
    <t>Viessmann</t>
  </si>
  <si>
    <t>N/A</t>
  </si>
  <si>
    <t>Zhendre</t>
  </si>
  <si>
    <t>Pole Mount</t>
  </si>
  <si>
    <t>Ground Mount</t>
  </si>
  <si>
    <t>40 cbm</t>
  </si>
  <si>
    <t>20 cbm</t>
  </si>
  <si>
    <t>20 cbm LT</t>
  </si>
  <si>
    <t>40 cbm LT</t>
  </si>
  <si>
    <t>&lt;30L</t>
  </si>
  <si>
    <t xml:space="preserve">Godrej &amp; Boyce </t>
  </si>
  <si>
    <t>1. Countries should plan with these prices if they request specific CCE make and model</t>
  </si>
  <si>
    <t>30 - &lt;60L</t>
  </si>
  <si>
    <t>B Medical</t>
  </si>
  <si>
    <t>TCW 40R AC</t>
  </si>
  <si>
    <t>WHO PQS Catalogue</t>
  </si>
  <si>
    <t>Aucma</t>
  </si>
  <si>
    <t>CFD-50</t>
  </si>
  <si>
    <t>GVR 51 Lite AC</t>
  </si>
  <si>
    <t>4. Service bundle costs are Gavi planning estimates. Lower limit estimates should be used for facilities closest to
 the distribution point while the upper limit estimates should be used for facilities farthest from the distribution point.</t>
  </si>
  <si>
    <t>60 - &lt;90L</t>
  </si>
  <si>
    <t>Vestfrost</t>
  </si>
  <si>
    <t>VLS 204A</t>
  </si>
  <si>
    <t>*Purchases for 30DTRs should be limited to equipment storing Covid vaccine only</t>
  </si>
  <si>
    <t>HBC 80</t>
  </si>
  <si>
    <t xml:space="preserve">*Purchases for voltage regulators is limited to equipment storing Covid vaccines only   </t>
  </si>
  <si>
    <t>GVR 75 Lite AC</t>
  </si>
  <si>
    <t>TCW 80 AC</t>
  </si>
  <si>
    <t>90 - &lt;120L</t>
  </si>
  <si>
    <t>VLS 304A AC</t>
  </si>
  <si>
    <t>GVR 99 Lite AC</t>
  </si>
  <si>
    <t>HBC-120</t>
  </si>
  <si>
    <t>&gt;120L</t>
  </si>
  <si>
    <t>VLS 404A AC</t>
  </si>
  <si>
    <t>Dulas Solar</t>
  </si>
  <si>
    <t>VC 225 ILR</t>
  </si>
  <si>
    <t>HBC 260</t>
  </si>
  <si>
    <t>GVR 225 AC</t>
  </si>
  <si>
    <t>TCW 4000 AC</t>
  </si>
  <si>
    <t>HBCD - 90</t>
  </si>
  <si>
    <t>GVR 55 FF AC</t>
  </si>
  <si>
    <t>VLS 064 RF AC</t>
  </si>
  <si>
    <t>TCW 2000 AC</t>
  </si>
  <si>
    <t>DW-25W147</t>
  </si>
  <si>
    <t>MF 114</t>
  </si>
  <si>
    <t>HBD 116</t>
  </si>
  <si>
    <t>DW-25W300</t>
  </si>
  <si>
    <t>MF 314</t>
  </si>
  <si>
    <t>HBD 286</t>
  </si>
  <si>
    <t>SunDanzer</t>
  </si>
  <si>
    <t>TCW 15R SDD</t>
  </si>
  <si>
    <t>TCW 40R SDD</t>
  </si>
  <si>
    <t>GVR 50 DC</t>
  </si>
  <si>
    <t>CFD-50 SDD</t>
  </si>
  <si>
    <t>VC 50 SDD</t>
  </si>
  <si>
    <t>BFRV 55 SDD</t>
  </si>
  <si>
    <t>VLS 054A SDD</t>
  </si>
  <si>
    <t>HTC 110 SDD</t>
  </si>
  <si>
    <t>VC 88 SDD</t>
  </si>
  <si>
    <t>VLS 094A SDD</t>
  </si>
  <si>
    <t>GVR 100 DC</t>
  </si>
  <si>
    <t>HTC-120</t>
  </si>
  <si>
    <t>VC 200 SDD</t>
  </si>
  <si>
    <t>VLS 154A SDD</t>
  </si>
  <si>
    <t>HTC-240</t>
  </si>
  <si>
    <t>TCW 4000 SDD</t>
  </si>
  <si>
    <t>TCW 15 SDD</t>
  </si>
  <si>
    <t>TCW 40 SDD</t>
  </si>
  <si>
    <t>HTCD 90 SDD</t>
  </si>
  <si>
    <t>VLS 056 RF SDD</t>
  </si>
  <si>
    <t>VC 60 SDD</t>
  </si>
  <si>
    <t>GVR 55 FF DC</t>
  </si>
  <si>
    <t>TCW 2043 SDD</t>
  </si>
  <si>
    <t>HTCD 160 SDD</t>
  </si>
  <si>
    <t>VC 150 SDD</t>
  </si>
  <si>
    <t>VFS 048 SDD</t>
  </si>
  <si>
    <t>HTD 40 SDD</t>
  </si>
  <si>
    <t>TFW 40 SDD</t>
  </si>
  <si>
    <t>HETL-01</t>
  </si>
  <si>
    <t>LogTag</t>
  </si>
  <si>
    <t>VaxTag 30DTR</t>
  </si>
  <si>
    <t>Berlinger</t>
  </si>
  <si>
    <t>Fridge-Tag 2</t>
  </si>
  <si>
    <t>Fridge-Tag 2 E</t>
  </si>
  <si>
    <t>ELPRO-BUCHS AG</t>
  </si>
  <si>
    <t>LIBERO Ti1</t>
  </si>
  <si>
    <t>Beyond Wireless</t>
  </si>
  <si>
    <t>Nexleaf</t>
  </si>
  <si>
    <t>&lt;5L</t>
  </si>
  <si>
    <t>AOV</t>
  </si>
  <si>
    <t>AFVC 46</t>
  </si>
  <si>
    <t>Blowkings</t>
  </si>
  <si>
    <t>BK-VC-FF 1.6L</t>
  </si>
  <si>
    <t xml:space="preserve">Qingdao Leff </t>
  </si>
  <si>
    <t>FFVC-1.7L</t>
  </si>
  <si>
    <t>FFCB-15L</t>
  </si>
  <si>
    <t>Sollatek</t>
  </si>
  <si>
    <t>SVS04-22E, 4A 1kVA 100-290V</t>
  </si>
  <si>
    <t>SVS04-22 4A 1KVA 230V</t>
  </si>
  <si>
    <t>HVS-1000</t>
  </si>
  <si>
    <t>Sagar</t>
  </si>
  <si>
    <t>SVS-5K-1P-ER</t>
  </si>
  <si>
    <t>SVS-10K-1P-ER</t>
  </si>
  <si>
    <t>SVS45E 45A 10kVA 120-288V</t>
  </si>
  <si>
    <t>SVS-10K-TP</t>
  </si>
  <si>
    <t>AVR3LE020, 20Amps/phase</t>
  </si>
  <si>
    <t>SVS-15K-TP</t>
  </si>
  <si>
    <t>SVS-20K-TP</t>
  </si>
  <si>
    <t>AVR3LE030, 30Amps/phase</t>
  </si>
  <si>
    <t>SVS-30K-TP</t>
  </si>
  <si>
    <t>AVR3LE050, 50Amps/phase</t>
  </si>
  <si>
    <t>ADVC24</t>
  </si>
  <si>
    <t>APEX</t>
  </si>
  <si>
    <t>AIDVC24</t>
  </si>
  <si>
    <t>Blow Kings</t>
  </si>
  <si>
    <t xml:space="preserve">Nilkamal </t>
  </si>
  <si>
    <t>VDC 24-CF</t>
  </si>
  <si>
    <t>BBVC23</t>
  </si>
  <si>
    <t>B  Medical</t>
  </si>
  <si>
    <t>AIVC44 LR</t>
  </si>
  <si>
    <t>BK-VC 1.7-CF</t>
  </si>
  <si>
    <t>BCVC44-A</t>
  </si>
  <si>
    <t>RCW1</t>
  </si>
  <si>
    <t>AVC46</t>
  </si>
  <si>
    <t>AIVC46</t>
  </si>
  <si>
    <t>BK-VC 2.6-CF</t>
  </si>
  <si>
    <t>BCVC46</t>
  </si>
  <si>
    <t>RCW4</t>
  </si>
  <si>
    <t>BK-VC 3.4-CF</t>
  </si>
  <si>
    <t>AICB243S</t>
  </si>
  <si>
    <t>CB-55-CF</t>
  </si>
  <si>
    <t>RCB324SS</t>
  </si>
  <si>
    <t>RCW8</t>
  </si>
  <si>
    <t>ACB264SL</t>
  </si>
  <si>
    <t>AICB156L</t>
  </si>
  <si>
    <t>CB-12-CF</t>
  </si>
  <si>
    <t>RCB264SL</t>
  </si>
  <si>
    <t>RCW12</t>
  </si>
  <si>
    <t>AICB444L</t>
  </si>
  <si>
    <t>RCB246LS</t>
  </si>
  <si>
    <t>&gt;15L</t>
  </si>
  <si>
    <t>ACB503L</t>
  </si>
  <si>
    <t>AICB503L</t>
  </si>
  <si>
    <t>CB-20-CF</t>
  </si>
  <si>
    <t>RCB444L-A</t>
  </si>
  <si>
    <t>RCW25</t>
  </si>
  <si>
    <t>5-15 L</t>
  </si>
  <si>
    <t>0.3L</t>
  </si>
  <si>
    <t>0.4L</t>
  </si>
  <si>
    <t>0.6L</t>
  </si>
  <si>
    <t>AIP3</t>
  </si>
  <si>
    <t>AIIP03</t>
  </si>
  <si>
    <t>BK V4H</t>
  </si>
  <si>
    <t>BIP-3</t>
  </si>
  <si>
    <t>AIP4</t>
  </si>
  <si>
    <t>AIIP04</t>
  </si>
  <si>
    <t>BK 4</t>
  </si>
  <si>
    <t>BIP-4</t>
  </si>
  <si>
    <t>AIP6</t>
  </si>
  <si>
    <t>AIIP06</t>
  </si>
  <si>
    <t>BK 6</t>
  </si>
  <si>
    <t>BIP-6</t>
  </si>
  <si>
    <r>
      <t xml:space="preserve">Program support cost (% of leasing costs per UNICEF: 8%) </t>
    </r>
    <r>
      <rPr>
        <b/>
        <sz val="11"/>
        <rFont val="Calibri"/>
        <family val="2"/>
        <scheme val="minor"/>
      </rPr>
      <t>Enter %</t>
    </r>
  </si>
  <si>
    <t>Estimated Program Support Cost $US</t>
  </si>
  <si>
    <t>Blulog</t>
  </si>
  <si>
    <t>Ikhaya</t>
  </si>
  <si>
    <t>ICE3 (WICR Model BC141) + 3 years data/portal access</t>
  </si>
  <si>
    <t>TDL2-5Y data logger (WICR Model)+ 3 years data/portal access</t>
  </si>
  <si>
    <t>VM 1000 (WICR Model)+ 3 years data/portal access</t>
  </si>
  <si>
    <t>ICE3 EXTRA - MODEL BC440 (2 WICR Model) + 3 years data/portal access</t>
  </si>
  <si>
    <t>TDL2-5Y data logger (2 WICR Model) + 3 years data/portal access</t>
  </si>
  <si>
    <t>VM 1000 (2 WICR Model)+ 3 years data/portal access</t>
  </si>
  <si>
    <t>ICE3 EXTRA - MODEL BC440 (3 WICR Model)+ 3 years data/portal access</t>
  </si>
  <si>
    <t>TDL2-5Y data logger (3 WICR Model)+ 3 years data/portal access</t>
  </si>
  <si>
    <t>VM 1000 (Refrigerator model)+ 3 years data/portal access</t>
  </si>
  <si>
    <t>TDL2-5Y data logger (Refrigerator Model)+ 3 years data/portal access</t>
  </si>
  <si>
    <t>ColdTrace 5 (Refrigerator model CT5)+ 3 years data/portal access</t>
  </si>
  <si>
    <t>Fridge-tag 3 GSM (Refrigerator model)+ 3 years data/portal access</t>
  </si>
  <si>
    <t>Haier U-Cool (Refrigerator model)+ 3 years data/portal access</t>
  </si>
  <si>
    <t>ICE3 (Refrigerator Model BC141)+ 3 years data/portal access</t>
  </si>
  <si>
    <t xml:space="preserve">3. Indicated PQS Unit/UNICEF LTA prices are for planning purposes and are the highest unit prices provided for each equipment </t>
  </si>
  <si>
    <t>International Freight per unit (WICR/WIFR- Categories 1 and 2)</t>
  </si>
  <si>
    <t>International Freight per unit (ILRs and SDDs- Categories 5- 10)</t>
  </si>
  <si>
    <t>International Freight per unit (TMD - Category 11)</t>
  </si>
  <si>
    <t>International Freight per unit (RTMD- Category 12)</t>
  </si>
  <si>
    <t>International Freight per unit (Vaccine carriers- Categories 13 and 14)</t>
  </si>
  <si>
    <t>International Freight per unit (Cold boxes Category 15 and 16)</t>
  </si>
  <si>
    <t>International Freight per unit (Voltage regulators- Category 17)</t>
  </si>
  <si>
    <t>International Freight per unit (Ice packs- Category 18)</t>
  </si>
  <si>
    <t>Icepack 0.3L - set of 40</t>
  </si>
  <si>
    <t>Dropdown table 2-&gt; Capacity segment</t>
  </si>
  <si>
    <t>Dropdown table 3 -&gt; CCE model based on CCE type and capacity segment</t>
  </si>
  <si>
    <t>Dropdown table 1-&gt; Type of equipment</t>
  </si>
  <si>
    <t>Reference table of product categories with NO service bundle costs</t>
  </si>
  <si>
    <t>WICR</t>
  </si>
  <si>
    <t>Refrigerator</t>
  </si>
  <si>
    <t>TCW 40R AC -spare parts</t>
  </si>
  <si>
    <t>CFD-50 -spare parts</t>
  </si>
  <si>
    <t>GVR 51 Lite AC -spare parts</t>
  </si>
  <si>
    <t>VLS 204A -spare parts</t>
  </si>
  <si>
    <t>HBC 80 -spare parts</t>
  </si>
  <si>
    <t>GVR 75 Lite AC -spare parts</t>
  </si>
  <si>
    <t>TCW 80 AC -spare parts</t>
  </si>
  <si>
    <t>VLS 304A AC -spare parts</t>
  </si>
  <si>
    <t>GVR 99 Lite AC -spare parts</t>
  </si>
  <si>
    <t>HBC-120 -spare parts</t>
  </si>
  <si>
    <t>VLS 404A AC -spare parts</t>
  </si>
  <si>
    <t>VC 225 ILR -spare parts</t>
  </si>
  <si>
    <t>HBC 260 -spare parts</t>
  </si>
  <si>
    <t>GVR 225 AC -spare parts</t>
  </si>
  <si>
    <t>TCW 4000 AC -spare parts</t>
  </si>
  <si>
    <t>HBCD - 90 -spare parts</t>
  </si>
  <si>
    <t>GVR 55 FF AC -spare parts</t>
  </si>
  <si>
    <t>VLS 064 RF AC -spare parts</t>
  </si>
  <si>
    <t>TCW 2000 AC -spare parts</t>
  </si>
  <si>
    <t>DW-25W147 -spare parts</t>
  </si>
  <si>
    <t>MF 114 -spare parts</t>
  </si>
  <si>
    <t>HBD 116 -spare parts</t>
  </si>
  <si>
    <t>DW-25W300 -spare parts</t>
  </si>
  <si>
    <t>MF 314 -spare parts</t>
  </si>
  <si>
    <t>HBD 286 -spare parts</t>
  </si>
  <si>
    <t>TCW 15R SDD -spare parts</t>
  </si>
  <si>
    <t>TCW 40R SDD -spare parts</t>
  </si>
  <si>
    <t>GVR 50 DC -spare parts</t>
  </si>
  <si>
    <t>CFD-50 SDD -spare parts</t>
  </si>
  <si>
    <t>VC 50 SDD -spare parts</t>
  </si>
  <si>
    <t>BFRV 55 SDD -spare parts</t>
  </si>
  <si>
    <t>VLS 054A SDD -spare parts</t>
  </si>
  <si>
    <t>HTC 110 SDD -spare parts</t>
  </si>
  <si>
    <t>VC 88 SDD -spare parts</t>
  </si>
  <si>
    <t>VLS 094A SDD -spare parts</t>
  </si>
  <si>
    <t>GVR 100 DC -spare parts</t>
  </si>
  <si>
    <t>HTC-120 -spare parts</t>
  </si>
  <si>
    <t>VC 200 SDD -spare parts</t>
  </si>
  <si>
    <t>VLS 154A SDD -spare parts</t>
  </si>
  <si>
    <t>HTC-240 -spare parts</t>
  </si>
  <si>
    <t>TCW 4000 SDD -spare parts</t>
  </si>
  <si>
    <t>TCW 15 SDD -spare parts</t>
  </si>
  <si>
    <t>TCW 40 SDD -spare parts</t>
  </si>
  <si>
    <t>HTCD 90 SDD -spare parts</t>
  </si>
  <si>
    <t>VLS 056 RF SDD -spare parts</t>
  </si>
  <si>
    <t>VC 60 SDD -spare parts</t>
  </si>
  <si>
    <t>GVR 55 FF DC -spare parts</t>
  </si>
  <si>
    <t>TCW 2043 SDD -spare parts</t>
  </si>
  <si>
    <t>HTCD 160 SDD -spare parts</t>
  </si>
  <si>
    <t>VC 150 SDD -spare parts</t>
  </si>
  <si>
    <t>VFS 048 SDD -spare parts</t>
  </si>
  <si>
    <t>HTD 40 SDD -spare parts</t>
  </si>
  <si>
    <t>TFW 40 SDD -spare parts</t>
  </si>
  <si>
    <t>Zhendre WIF mono block 20m3</t>
  </si>
  <si>
    <t>Zhendre WIF split type 20m3</t>
  </si>
  <si>
    <t>Haier WIF mono block 20m3</t>
  </si>
  <si>
    <t>Haier WIF split type 20m3</t>
  </si>
  <si>
    <t>Porkka WIF mono block 20m3</t>
  </si>
  <si>
    <t>Porkka WIF split type 20m3</t>
  </si>
  <si>
    <t>Viessmann WIF mono block 20m3</t>
  </si>
  <si>
    <t>Viessmann WIF split type 20m3</t>
  </si>
  <si>
    <t xml:space="preserve">2. Indicative PQS prices are from the most recent WHO PQS price list as of September 2021.  Accessible via: </t>
  </si>
  <si>
    <t xml:space="preserve">Liste des équipements de la chaîne de froid et prix </t>
  </si>
  <si>
    <t>Type d'équipement et source d'énergie</t>
  </si>
  <si>
    <t>Catégorie de volume (L)</t>
  </si>
  <si>
    <t>Marque</t>
  </si>
  <si>
    <t>Modèle</t>
  </si>
  <si>
    <t>Capacité en matière de stockage des vaccins (L)</t>
  </si>
  <si>
    <t>Capacité brute de congélation</t>
  </si>
  <si>
    <t>Autonomie (jours)</t>
  </si>
  <si>
    <t>Prix unitaire indicatif du PQS, $US</t>
  </si>
  <si>
    <t>Coût indicatif du forfait de services USD (limite inférieure avec les supports au sol pour les panneaux solaires)</t>
  </si>
  <si>
    <t>Coût indicatif de l'offre de services USD (limite supérieure avec les panneaux solaires au sol pour le SDD)</t>
  </si>
  <si>
    <t>Coût indicatif des ensembles de services, $US (limite inférieure, montage sur poteau)</t>
  </si>
  <si>
    <t>Coût indicatif des ensembles de services, $US (limite supérieure, montage sur poteau)</t>
  </si>
  <si>
    <t>Coût unitaire total USD (limite inférieure ILR+ montage au sol)</t>
  </si>
  <si>
    <t>Coût unitaire total $US (limite supérieure ILR+ montage au sol)</t>
  </si>
  <si>
    <t>Type d'équipement</t>
  </si>
  <si>
    <t>Sélectionner dans le menu déroulant</t>
  </si>
  <si>
    <t>Coût indicatif des ensembles de services $US</t>
  </si>
  <si>
    <t>Coût total par unité en USD y compris les services</t>
  </si>
  <si>
    <t xml:space="preserve">Entrer le coût du service qui doit être dans la fourchette selon le type d'équipement </t>
  </si>
  <si>
    <t>Nombre d'équipements</t>
  </si>
  <si>
    <t>Montant total en USD</t>
  </si>
  <si>
    <t>Entrer la quantité</t>
  </si>
  <si>
    <t>Chambres froides de plain pied</t>
  </si>
  <si>
    <t>Chambres froides de plain pied avec congélateurs</t>
  </si>
  <si>
    <t>Marcher dans le congélateur</t>
  </si>
  <si>
    <t>Location à court terme pour chambres froides</t>
  </si>
  <si>
    <t>Location de chambres froides de plain pied ou de chambres de congélation</t>
  </si>
  <si>
    <t>Réfrigérateur ILR à gaine réfrigérante sur réseau_sans comp. congélateur</t>
  </si>
  <si>
    <t>ILR sur réseau_avec comp. congélateur</t>
  </si>
  <si>
    <t>Congélateurs sur réseau</t>
  </si>
  <si>
    <t>Réfrigérateurs hors réseau SDD_sans comp. congélateur</t>
  </si>
  <si>
    <t>Réfrigérateurs hors réseau SDD_avec comp. congélateur</t>
  </si>
  <si>
    <t>Congélateur hors réseau SDD</t>
  </si>
  <si>
    <t>Outil de suivi de la température_30DTR</t>
  </si>
  <si>
    <t>Dispositifs de surveillance à distance de la température_RTMD</t>
  </si>
  <si>
    <t>Porte vaccins traditionnels</t>
  </si>
  <si>
    <t>Porte vaccins hors gel</t>
  </si>
  <si>
    <t>Glacières pour vaccins traditionnelles</t>
  </si>
  <si>
    <t>Glacières hors gel</t>
  </si>
  <si>
    <t>Régulateurs de tension pour équipement</t>
  </si>
  <si>
    <t>Packs de glace</t>
  </si>
  <si>
    <t>Pièces de rechange pour les nouveaux équipements ILR sans congélateur</t>
  </si>
  <si>
    <t>Pièces de rechange pour les nouveaux équipements ILR avec congélateur</t>
  </si>
  <si>
    <t>Pièces de rechange pour les nouveaux congélateurs</t>
  </si>
  <si>
    <t>Pièces de rechange pour les nouveaux SDD avec comp. congélateur</t>
  </si>
  <si>
    <t>Pièces de rechange pour les nouveaux SDD sans comp. congélateur</t>
  </si>
  <si>
    <t>Nouveaux congélateurs SDD pièces de rechange</t>
  </si>
  <si>
    <t>_12.Outil de suivi de la température_30DTR</t>
  </si>
  <si>
    <t>_14.Porte vaccins traditionnels</t>
  </si>
  <si>
    <t>_15.Porte vaccins hors gel</t>
  </si>
  <si>
    <t>_16.Glacières pour vaccins traditionnelles</t>
  </si>
  <si>
    <t>_17.Glacières hors gel</t>
  </si>
  <si>
    <t>_18.Régulateurs de tension pour équipement</t>
  </si>
  <si>
    <t>_19.Packs de glace</t>
  </si>
  <si>
    <t>_20.Pièces de rechange pour les nouveaux équipements ILR sans congélateur</t>
  </si>
  <si>
    <t>_21.Pièces de rechange pour les nouveaux équipements ILR avec congélateur</t>
  </si>
  <si>
    <t>_22.Pièces de rechange pour les nouveaux congélateurs</t>
  </si>
  <si>
    <t>_23.Pièces de rechange pour les nouveaux SDD avec comp. congélateur</t>
  </si>
  <si>
    <t>_24.Pièces de rechange pour les nouveaux SDD sans comp. congélateur</t>
  </si>
  <si>
    <t>_25.Nouveaux congélateurs SDD pièces de rechange</t>
  </si>
  <si>
    <t>Typed'équipement</t>
  </si>
  <si>
    <t>_1.Chambresfroidesdeplainpied</t>
  </si>
  <si>
    <t>_2.Chambresfroidesdeplainpiedaveccongélateurs</t>
  </si>
  <si>
    <t>_3.Marcherdanslecongélateur</t>
  </si>
  <si>
    <t>_4.Locationàcourttermepourchambresfroides</t>
  </si>
  <si>
    <t>_5.Locationdechambresfroidesdeplainpiedoudechambresdecongélation</t>
  </si>
  <si>
    <t>_6.RéfrigérateurILRàgaineréfrigérantesurréseau_sanscomp.congélateur</t>
  </si>
  <si>
    <t>_7.ILRsurréseau_aveccomp.congélateur</t>
  </si>
  <si>
    <t>_8.Congélateurssurréseau</t>
  </si>
  <si>
    <t>_9.RéfrigérateurshorsréseauSDD_sanscomp.congélateur</t>
  </si>
  <si>
    <t>_10.RéfrigérateurshorsréseauSDD_aveccomp.congélateur</t>
  </si>
  <si>
    <t>_11.CongélateurhorsréseauSDD</t>
  </si>
  <si>
    <t>_12.Outildesuividelatempérature_30DTR</t>
  </si>
  <si>
    <t>_13.Dispositifsdesurveillanceàdistancedelatempérature_RTMD</t>
  </si>
  <si>
    <t>_14.Portevaccinstraditionnels</t>
  </si>
  <si>
    <t>_15.Portevaccinshorsgel</t>
  </si>
  <si>
    <t>_16.Glacièrespourvaccinstraditionnelles</t>
  </si>
  <si>
    <t>_17.Glacièreshorsgel</t>
  </si>
  <si>
    <t>_18.Régulateursdetensionpouréquipement</t>
  </si>
  <si>
    <t>_19.Packsdeglace</t>
  </si>
  <si>
    <t>_20.PiècesderechangepourlesnouveauxéquipementsILRsanscongélateur</t>
  </si>
  <si>
    <t>_21.PiècesderechangepourlesnouveauxéquipementsILRaveccongélateur</t>
  </si>
  <si>
    <t>_22.Piècesderechangepourlesnouveauxcongélateurs</t>
  </si>
  <si>
    <t>_23.PiècesderechangepourlesnouveauxSDDaveccomp.congélateur</t>
  </si>
  <si>
    <t>_24.PiècesderechangepourlesnouveauxSDDsanscomp.congélateur</t>
  </si>
  <si>
    <t>_25.NouveauxcongélateursSDDpiècesderechange</t>
  </si>
  <si>
    <t xml:space="preserve">Se référer à ces colonnes pour les gammes SB d'appareils en réseau et les installations de panneaux solaires au sol </t>
  </si>
  <si>
    <t>Consultez ces colonnes pour les installations de panneaux solaires sur poteau</t>
  </si>
  <si>
    <t>_1.Chambres froides de plain pied</t>
  </si>
  <si>
    <t>_2.Chambres froides de plain pied avec congélateurs</t>
  </si>
  <si>
    <t>Comparaison sommaire des choix de pays</t>
  </si>
  <si>
    <r>
      <rPr>
        <i/>
        <sz val="11"/>
        <color theme="4"/>
        <rFont val="Calibri"/>
        <family val="2"/>
        <scheme val="minor"/>
      </rPr>
      <t>L'objectif de cette feuille est de permettre aux décideurs de comparer les implications financières des options de sélection des ECF inscrites dans les feuilles de sélection des ECF (l'option la plus rentable est mise en évidence en vert).</t>
    </r>
    <r>
      <rPr>
        <i/>
        <sz val="11"/>
        <color theme="4"/>
        <rFont val="Calibri"/>
        <family val="2"/>
        <scheme val="minor"/>
      </rPr>
      <t xml:space="preserve"> </t>
    </r>
    <r>
      <rPr>
        <i/>
        <sz val="11"/>
        <color theme="4"/>
        <rFont val="Calibri"/>
        <family val="2"/>
        <scheme val="minor"/>
      </rPr>
      <t>Les totaux des unités et du coût ( cellules B11-D12) sont automatiquement calculés à partir des données de la feuille de calcul (Choix du modèle d'ECF A/B/C).</t>
    </r>
    <r>
      <rPr>
        <i/>
        <sz val="11"/>
        <color rgb="FFFF0000"/>
        <rFont val="Calibri"/>
        <family val="2"/>
        <scheme val="minor"/>
      </rPr>
      <t xml:space="preserve"> </t>
    </r>
  </si>
  <si>
    <r>
      <rPr>
        <i/>
        <sz val="11"/>
        <color rgb="FFFF0000"/>
        <rFont val="Calibri"/>
        <family val="2"/>
        <scheme val="minor"/>
      </rPr>
      <t>Remarque:</t>
    </r>
    <r>
      <rPr>
        <i/>
        <sz val="11"/>
        <color rgb="FFFF0000"/>
        <rFont val="Calibri"/>
        <family val="2"/>
        <scheme val="minor"/>
      </rPr>
      <t xml:space="preserve"> </t>
    </r>
    <r>
      <rPr>
        <i/>
        <u/>
        <sz val="11"/>
        <color rgb="FFFF0000"/>
        <rFont val="Calibri"/>
        <family val="2"/>
        <scheme val="minor"/>
      </rPr>
      <t>Le pays DOIT indiquer son option préférée ci-dessous uniquement après avoir saisi les trois choix de modèle d’ECF dans les feuilles de travail à onglets bleus (Choix du modèle d'ECF A/B/C)</t>
    </r>
    <r>
      <rPr>
        <i/>
        <u/>
        <sz val="11"/>
        <color rgb="FFFF0000"/>
        <rFont val="Calibri"/>
        <family val="2"/>
        <scheme val="minor"/>
      </rPr>
      <t xml:space="preserve"> </t>
    </r>
  </si>
  <si>
    <t>Section 1 : Comparaison de la rentabilité des choix du modèle d’ECF</t>
  </si>
  <si>
    <t xml:space="preserve">Option préférée par le Pays </t>
  </si>
  <si>
    <t>Total des unités WICR pour location à long terme</t>
  </si>
  <si>
    <t>Total des unités WICR pour location "relais" à court terme</t>
  </si>
  <si>
    <t>Total Frais de location*</t>
  </si>
  <si>
    <t>Budget total (tous les dispositifs)**</t>
  </si>
  <si>
    <t>Total des unités d’ECF à acheter (WICR+WIF+ILR+SDD)</t>
  </si>
  <si>
    <t>* Comprend les frais de passation de marchés de services d'approvisionnement</t>
  </si>
  <si>
    <t>**La ligne budgétaire totale représente le total des besoins budgétaires, y compris les coûts des équipements, le forfait, le fret international, les frais de location et les frais d'achat et de passation de marchés de l'UNICEF pour chaque option</t>
  </si>
  <si>
    <t>_3.Marcher dans le congélateur</t>
  </si>
  <si>
    <t>_4.Location à court terme pour chambres froides</t>
  </si>
  <si>
    <t>_5.Location de chambres froides de plain pied ou de chambres de congélation</t>
  </si>
  <si>
    <t>_6.Réfrigérateur ILR à gaine réfrigérante sur réseau_sans comp. congélateur</t>
  </si>
  <si>
    <t>_7.ILR sur réseau_avec comp. congélateur</t>
  </si>
  <si>
    <t>_8.Congélateurs sur réseau</t>
  </si>
  <si>
    <t>_9.Réfrigérateurs hors réseau SDD_sans comp. congélateur</t>
  </si>
  <si>
    <t>_10.Réfrigérateurs hors réseau SDD_avec comp. congélateur</t>
  </si>
  <si>
    <t>_11.Congélateur hors réseau SDD</t>
  </si>
  <si>
    <t>_13.Dispositifs de surveillance à distance de la température_RTMD</t>
  </si>
  <si>
    <t>Budget total de l'équipement (hors frais de location)</t>
  </si>
  <si>
    <t>Fret international par unité (Chambres froids- Categorie 1, 2,3)</t>
  </si>
  <si>
    <t>Fret international par unité (ILRs, SDDs- Categorie 6-11)</t>
  </si>
  <si>
    <t>Fret international Tarif forfaitaire  (Outil de suivi de la température- Categorie 12)</t>
  </si>
  <si>
    <t>Fret international par unité (Porte vaccins- Categorie 14, 15)</t>
  </si>
  <si>
    <t>Fret international par unité (Glacières- Categorie 16,17)</t>
  </si>
  <si>
    <t>Fret international par unité (Packs de glace- Categorie 19)</t>
  </si>
  <si>
    <t>Total indicatif des frais de fret international USD</t>
  </si>
  <si>
    <t>Budget total (y compris 6 % intermédiaires supplémentaires et fret international)</t>
  </si>
  <si>
    <t>Frais de service d'achat ( % du budget selon UNICEF: 5%) Inscrivez %</t>
  </si>
  <si>
    <t>Frais d'achat estimés USD</t>
  </si>
  <si>
    <t>Total Frais de location</t>
  </si>
  <si>
    <t>Coût de soutien au programme (% des coûts de location selon l'UNICEF: 8%) Inscrivez %</t>
  </si>
  <si>
    <t>Coût indicatif du soutien au programme USD</t>
  </si>
  <si>
    <t>Budget total (y compris 6 % intermédiaires supplémentaires, fret international, frais de location et frais d'achat ou de contrat de l'UNICEF) USD</t>
  </si>
  <si>
    <t>Fret international Tarif forfaitaire (RTMD- Categorie 13)</t>
  </si>
  <si>
    <t>Fret international Tarif forfaitaire (Regulateurs- Categorie 18)</t>
  </si>
  <si>
    <t xml:space="preserve">Pays </t>
  </si>
  <si>
    <t>Liens vers les feuilles de calcul dans ce dossier</t>
  </si>
  <si>
    <t>Résumé des options d'ECF</t>
  </si>
  <si>
    <t xml:space="preserve">Inserer le nom du pays </t>
  </si>
  <si>
    <r>
      <rPr>
        <sz val="11"/>
        <color theme="1"/>
        <rFont val="Calibri"/>
        <family val="2"/>
        <scheme val="minor"/>
      </rPr>
      <t>2.</t>
    </r>
    <r>
      <rPr>
        <sz val="11"/>
        <color theme="1"/>
        <rFont val="Calibri"/>
        <family val="2"/>
        <scheme val="minor"/>
      </rPr>
      <t xml:space="preserve"> </t>
    </r>
    <r>
      <rPr>
        <sz val="11"/>
        <color theme="1"/>
        <rFont val="Calibri"/>
        <family val="2"/>
        <scheme val="minor"/>
      </rPr>
      <t>La feuille de calcul « liste des prix des modèles d'ECF spécifiés" offre une vue d'ensemble de la budgétisation des prix par type d'équipements :</t>
    </r>
    <r>
      <rPr>
        <sz val="11"/>
        <color theme="1"/>
        <rFont val="Calibri"/>
        <family val="2"/>
        <scheme val="minor"/>
      </rPr>
      <t xml:space="preserve"> </t>
    </r>
    <r>
      <rPr>
        <b/>
        <sz val="11"/>
        <color theme="1"/>
        <rFont val="Calibri"/>
        <family val="2"/>
        <scheme val="minor"/>
      </rPr>
      <t>"Prix unitaire indicatif des équipements PQS" + "Estimation des services groupés"</t>
    </r>
    <r>
      <rPr>
        <sz val="11"/>
        <color theme="1"/>
        <rFont val="Calibri"/>
        <family val="2"/>
        <scheme val="minor"/>
      </rPr>
      <t xml:space="preserve"> </t>
    </r>
    <r>
      <rPr>
        <sz val="11"/>
        <color theme="1"/>
        <rFont val="Calibri"/>
        <family val="2"/>
        <scheme val="minor"/>
      </rPr>
      <t>Les candidats ne sont PAS tenus de remplir cette feuille.</t>
    </r>
  </si>
  <si>
    <r>
      <rPr>
        <sz val="11"/>
        <color theme="1"/>
        <rFont val="Calibri"/>
        <family val="2"/>
        <scheme val="minor"/>
      </rPr>
      <t xml:space="preserve">          </t>
    </r>
    <r>
      <rPr>
        <sz val="11"/>
        <color theme="1"/>
        <rFont val="Calibri"/>
        <family val="2"/>
        <scheme val="minor"/>
      </rPr>
      <t>a) À des fins de planification budgétaire, les estimations des ensembles de services sont :</t>
    </r>
    <r>
      <rPr>
        <sz val="11"/>
        <color theme="1"/>
        <rFont val="Calibri"/>
        <family val="2"/>
        <scheme val="minor"/>
      </rPr>
      <t xml:space="preserve"> 
                        </t>
    </r>
    <r>
      <rPr>
        <sz val="11"/>
        <color theme="1"/>
        <rFont val="Calibri"/>
        <family val="2"/>
        <scheme val="minor"/>
      </rPr>
      <t>Pour les</t>
    </r>
    <r>
      <rPr>
        <b/>
        <sz val="11"/>
        <color theme="1"/>
        <rFont val="Calibri"/>
        <family val="2"/>
        <scheme val="minor"/>
      </rPr>
      <t xml:space="preserve"> chambres froides de plain-pied</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11 000-15 000 USD (10 cbm); 16 500-23 000 USD (30cbm), 18 500-26 000 USD (40cbm)
                            </t>
    </r>
    <r>
      <rPr>
        <b/>
        <sz val="11"/>
        <color theme="1"/>
        <rFont val="Calibri"/>
        <family val="2"/>
        <scheme val="minor"/>
      </rPr>
      <t xml:space="preserve"> Chambres froides de plain pied et chambres de congélation à double entrée</t>
    </r>
    <r>
      <rPr>
        <sz val="11"/>
        <color theme="1"/>
        <rFont val="Calibri"/>
        <family val="2"/>
        <scheme val="minor"/>
      </rPr>
      <t xml:space="preserve"> </t>
    </r>
    <r>
      <rPr>
        <sz val="11"/>
        <color theme="1"/>
        <rFont val="Calibri"/>
        <family val="2"/>
        <scheme val="minor"/>
      </rPr>
      <t xml:space="preserve">26 000-38 000 USD (25 cbm WIC/15 cbm WIF) 
                               </t>
    </r>
    <r>
      <rPr>
        <b/>
        <sz val="11"/>
        <color theme="1"/>
        <rFont val="Calibri"/>
        <family val="2"/>
        <scheme val="minor"/>
      </rPr>
      <t>Équipement sur le réseau:</t>
    </r>
    <r>
      <rPr>
        <b/>
        <sz val="11"/>
        <color theme="1"/>
        <rFont val="Calibri"/>
        <family val="2"/>
        <scheme val="minor"/>
      </rPr>
      <t xml:space="preserve"> </t>
    </r>
    <r>
      <rPr>
        <sz val="11"/>
        <color theme="1"/>
        <rFont val="Calibri"/>
        <family val="2"/>
        <scheme val="minor"/>
      </rPr>
      <t xml:space="preserve">400-1 350 USD, 
										</t>
    </r>
    <r>
      <rPr>
        <b/>
        <sz val="11"/>
        <color theme="1"/>
        <rFont val="Calibri"/>
        <family val="2"/>
        <scheme val="minor"/>
      </rPr>
      <t>Equipements hors réseau:</t>
    </r>
    <r>
      <rPr>
        <b/>
        <sz val="11"/>
        <color theme="1"/>
        <rFont val="Calibri"/>
        <family val="2"/>
        <scheme val="minor"/>
      </rPr>
      <t xml:space="preserve"> </t>
    </r>
    <r>
      <rPr>
        <b/>
        <sz val="11"/>
        <color theme="1"/>
        <rFont val="Calibri"/>
        <family val="2"/>
        <scheme val="minor"/>
      </rPr>
      <t>650-2 150 USD (panneaux montés au sol), 1 300-4 000 USD (panneaux montés sur poteau) 
                               Dispositifs de surveillance à distance de la température</t>
    </r>
    <r>
      <rPr>
        <sz val="11"/>
        <color theme="1"/>
        <rFont val="Calibri"/>
        <family val="2"/>
        <scheme val="minor"/>
      </rPr>
      <t>:</t>
    </r>
    <r>
      <rPr>
        <b/>
        <sz val="11"/>
        <color theme="1"/>
        <rFont val="Calibri"/>
        <family val="2"/>
        <scheme val="minor"/>
      </rPr>
      <t xml:space="preserve"> </t>
    </r>
    <r>
      <rPr>
        <b/>
        <sz val="11"/>
        <color theme="1"/>
        <rFont val="Calibri"/>
        <family val="2"/>
        <scheme val="minor"/>
      </rPr>
      <t>200-400 USD</t>
    </r>
  </si>
  <si>
    <t xml:space="preserve">          b) À des fins de planification budgétaire, des frais de fret international indicatifs par unité ont été fournis, bien qu'ils puissent varier en fonction de la 
               destination livraison port maritime par rapport aux pays sans littoral.</t>
  </si>
  <si>
    <r>
      <rPr>
        <sz val="11"/>
        <color theme="1"/>
        <rFont val="Calibri"/>
        <family val="2"/>
        <scheme val="minor"/>
      </rPr>
      <t xml:space="preserve">          </t>
    </r>
    <r>
      <rPr>
        <sz val="11"/>
        <color theme="1"/>
        <rFont val="Calibri"/>
        <family val="2"/>
        <scheme val="minor"/>
      </rPr>
      <t xml:space="preserve">c) Les pays devraient planifier leurs budgets en fonction des </t>
    </r>
    <r>
      <rPr>
        <b/>
        <sz val="11"/>
        <color theme="1"/>
        <rFont val="Calibri"/>
        <family val="2"/>
        <scheme val="minor"/>
      </rPr>
      <t>estimations de la limite inférieure</t>
    </r>
    <r>
      <rPr>
        <sz val="11"/>
        <color theme="1"/>
        <rFont val="Calibri"/>
        <family val="2"/>
        <scheme val="minor"/>
      </rPr>
      <t xml:space="preserve"> des services groupés (par exemple 400 USD pour les équipements en réseau) pour les équipements de la chaîne du froid à installer dans les établissements de santé dont les coûts de transport dans le pays sont faibles (par exemple, temps de déplacement courts, infrastructure de haute qualité), des </t>
    </r>
    <r>
      <rPr>
        <b/>
        <sz val="11"/>
        <color theme="1"/>
        <rFont val="Calibri"/>
        <family val="2"/>
        <scheme val="minor"/>
      </rPr>
      <t>estimations de la limite supérieure</t>
    </r>
    <r>
      <rPr>
        <sz val="11"/>
        <color theme="1"/>
        <rFont val="Calibri"/>
        <family val="2"/>
        <scheme val="minor"/>
      </rPr>
      <t xml:space="preserve"> (par exemple, 2 150 USD pour les équipements hors réseau) pour les équipements de la chaîne du froid à installer dans les établissements de santé dont les coûts de transport dans le pays sont élevés (par exemple, temps de déplacement longs, infrastructure de basse qualité) et des </t>
    </r>
    <r>
      <rPr>
        <b/>
        <sz val="11"/>
        <color theme="1"/>
        <rFont val="Calibri"/>
        <family val="2"/>
        <scheme val="minor"/>
      </rPr>
      <t>estimations intermédiaires</t>
    </r>
    <r>
      <rPr>
        <sz val="11"/>
        <color theme="1"/>
        <rFont val="Calibri"/>
        <family val="2"/>
        <scheme val="minor"/>
      </rPr>
      <t>, le cas échéant.</t>
    </r>
    <r>
      <rPr>
        <sz val="11"/>
        <color theme="1"/>
        <rFont val="Calibri"/>
        <family val="2"/>
        <scheme val="minor"/>
      </rPr>
      <t xml:space="preserve"> </t>
    </r>
    <r>
      <rPr>
        <sz val="11"/>
        <color theme="1"/>
        <rFont val="Calibri"/>
        <family val="2"/>
        <scheme val="minor"/>
      </rPr>
      <t>Les petites quantités commandées peuvent nécessiter des budgets se rapprochant des limites supérieures.</t>
    </r>
  </si>
  <si>
    <t xml:space="preserve">       d) RTMD est obligatoire pour les CCE de niveau central / régional. Pour marcher dans des chambres froides et / ou des chambres de congélation, veuillez sélectionner un stabilisateur de tension approprié </t>
  </si>
  <si>
    <r>
      <rPr>
        <sz val="11"/>
        <color theme="1"/>
        <rFont val="Calibri"/>
        <family val="2"/>
        <scheme val="minor"/>
      </rPr>
      <t>3.</t>
    </r>
    <r>
      <rPr>
        <sz val="11"/>
        <color theme="1"/>
        <rFont val="Calibri"/>
        <family val="2"/>
        <scheme val="minor"/>
      </rPr>
      <t xml:space="preserve"> </t>
    </r>
    <r>
      <rPr>
        <sz val="11"/>
        <color theme="1"/>
        <rFont val="Calibri"/>
        <family val="2"/>
        <scheme val="minor"/>
      </rPr>
      <t>La feuille de calcul du "</t>
    </r>
    <r>
      <rPr>
        <b/>
        <sz val="11"/>
        <color theme="1"/>
        <rFont val="Calibri"/>
        <family val="2"/>
        <scheme val="minor"/>
      </rPr>
      <t>Choix du modèle d'ECF A/B/C</t>
    </r>
    <r>
      <rPr>
        <sz val="11"/>
        <color theme="1"/>
        <rFont val="Calibri"/>
        <family val="2"/>
        <scheme val="minor"/>
      </rPr>
      <t>" doit être utilisée pour dresser le budget de (du total des) ECF demandés.</t>
    </r>
    <r>
      <rPr>
        <sz val="11"/>
        <color theme="1"/>
        <rFont val="Calibri"/>
        <family val="2"/>
        <scheme val="minor"/>
      </rPr>
      <t xml:space="preserve"> </t>
    </r>
    <r>
      <rPr>
        <sz val="11"/>
        <color theme="1"/>
        <rFont val="Calibri"/>
        <family val="2"/>
        <scheme val="minor"/>
      </rPr>
      <t xml:space="preserve">Il est </t>
    </r>
    <r>
      <rPr>
        <b/>
        <sz val="11"/>
        <color theme="1"/>
        <rFont val="Calibri"/>
        <family val="2"/>
        <scheme val="minor"/>
      </rPr>
      <t>obligatoire de dresser les 3 options/budgets</t>
    </r>
    <r>
      <rPr>
        <sz val="11"/>
        <color theme="1"/>
        <rFont val="Calibri"/>
        <family val="2"/>
        <scheme val="minor"/>
      </rPr>
      <t xml:space="preserve"> et de</t>
    </r>
    <r>
      <rPr>
        <b/>
        <sz val="11"/>
        <color theme="1"/>
        <rFont val="Calibri"/>
        <family val="2"/>
        <scheme val="minor"/>
      </rPr>
      <t xml:space="preserve"> refléter 3 choix de marques différentes (sauf s'il n'y a pas trois marques disponibles, par exemple pour les glacières hors-gel)</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Pour chaque catégorie de produits et chaque taille d'équipement (si vous sélectionnez plusieurs options de différentes tailles de volume dans une catégorie de produits, par exemple un grand IRL et un petit ILR), le nombre d'unités doit être le même dans les trois fiches budgétaires.</t>
    </r>
    <r>
      <rPr>
        <sz val="11"/>
        <color theme="1"/>
        <rFont val="Calibri"/>
        <family val="2"/>
        <scheme val="minor"/>
      </rPr>
      <t xml:space="preserve"> </t>
    </r>
    <r>
      <rPr>
        <sz val="11"/>
        <color theme="1"/>
        <rFont val="Calibri"/>
        <family val="2"/>
        <scheme val="minor"/>
      </rPr>
      <t>Par exemple, si vous avez besoin de 100 unités d'IRL 120L, chaque option budgétaire doit refléter la même quantité pour les différentes marques.</t>
    </r>
  </si>
  <si>
    <r>
      <rPr>
        <sz val="11"/>
        <color theme="1"/>
        <rFont val="Calibri"/>
        <family val="2"/>
        <scheme val="minor"/>
      </rPr>
      <t>ACTION DU PAYS -&gt; Dans cette feuille, les pays doivent:</t>
    </r>
  </si>
  <si>
    <r>
      <rPr>
        <i/>
        <sz val="11"/>
        <color theme="1"/>
        <rFont val="Calibri"/>
        <family val="2"/>
        <scheme val="minor"/>
      </rPr>
      <t xml:space="preserve">            </t>
    </r>
    <r>
      <rPr>
        <i/>
        <sz val="11"/>
        <color theme="1"/>
        <rFont val="Calibri"/>
        <family val="2"/>
        <scheme val="minor"/>
      </rPr>
      <t>a) Sélectionner le "</t>
    </r>
    <r>
      <rPr>
        <b/>
        <i/>
        <sz val="11"/>
        <color theme="1"/>
        <rFont val="Calibri"/>
        <family val="2"/>
        <scheme val="minor"/>
      </rPr>
      <t>modèle</t>
    </r>
    <r>
      <rPr>
        <i/>
        <sz val="11"/>
        <color theme="1"/>
        <rFont val="Calibri"/>
        <family val="2"/>
        <scheme val="minor"/>
      </rPr>
      <t>" parmi la liste des types d'équipements.</t>
    </r>
    <r>
      <rPr>
        <i/>
        <sz val="11"/>
        <color rgb="FF000000"/>
        <rFont val="Calibri"/>
        <family val="2"/>
        <scheme val="minor"/>
      </rPr>
      <t xml:space="preserve"> </t>
    </r>
  </si>
  <si>
    <r>
      <rPr>
        <i/>
        <sz val="11"/>
        <color theme="1"/>
        <rFont val="Calibri"/>
        <family val="2"/>
        <scheme val="minor"/>
      </rPr>
      <t xml:space="preserve">            </t>
    </r>
    <r>
      <rPr>
        <i/>
        <sz val="11"/>
        <color theme="1"/>
        <rFont val="Calibri"/>
        <family val="2"/>
        <scheme val="minor"/>
      </rPr>
      <t>b) Renseigner le "</t>
    </r>
    <r>
      <rPr>
        <b/>
        <i/>
        <sz val="11"/>
        <color theme="1"/>
        <rFont val="Calibri"/>
        <family val="2"/>
        <scheme val="minor"/>
      </rPr>
      <t>Coût indicatif des services groupés</t>
    </r>
    <r>
      <rPr>
        <i/>
        <sz val="11"/>
        <color theme="1"/>
        <rFont val="Calibri"/>
        <family val="2"/>
        <scheme val="minor"/>
      </rPr>
      <t>" ainsi que le "</t>
    </r>
    <r>
      <rPr>
        <b/>
        <i/>
        <sz val="11"/>
        <color theme="1"/>
        <rFont val="Calibri"/>
        <family val="2"/>
        <scheme val="minor"/>
      </rPr>
      <t>Nombre d'équipement</t>
    </r>
    <r>
      <rPr>
        <i/>
        <sz val="11"/>
        <color theme="1"/>
        <rFont val="Calibri"/>
        <family val="2"/>
        <scheme val="minor"/>
      </rPr>
      <t>s" demandés</t>
    </r>
    <r>
      <rPr>
        <i/>
        <sz val="11"/>
        <color rgb="FF000000"/>
        <rFont val="Calibri"/>
        <family val="2"/>
        <scheme val="minor"/>
      </rPr>
      <t xml:space="preserve"> </t>
    </r>
  </si>
  <si>
    <r>
      <rPr>
        <sz val="11"/>
        <color theme="1"/>
        <rFont val="Calibri"/>
        <family val="2"/>
        <scheme val="minor"/>
      </rPr>
      <t>Les indications "</t>
    </r>
    <r>
      <rPr>
        <b/>
        <sz val="11"/>
        <color theme="1"/>
        <rFont val="Calibri"/>
        <family val="2"/>
        <scheme val="minor"/>
      </rPr>
      <t>marque</t>
    </r>
    <r>
      <rPr>
        <sz val="11"/>
        <color theme="1"/>
        <rFont val="Calibri"/>
        <family val="2"/>
        <scheme val="minor"/>
      </rPr>
      <t>", "</t>
    </r>
    <r>
      <rPr>
        <b/>
        <sz val="11"/>
        <color theme="1"/>
        <rFont val="Calibri"/>
        <family val="2"/>
        <scheme val="minor"/>
      </rPr>
      <t>capacité en matière de stockage des vaccins</t>
    </r>
    <r>
      <rPr>
        <sz val="11"/>
        <color theme="1"/>
        <rFont val="Calibri"/>
        <family val="2"/>
        <scheme val="minor"/>
      </rPr>
      <t>",  "</t>
    </r>
    <r>
      <rPr>
        <b/>
        <sz val="11"/>
        <color theme="1"/>
        <rFont val="Calibri"/>
        <family val="2"/>
        <scheme val="minor"/>
      </rPr>
      <t>capacité brute de congélation</t>
    </r>
    <r>
      <rPr>
        <sz val="11"/>
        <color theme="1"/>
        <rFont val="Calibri"/>
        <family val="2"/>
        <scheme val="minor"/>
      </rPr>
      <t>" et "</t>
    </r>
    <r>
      <rPr>
        <b/>
        <sz val="11"/>
        <color theme="1"/>
        <rFont val="Calibri"/>
        <family val="2"/>
        <scheme val="minor"/>
      </rPr>
      <t>prix unitaire indicatif du PQS</t>
    </r>
    <r>
      <rPr>
        <sz val="11"/>
        <color theme="1"/>
        <rFont val="Calibri"/>
        <family val="2"/>
        <scheme val="minor"/>
      </rPr>
      <t>" seront automatiquement remplis à partir de la feuille de calcul des "liste des prix des modèles d'ECF".</t>
    </r>
    <r>
      <rPr>
        <sz val="11"/>
        <color theme="1"/>
        <rFont val="Calibri"/>
        <family val="2"/>
        <scheme val="minor"/>
      </rPr>
      <t xml:space="preserve">  </t>
    </r>
  </si>
  <si>
    <r>
      <rPr>
        <sz val="11"/>
        <color theme="1"/>
        <rFont val="Calibri"/>
        <family val="2"/>
        <scheme val="minor"/>
      </rPr>
      <t xml:space="preserve">- Les pays doivent </t>
    </r>
    <r>
      <rPr>
        <b/>
        <sz val="11"/>
        <color theme="1"/>
        <rFont val="Calibri"/>
        <family val="2"/>
        <scheme val="minor"/>
      </rPr>
      <t>demander spécifiquement 30 DTR ou RTMD et/ou régulateurs de tension</t>
    </r>
    <r>
      <rPr>
        <sz val="11"/>
        <color theme="1"/>
        <rFont val="Calibri"/>
        <family val="2"/>
        <scheme val="minor"/>
      </rPr>
      <t xml:space="preserve"> dans les rubriques du modèle s'ils sont </t>
    </r>
    <r>
      <rPr>
        <b/>
        <sz val="11"/>
        <color theme="1"/>
        <rFont val="Calibri"/>
        <family val="2"/>
        <scheme val="minor"/>
      </rPr>
      <t>achetés pour des équipements existants (dans le pays)</t>
    </r>
    <r>
      <rPr>
        <sz val="11"/>
        <color theme="1"/>
        <rFont val="Calibri"/>
        <family val="2"/>
        <scheme val="minor"/>
      </rPr>
      <t xml:space="preserve"> ou (le cas échéant) uniquement </t>
    </r>
    <r>
      <rPr>
        <b/>
        <sz val="11"/>
        <color theme="1"/>
        <rFont val="Calibri"/>
        <family val="2"/>
        <scheme val="minor"/>
      </rPr>
      <t>pour les unités où ils prévoient de stocker des vaccins contre la Covid.</t>
    </r>
    <r>
      <rPr>
        <b/>
        <sz val="11"/>
        <color rgb="FF000000"/>
        <rFont val="Calibri"/>
        <family val="2"/>
        <scheme val="minor"/>
      </rPr>
      <t xml:space="preserve"> </t>
    </r>
  </si>
  <si>
    <r>
      <rPr>
        <sz val="11"/>
        <color rgb="FF000000"/>
        <rFont val="Calibri"/>
        <family val="2"/>
        <scheme val="minor"/>
      </rPr>
      <t xml:space="preserve">- Le mécanisme de financement soutiendra l'achat de </t>
    </r>
    <r>
      <rPr>
        <b/>
        <sz val="11"/>
        <color rgb="FF000000"/>
        <rFont val="Calibri"/>
        <family val="2"/>
        <scheme val="minor"/>
      </rPr>
      <t>pièces de rechange pour les ECF nouvellement achetés.</t>
    </r>
    <r>
      <rPr>
        <sz val="11"/>
        <color rgb="FF000000"/>
        <rFont val="Calibri"/>
        <family val="2"/>
        <scheme val="minor"/>
      </rPr>
      <t xml:space="preserve"> </t>
    </r>
    <r>
      <rPr>
        <sz val="11"/>
        <color rgb="FF000000"/>
        <rFont val="Calibri"/>
        <family val="2"/>
        <scheme val="minor"/>
      </rPr>
      <t>Les prix des pièces de rechange figurent sur le catalogue d'approvisionnement de l'UNICEF</t>
    </r>
  </si>
  <si>
    <t>Voir le lien vers le catalogue de l'UNICEF pour le prix des pièces de rechange</t>
  </si>
  <si>
    <r>
      <rPr>
        <sz val="11"/>
        <color theme="1"/>
        <rFont val="Calibri"/>
        <family val="2"/>
        <scheme val="minor"/>
      </rPr>
      <t xml:space="preserve">- Un </t>
    </r>
    <r>
      <rPr>
        <b/>
        <sz val="11"/>
        <color theme="1"/>
        <rFont val="Calibri"/>
        <family val="2"/>
        <scheme val="minor"/>
      </rPr>
      <t>forfait de 6% additionnel sur le coût total des équipements</t>
    </r>
    <r>
      <rPr>
        <sz val="11"/>
        <color theme="1"/>
        <rFont val="Calibri"/>
        <family val="2"/>
        <scheme val="minor"/>
      </rPr>
      <t xml:space="preserve"> a été intégré dans le </t>
    </r>
    <r>
      <rPr>
        <b/>
        <sz val="11"/>
        <color theme="1"/>
        <rFont val="Calibri"/>
        <family val="2"/>
        <scheme val="minor"/>
      </rPr>
      <t>budget</t>
    </r>
    <r>
      <rPr>
        <sz val="11"/>
        <color theme="1"/>
        <rFont val="Calibri"/>
        <family val="2"/>
        <scheme val="minor"/>
      </rPr>
      <t>.</t>
    </r>
    <r>
      <rPr>
        <sz val="11"/>
        <color theme="1"/>
        <rFont val="Calibri"/>
        <family val="2"/>
        <scheme val="minor"/>
      </rPr>
      <t xml:space="preserve"> </t>
    </r>
    <r>
      <rPr>
        <sz val="11"/>
        <color theme="1"/>
        <rFont val="Calibri"/>
        <family val="2"/>
        <scheme val="minor"/>
      </rPr>
      <t>Ceci couvrira les variations monétaires, les surestaries et les coûts associés.</t>
    </r>
  </si>
  <si>
    <r>
      <rPr>
        <sz val="11"/>
        <color theme="1"/>
        <rFont val="Calibri"/>
        <family val="2"/>
        <scheme val="minor"/>
      </rPr>
      <t xml:space="preserve">- Une </t>
    </r>
    <r>
      <rPr>
        <b/>
        <sz val="11"/>
        <color theme="1"/>
        <rFont val="Calibri"/>
        <family val="2"/>
        <scheme val="minor"/>
      </rPr>
      <t>commission d'achat de 5%</t>
    </r>
    <r>
      <rPr>
        <sz val="11"/>
        <color theme="1"/>
        <rFont val="Calibri"/>
        <family val="2"/>
        <scheme val="minor"/>
      </rPr>
      <t xml:space="preserve"> sera prélevée sur le budget de l'équipement pour couvrir les frais administratifs de l'UNICEF.</t>
    </r>
    <r>
      <rPr>
        <sz val="11"/>
        <color theme="1"/>
        <rFont val="Calibri"/>
        <family val="2"/>
        <scheme val="minor"/>
      </rPr>
      <t xml:space="preserve"> </t>
    </r>
    <r>
      <rPr>
        <sz val="11"/>
        <color theme="1"/>
        <rFont val="Calibri"/>
        <family val="2"/>
        <scheme val="minor"/>
      </rPr>
      <t>Pour les pays qui choisissent la location de chambres froides de plain-pied, un coût de soutien au programme de 8 % sera prélevé sur le budget total de la location.</t>
    </r>
  </si>
  <si>
    <r>
      <rPr>
        <sz val="11"/>
        <color theme="1"/>
        <rFont val="Calibri"/>
        <family val="2"/>
        <scheme val="minor"/>
      </rPr>
      <t>4.</t>
    </r>
    <r>
      <rPr>
        <sz val="11"/>
        <color theme="1"/>
        <rFont val="Calibri"/>
        <family val="2"/>
        <scheme val="minor"/>
      </rPr>
      <t xml:space="preserve"> </t>
    </r>
    <r>
      <rPr>
        <sz val="11"/>
        <color theme="1"/>
        <rFont val="Calibri"/>
        <family val="2"/>
        <scheme val="minor"/>
      </rPr>
      <t>La feuille de calcul "</t>
    </r>
    <r>
      <rPr>
        <b/>
        <sz val="11"/>
        <color theme="1"/>
        <rFont val="Calibri"/>
        <family val="2"/>
        <scheme val="minor"/>
      </rPr>
      <t>Résumé des options d’ECF</t>
    </r>
    <r>
      <rPr>
        <sz val="11"/>
        <color theme="1"/>
        <rFont val="Calibri"/>
        <family val="2"/>
        <scheme val="minor"/>
      </rPr>
      <t>" doit être utilisée pour comparer les budgets totaux des différentes options du modèle d’ECF sélectionné</t>
    </r>
    <r>
      <rPr>
        <sz val="11"/>
        <color theme="1"/>
        <rFont val="Calibri"/>
        <family val="2"/>
        <scheme val="minor"/>
      </rPr>
      <t xml:space="preserve"> </t>
    </r>
  </si>
  <si>
    <r>
      <rPr>
        <sz val="11"/>
        <color theme="1"/>
        <rFont val="Calibri"/>
        <family val="2"/>
        <scheme val="minor"/>
      </rPr>
      <t>Dans cette feuille, la section 1 est remplie automatiquement sur la base des données du pays mentionnées dans la feuille de calcul "</t>
    </r>
    <r>
      <rPr>
        <b/>
        <sz val="11"/>
        <color theme="1"/>
        <rFont val="Calibri"/>
        <family val="2"/>
        <scheme val="minor"/>
      </rPr>
      <t>Choix du modèle d'ECF A/B/C</t>
    </r>
    <r>
      <rPr>
        <sz val="11"/>
        <color theme="1"/>
        <rFont val="Calibri"/>
        <family val="2"/>
        <scheme val="minor"/>
      </rPr>
      <t>".</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</si>
  <si>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 xml:space="preserve">- Le </t>
    </r>
    <r>
      <rPr>
        <b/>
        <sz val="11"/>
        <color theme="1"/>
        <rFont val="Calibri"/>
        <family val="2"/>
        <scheme val="minor"/>
      </rPr>
      <t xml:space="preserve">nombre total d'unités d’ECF à acheter (WICR+ILR+SDD) </t>
    </r>
    <r>
      <rPr>
        <sz val="11"/>
        <color theme="1"/>
        <rFont val="Calibri"/>
        <family val="2"/>
        <scheme val="minor"/>
      </rPr>
      <t>correspond au nombre total d'unités WICR, WIFR, ILR et SDD qui sont achetées dans le cadre des options A, B et C</t>
    </r>
  </si>
  <si>
    <r>
      <rPr>
        <sz val="11"/>
        <color theme="1"/>
        <rFont val="Calibri"/>
        <family val="2"/>
        <scheme val="minor"/>
      </rPr>
      <t xml:space="preserve">- Le </t>
    </r>
    <r>
      <rPr>
        <b/>
        <sz val="11"/>
        <color theme="1"/>
        <rFont val="Calibri"/>
        <family val="2"/>
        <scheme val="minor"/>
      </rPr>
      <t>nombre total de WICR/FR à louer</t>
    </r>
    <r>
      <rPr>
        <sz val="11"/>
        <color theme="1"/>
        <rFont val="Calibri"/>
        <family val="2"/>
        <scheme val="minor"/>
      </rPr>
      <t xml:space="preserve"> correspond au nombre total d'unités WICR proposées pour location à long et à court terme</t>
    </r>
  </si>
  <si>
    <r>
      <rPr>
        <sz val="11"/>
        <color theme="1"/>
        <rFont val="Calibri"/>
        <family val="2"/>
        <scheme val="minor"/>
      </rPr>
      <t xml:space="preserve">- Les </t>
    </r>
    <r>
      <rPr>
        <b/>
        <sz val="11"/>
        <color theme="1"/>
        <rFont val="Calibri"/>
        <family val="2"/>
        <scheme val="minor"/>
      </rPr>
      <t>coûts totaux de location</t>
    </r>
    <r>
      <rPr>
        <sz val="11"/>
        <color theme="1"/>
        <rFont val="Calibri"/>
        <family val="2"/>
        <scheme val="minor"/>
      </rPr>
      <t xml:space="preserve"> correspondent aux coûts totaux de location (y compris les frais de passation de marchés)</t>
    </r>
  </si>
  <si>
    <r>
      <rPr>
        <sz val="11"/>
        <color theme="1"/>
        <rFont val="Calibri"/>
        <family val="2"/>
        <scheme val="minor"/>
      </rPr>
      <t xml:space="preserve"> </t>
    </r>
    <r>
      <rPr>
        <sz val="11"/>
        <color theme="1"/>
        <rFont val="Calibri"/>
        <family val="2"/>
        <scheme val="minor"/>
      </rPr>
      <t xml:space="preserve">- Le </t>
    </r>
    <r>
      <rPr>
        <b/>
        <sz val="11"/>
        <color theme="1"/>
        <rFont val="Calibri"/>
        <family val="2"/>
        <scheme val="minor"/>
      </rPr>
      <t>budget total (Tous les dispositifs)</t>
    </r>
    <r>
      <rPr>
        <sz val="11"/>
        <color theme="1"/>
        <rFont val="Calibri"/>
        <family val="2"/>
        <scheme val="minor"/>
      </rPr>
      <t xml:space="preserve"> correspond au coût total de l'achat d’ECF pour tous les achats de dispositifs (y compris le forfait de 6 %, les frais de transport, les frais de location et les frais d'achat de l'UNICEF) pour chaque option et met en évidence l'option la plus rentable sur une base moyenne en USD/ECF.</t>
    </r>
  </si>
  <si>
    <r>
      <rPr>
        <i/>
        <sz val="11"/>
        <color theme="1"/>
        <rFont val="Calibri"/>
        <family val="2"/>
        <scheme val="minor"/>
      </rPr>
      <t xml:space="preserve">            </t>
    </r>
    <r>
      <rPr>
        <i/>
        <sz val="11"/>
        <color theme="1"/>
        <rFont val="Calibri"/>
        <family val="2"/>
        <scheme val="minor"/>
      </rPr>
      <t xml:space="preserve">a) </t>
    </r>
    <r>
      <rPr>
        <b/>
        <i/>
        <sz val="11"/>
        <color theme="1"/>
        <rFont val="Calibri"/>
        <family val="2"/>
        <scheme val="minor"/>
      </rPr>
      <t>Finaliser</t>
    </r>
    <r>
      <rPr>
        <i/>
        <sz val="11"/>
        <color theme="1"/>
        <rFont val="Calibri"/>
        <family val="2"/>
        <scheme val="minor"/>
      </rPr>
      <t xml:space="preserve"> l'option du modèle d’ECF (cellule E11)</t>
    </r>
  </si>
  <si>
    <r>
      <rPr>
        <i/>
        <sz val="11"/>
        <color theme="1"/>
        <rFont val="Calibri"/>
        <family val="2"/>
        <scheme val="minor"/>
      </rPr>
      <t xml:space="preserve">            </t>
    </r>
    <r>
      <rPr>
        <i/>
        <sz val="11"/>
        <color theme="1"/>
        <rFont val="Calibri"/>
        <family val="2"/>
        <scheme val="minor"/>
      </rPr>
      <t xml:space="preserve">b) </t>
    </r>
    <r>
      <rPr>
        <b/>
        <i/>
        <sz val="11"/>
        <color theme="1"/>
        <rFont val="Calibri"/>
        <family val="2"/>
        <scheme val="minor"/>
      </rPr>
      <t>Expliquer</t>
    </r>
    <r>
      <rPr>
        <i/>
        <sz val="11"/>
        <color theme="1"/>
        <rFont val="Calibri"/>
        <family val="2"/>
        <scheme val="minor"/>
      </rPr>
      <t xml:space="preserve"> les raisons du choix final de l'option du modèle d’ECF (cellule A18)</t>
    </r>
  </si>
  <si>
    <t>Demande de soutien aux équipements de la chaîne du froid pour le CDS</t>
  </si>
  <si>
    <r>
      <t xml:space="preserve">1. Ce modèle doit être rempli par TOUS les pays qui sollicitent le soutien aux équipements de la chaîne du froid pour le CDS. </t>
    </r>
    <r>
      <rPr>
        <b/>
        <sz val="11"/>
        <color rgb="FF000000"/>
        <rFont val="Calibri"/>
        <family val="2"/>
        <scheme val="minor"/>
      </rPr>
      <t>Les 3 feuilles de choix du modèle d'ECF doivent être remplies pour que la demande soit prise en considération.</t>
    </r>
  </si>
  <si>
    <t>Modèle spécifié d'ECF</t>
  </si>
  <si>
    <t xml:space="preserve">Prix et modèle des ECF </t>
  </si>
  <si>
    <t>Foster 10 cbm (unité de refroidissement mono)</t>
  </si>
  <si>
    <t>Haier 10 cbm (unité de refroidissement mono)</t>
  </si>
  <si>
    <t>Porkka 10 cbm (unité de refroidissement mono)</t>
  </si>
  <si>
    <t>Viessmann 10 cbm (unité de refroidissement mono)</t>
  </si>
  <si>
    <t>Zhendre 10 cbm (unité de refroidissement mono)</t>
  </si>
  <si>
    <t>Foster 30 cbm (unité de refroidissement mono)</t>
  </si>
  <si>
    <t>Haier 30 cbm (unité de refroidissement mono)</t>
  </si>
  <si>
    <t>Haier 30 cbm (unité de refroidissement partagée)</t>
  </si>
  <si>
    <t>Porkka 30 cbm (unité de refroidissement mono)</t>
  </si>
  <si>
    <t>Porkka 30 cbm (unité de refroidissement partagée)</t>
  </si>
  <si>
    <t>Viessmann 30 cbm (Mono unité de refroidissement)</t>
  </si>
  <si>
    <t>Viessmann 30 cbm (unité de refroidissement partagée)</t>
  </si>
  <si>
    <t>Zhendre 30 cbm (Mono unité de refroidissement)</t>
  </si>
  <si>
    <t>Zhendre 30 cbm (unité de refroidissement partagée)</t>
  </si>
  <si>
    <t>Foster 40 cbm (unité de refroidissement mono)</t>
  </si>
  <si>
    <t>Haier 40 cbm (unité de refroidissement mono)</t>
  </si>
  <si>
    <t>Haier 40 cbm (unité de refroidissement partagée)</t>
  </si>
  <si>
    <t>Porkka 40 cbm (unité de refroidissement mono)</t>
  </si>
  <si>
    <t>Porkka 40 cbm (unité de refroidissement partagée)</t>
  </si>
  <si>
    <t>Viessmann 40 cbm (Mono unité de refroidissement)</t>
  </si>
  <si>
    <t>Viessmann 40 cbm (unité de refroidissement partagée)</t>
  </si>
  <si>
    <t>Zhendre 40 cbm (unité de refroidissement mono)</t>
  </si>
  <si>
    <t>Zhendre 40 cbm (unité de refroidissement partagée)</t>
  </si>
  <si>
    <t>Haier 40cbm (unité de refroidissement mono)</t>
  </si>
  <si>
    <t>Haier 40cbm (unité de refroidissement partagée)</t>
  </si>
  <si>
    <t>Porkka 40cbm (unité de refroidissement mono)</t>
  </si>
  <si>
    <t>Porkka 40cbm (unité de refroidissement partagée)</t>
  </si>
  <si>
    <t>Viessmann 40cbm (unité de refroidissement mono)</t>
  </si>
  <si>
    <t>Viessmann 40cbm (unité de refroidissement partagée)</t>
  </si>
  <si>
    <t>Zhendre 40cbm (unité de refroidissement mono)</t>
  </si>
  <si>
    <t>Zhendre 40cbm (unité de refroidissement partagée)</t>
  </si>
  <si>
    <t>Icepack 0.6L - jeu de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</si>
</sst>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_(&quot;$&quot;* #,##0.00_);_(&quot;$&quot;* \(#,##0.00\);_(&quot;$&quot;* &quot;-&quot;??_);_(@_)"/>
    <numFmt numFmtId="165" formatCode="#,##0.0"/>
    <numFmt numFmtId="166" formatCode="0.0%"/>
    <numFmt numFmtId="167" formatCode="&quot;$&quot;#,##0"/>
    <numFmt numFmtId="168" formatCode="#,##0.0;\-#,##0.0"/>
    <numFmt numFmtId="169" formatCode="[$$-2C09]#,##0"/>
    <numFmt numFmtId="170" formatCode="&quot;$&quot;#,##0.00"/>
  </numFmts>
  <fonts count="33"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b/>
      <sz val="22"/>
      <color theme="1"/>
      <name val="Calibri"/>
      <family val="2"/>
      <scheme val="minor"/>
    </font>
    <font>
      <i/>
      <sz val="11"/>
      <color theme="4"/>
      <name val="Calibri"/>
      <family val="2"/>
      <scheme val="minor"/>
    </font>
    <font>
      <i/>
      <sz val="11"/>
      <color theme="1"/>
      <name val="Calibri"/>
      <family val="2"/>
      <scheme val="minor"/>
    </font>
    <font>
      <b/>
      <i/>
      <sz val="16"/>
      <color rgb="FFC00000"/>
      <name val="Calibri"/>
      <family val="2"/>
      <scheme val="minor"/>
    </font>
    <font>
      <i/>
      <sz val="11"/>
      <name val="Calibri"/>
      <family val="2"/>
      <scheme val="minor"/>
    </font>
    <font>
      <b/>
      <u/>
      <sz val="14"/>
      <color theme="8" tint="-0.499984740745262"/>
      <name val="Calibri"/>
      <family val="2"/>
      <scheme val="minor"/>
    </font>
    <font>
      <i/>
      <sz val="11"/>
      <color rgb="FFFF0000"/>
      <name val="Calibri"/>
      <family val="2"/>
      <scheme val="minor"/>
    </font>
    <font>
      <i/>
      <u/>
      <sz val="11"/>
      <color rgb="FFFF0000"/>
      <name val="Calibri"/>
      <family val="2"/>
      <scheme val="minor"/>
    </font>
    <font>
      <b/>
      <i/>
      <sz val="11"/>
      <color theme="1"/>
      <name val="Calibri"/>
      <family val="2"/>
      <scheme val="minor"/>
    </font>
    <font>
      <i/>
      <sz val="11"/>
      <color rgb="FFC00000"/>
      <name val="Calibri"/>
      <family val="2"/>
      <scheme val="minor"/>
    </font>
    <font>
      <b/>
      <sz val="18"/>
      <color theme="5"/>
      <name val="Calibri"/>
      <family val="2"/>
      <scheme val="minor"/>
    </font>
    <font>
      <i/>
      <sz val="11"/>
      <color theme="0"/>
      <name val="Calibri"/>
      <family val="2"/>
      <scheme val="minor"/>
    </font>
    <font>
      <sz val="8"/>
      <name val="Calibri"/>
      <family val="2"/>
      <scheme val="minor"/>
    </font>
    <font>
      <b/>
      <sz val="16"/>
      <color rgb="FFC00000"/>
      <name val="Calibri"/>
      <family val="2"/>
      <scheme val="minor"/>
    </font>
    <font>
      <b/>
      <sz val="11"/>
      <color rgb="FFC00000"/>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s>
  <fills count="32">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CCFF"/>
        <bgColor indexed="64"/>
      </patternFill>
    </fill>
    <fill>
      <patternFill patternType="solid">
        <fgColor theme="3" tint="0.39997558519241921"/>
        <bgColor indexed="64"/>
      </patternFill>
    </fill>
    <fill>
      <patternFill patternType="solid">
        <fgColor rgb="FF7030A0"/>
        <bgColor indexed="64"/>
      </patternFill>
    </fill>
    <fill>
      <patternFill patternType="solid">
        <fgColor rgb="FFFFFF0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rgb="FFB4C6E7"/>
        <bgColor indexed="64"/>
      </patternFill>
    </fill>
  </fills>
  <borders count="85">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right/>
      <top style="thick">
        <color theme="8" tint="-0.499984740745262"/>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style="thick">
        <color theme="8" tint="-0.499984740745262"/>
      </left>
      <right/>
      <top style="thick">
        <color theme="8" tint="-0.499984740745262"/>
      </top>
      <bottom/>
      <diagonal/>
    </border>
    <border>
      <left/>
      <right style="thick">
        <color theme="8" tint="-0.499984740745262"/>
      </right>
      <top style="thick">
        <color theme="8" tint="-0.499984740745262"/>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bottom style="thin">
        <color auto="1"/>
      </bottom>
      <diagonal/>
    </border>
    <border>
      <left style="thick">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n">
        <color auto="1"/>
      </right>
      <top style="medium">
        <color indexed="64"/>
      </top>
      <bottom style="medium">
        <color indexed="64"/>
      </bottom>
      <diagonal/>
    </border>
    <border>
      <left style="thin">
        <color auto="1"/>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style="thin">
        <color auto="1"/>
      </left>
      <right style="thin">
        <color auto="1"/>
      </right>
      <top/>
      <bottom/>
      <diagonal/>
    </border>
    <border>
      <left style="thin">
        <color auto="1"/>
      </left>
      <right style="medium">
        <color indexed="64"/>
      </right>
      <top/>
      <bottom style="thin">
        <color auto="1"/>
      </bottom>
      <diagonal/>
    </border>
    <border>
      <left/>
      <right style="thin">
        <color auto="1"/>
      </right>
      <top/>
      <bottom/>
      <diagonal/>
    </border>
    <border>
      <left style="medium">
        <color indexed="64"/>
      </left>
      <right style="thin">
        <color auto="1"/>
      </right>
      <top/>
      <bottom style="thin">
        <color auto="1"/>
      </bottom>
      <diagonal/>
    </border>
    <border>
      <left/>
      <right style="thin">
        <color auto="1"/>
      </right>
      <top style="thick">
        <color theme="8" tint="-0.499984740745262"/>
      </top>
      <bottom/>
      <diagonal/>
    </border>
    <border>
      <left/>
      <right style="thin">
        <color auto="1"/>
      </right>
      <top/>
      <bottom style="thin">
        <color auto="1"/>
      </bottom>
      <diagonal/>
    </border>
  </borders>
  <cellStyleXfs count="6">
    <xf numFmtId="0" fontId="0" fillId="0" borderId="0"/>
    <xf numFmtId="0" fontId="8" fillId="0" borderId="0" applyNumberFormat="0" applyFill="0" applyBorder="0" applyAlignment="0" applyProtection="0"/>
    <xf numFmtId="9" fontId="10" fillId="0" borderId="0" applyFont="0" applyFill="0" applyBorder="0" applyAlignment="0" applyProtection="0"/>
    <xf numFmtId="0" fontId="14" fillId="0" borderId="0"/>
    <xf numFmtId="164" fontId="10" fillId="0" borderId="0" applyFont="0" applyFill="0" applyBorder="0" applyAlignment="0" applyProtection="0"/>
    <xf numFmtId="44" fontId="10" fillId="0" borderId="0" applyFont="0" applyFill="0" applyBorder="0" applyAlignment="0" applyProtection="0"/>
  </cellStyleXfs>
  <cellXfs count="378">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5" borderId="8" xfId="0" applyFont="1" applyFill="1" applyBorder="1" applyAlignment="1">
      <alignment horizontal="center" vertical="center" wrapText="1"/>
    </xf>
    <xf numFmtId="0" fontId="0" fillId="0" borderId="0" xfId="0" applyFont="1" applyAlignment="1">
      <alignment vertical="center"/>
    </xf>
    <xf numFmtId="0" fontId="1" fillId="15" borderId="15" xfId="0" applyFont="1" applyFill="1" applyBorder="1" applyAlignment="1">
      <alignment horizontal="center" vertical="center" wrapText="1"/>
    </xf>
    <xf numFmtId="0" fontId="0" fillId="0" borderId="0" xfId="0" applyAlignment="1">
      <alignment vertical="center" wrapText="1"/>
    </xf>
    <xf numFmtId="0" fontId="1" fillId="15" borderId="14"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0" fillId="0" borderId="0" xfId="0" applyFont="1" applyBorder="1" applyAlignment="1">
      <alignment vertical="center"/>
    </xf>
    <xf numFmtId="0" fontId="0" fillId="0" borderId="17" xfId="0" applyBorder="1" applyAlignment="1">
      <alignment vertical="top"/>
    </xf>
    <xf numFmtId="0" fontId="0" fillId="0" borderId="17" xfId="0" applyBorder="1" applyAlignment="1">
      <alignment vertical="top" wrapText="1"/>
    </xf>
    <xf numFmtId="0" fontId="0" fillId="5" borderId="9" xfId="0" applyFill="1" applyBorder="1" applyAlignment="1">
      <alignment vertical="center" wrapText="1"/>
    </xf>
    <xf numFmtId="0" fontId="4" fillId="16" borderId="9" xfId="0" applyFont="1" applyFill="1" applyBorder="1" applyAlignment="1">
      <alignment vertical="center" wrapText="1"/>
    </xf>
    <xf numFmtId="0" fontId="0" fillId="2" borderId="9" xfId="0" applyFill="1" applyBorder="1" applyAlignment="1">
      <alignment vertical="center" wrapText="1"/>
    </xf>
    <xf numFmtId="0" fontId="4" fillId="8" borderId="9" xfId="0" applyFont="1" applyFill="1" applyBorder="1" applyAlignment="1">
      <alignment vertical="center" wrapText="1"/>
    </xf>
    <xf numFmtId="0" fontId="4" fillId="4" borderId="9" xfId="0" applyFont="1" applyFill="1" applyBorder="1" applyAlignment="1">
      <alignment vertical="center" wrapText="1"/>
    </xf>
    <xf numFmtId="0" fontId="0" fillId="9" borderId="9" xfId="0" applyFill="1" applyBorder="1" applyAlignment="1">
      <alignment vertical="center" wrapText="1"/>
    </xf>
    <xf numFmtId="0" fontId="0" fillId="7" borderId="9" xfId="0" applyFill="1" applyBorder="1" applyAlignment="1">
      <alignment vertical="center" wrapText="1"/>
    </xf>
    <xf numFmtId="0" fontId="0" fillId="10" borderId="9" xfId="0" applyFill="1" applyBorder="1" applyAlignment="1">
      <alignment vertical="center" wrapText="1"/>
    </xf>
    <xf numFmtId="0" fontId="0" fillId="11" borderId="9" xfId="0" applyFill="1" applyBorder="1" applyAlignment="1">
      <alignment vertical="center"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wrapText="1"/>
    </xf>
    <xf numFmtId="0" fontId="0" fillId="0" borderId="0" xfId="0" applyFont="1" applyAlignment="1">
      <alignment vertical="center" wrapText="1"/>
    </xf>
    <xf numFmtId="0" fontId="7" fillId="0" borderId="2" xfId="0" applyFont="1" applyBorder="1" applyAlignment="1">
      <alignment horizontal="left" vertical="top" wrapText="1"/>
    </xf>
    <xf numFmtId="0" fontId="7" fillId="0" borderId="1" xfId="0" applyFont="1" applyBorder="1" applyAlignment="1">
      <alignment vertical="top"/>
    </xf>
    <xf numFmtId="0" fontId="0" fillId="0" borderId="9" xfId="0" applyFont="1" applyBorder="1" applyAlignment="1">
      <alignment horizontal="left" vertical="center" wrapText="1"/>
    </xf>
    <xf numFmtId="37" fontId="1" fillId="15" borderId="15" xfId="0" applyNumberFormat="1" applyFont="1" applyFill="1" applyBorder="1" applyAlignment="1">
      <alignment horizontal="center" vertical="center" wrapText="1"/>
    </xf>
    <xf numFmtId="37" fontId="1" fillId="15" borderId="14" xfId="0" applyNumberFormat="1" applyFont="1" applyFill="1" applyBorder="1" applyAlignment="1">
      <alignment horizontal="center" vertical="center" wrapText="1"/>
    </xf>
    <xf numFmtId="37" fontId="0" fillId="0" borderId="9" xfId="0" applyNumberFormat="1" applyFont="1" applyBorder="1" applyAlignment="1">
      <alignment vertical="center" wrapText="1"/>
    </xf>
    <xf numFmtId="37" fontId="0" fillId="0" borderId="0" xfId="0" applyNumberFormat="1"/>
    <xf numFmtId="165" fontId="0" fillId="0" borderId="9" xfId="0" applyNumberFormat="1" applyBorder="1" applyAlignment="1">
      <alignment horizontal="right" vertical="center"/>
    </xf>
    <xf numFmtId="165" fontId="0" fillId="12" borderId="9" xfId="0" applyNumberFormat="1" applyFill="1" applyBorder="1" applyAlignment="1">
      <alignment horizontal="right" vertical="center"/>
    </xf>
    <xf numFmtId="0" fontId="7"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3" fillId="5" borderId="9" xfId="0" applyFont="1" applyFill="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1" fillId="16" borderId="9" xfId="0" applyFont="1" applyFill="1" applyBorder="1" applyAlignment="1" applyProtection="1">
      <alignment vertical="center" wrapText="1"/>
      <protection locked="0"/>
    </xf>
    <xf numFmtId="0" fontId="3" fillId="13" borderId="9"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1" fillId="4" borderId="9"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3" fillId="9" borderId="9" xfId="0" applyFont="1" applyFill="1" applyBorder="1" applyAlignment="1" applyProtection="1">
      <alignment vertical="center" wrapText="1"/>
      <protection locked="0"/>
    </xf>
    <xf numFmtId="0" fontId="3" fillId="10" borderId="9" xfId="0" applyFont="1" applyFill="1" applyBorder="1" applyAlignment="1" applyProtection="1">
      <alignment vertical="center" wrapText="1"/>
      <protection locked="0"/>
    </xf>
    <xf numFmtId="0" fontId="3" fillId="11" borderId="9" xfId="0" applyFont="1" applyFill="1" applyBorder="1" applyAlignment="1" applyProtection="1">
      <alignment vertical="center" wrapText="1"/>
      <protection locked="0"/>
    </xf>
    <xf numFmtId="0" fontId="6" fillId="14" borderId="9" xfId="0" applyFont="1" applyFill="1" applyBorder="1" applyAlignment="1" applyProtection="1">
      <alignment vertical="center" wrapText="1"/>
      <protection locked="0"/>
    </xf>
    <xf numFmtId="37" fontId="0" fillId="0" borderId="9" xfId="0" applyNumberFormat="1" applyFont="1" applyBorder="1" applyAlignment="1" applyProtection="1">
      <alignment vertical="center" wrapText="1"/>
      <protection locked="0"/>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Alignment="1" applyProtection="1">
      <alignment vertical="center" wrapText="1"/>
      <protection locked="0"/>
    </xf>
    <xf numFmtId="37" fontId="0" fillId="0" borderId="0" xfId="0" applyNumberFormat="1" applyProtection="1">
      <protection locked="0"/>
    </xf>
    <xf numFmtId="0" fontId="0" fillId="0" borderId="0" xfId="0" applyProtection="1">
      <protection locked="0"/>
    </xf>
    <xf numFmtId="0" fontId="0" fillId="0" borderId="6" xfId="0" applyBorder="1" applyAlignment="1">
      <alignment wrapText="1"/>
    </xf>
    <xf numFmtId="0" fontId="12" fillId="0" borderId="0" xfId="0" applyFont="1"/>
    <xf numFmtId="0" fontId="11" fillId="0" borderId="4" xfId="0" applyFont="1" applyBorder="1" applyAlignment="1" applyProtection="1">
      <alignment horizontal="left" vertical="top"/>
      <protection locked="0"/>
    </xf>
    <xf numFmtId="0" fontId="12" fillId="0" borderId="6" xfId="0" applyFont="1" applyBorder="1"/>
    <xf numFmtId="0" fontId="12" fillId="0" borderId="0" xfId="0" applyFont="1" applyAlignment="1">
      <alignment vertical="top"/>
    </xf>
    <xf numFmtId="0" fontId="13" fillId="0" borderId="12" xfId="0" applyFont="1" applyBorder="1" applyAlignment="1"/>
    <xf numFmtId="0" fontId="13" fillId="0" borderId="13" xfId="0" applyFont="1" applyBorder="1" applyAlignment="1"/>
    <xf numFmtId="0" fontId="0" fillId="0" borderId="0" xfId="0" applyFont="1" applyProtection="1">
      <protection locked="0"/>
    </xf>
    <xf numFmtId="0" fontId="0" fillId="0" borderId="0" xfId="0" applyFont="1"/>
    <xf numFmtId="0" fontId="13" fillId="0" borderId="16" xfId="0" applyFont="1" applyBorder="1" applyAlignment="1"/>
    <xf numFmtId="0" fontId="0" fillId="0" borderId="0" xfId="0" applyFont="1" applyBorder="1" applyAlignment="1">
      <alignment vertical="center" wrapText="1"/>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26" xfId="0" applyNumberFormat="1" applyFont="1" applyBorder="1" applyAlignment="1" applyProtection="1">
      <alignment vertical="center" wrapText="1"/>
      <protection locked="0"/>
    </xf>
    <xf numFmtId="37" fontId="0" fillId="0" borderId="27" xfId="0" applyNumberFormat="1" applyFont="1" applyBorder="1" applyAlignment="1">
      <alignment vertical="center" wrapText="1"/>
    </xf>
    <xf numFmtId="37" fontId="1" fillId="15" borderId="8" xfId="0" applyNumberFormat="1" applyFont="1" applyFill="1" applyBorder="1" applyAlignment="1">
      <alignment horizontal="center" vertical="center" wrapText="1"/>
    </xf>
    <xf numFmtId="37" fontId="1" fillId="15" borderId="29" xfId="0" applyNumberFormat="1" applyFont="1" applyFill="1" applyBorder="1" applyAlignment="1">
      <alignment horizontal="center" vertical="center" wrapText="1"/>
    </xf>
    <xf numFmtId="37" fontId="1" fillId="15" borderId="30" xfId="0" applyNumberFormat="1" applyFont="1" applyFill="1" applyBorder="1" applyAlignment="1">
      <alignment horizontal="center" vertical="center" wrapText="1"/>
    </xf>
    <xf numFmtId="37" fontId="1" fillId="15" borderId="31" xfId="0" applyNumberFormat="1" applyFont="1" applyFill="1" applyBorder="1" applyAlignment="1">
      <alignment horizontal="center" vertical="center" wrapText="1"/>
    </xf>
    <xf numFmtId="37" fontId="5" fillId="15" borderId="14" xfId="0" applyNumberFormat="1" applyFont="1" applyFill="1" applyBorder="1" applyAlignment="1">
      <alignment horizontal="center" vertical="center" wrapText="1"/>
    </xf>
    <xf numFmtId="37" fontId="1" fillId="15" borderId="32" xfId="0" applyNumberFormat="1" applyFont="1" applyFill="1" applyBorder="1" applyAlignment="1">
      <alignment horizontal="center" vertical="center" wrapText="1"/>
    </xf>
    <xf numFmtId="37" fontId="5" fillId="15" borderId="33" xfId="0" applyNumberFormat="1" applyFont="1" applyFill="1" applyBorder="1" applyAlignment="1">
      <alignment horizontal="center" vertical="center" wrapText="1"/>
    </xf>
    <xf numFmtId="37" fontId="1" fillId="15" borderId="28" xfId="0" applyNumberFormat="1" applyFont="1" applyFill="1" applyBorder="1" applyAlignment="1">
      <alignment horizontal="center" vertical="center" wrapText="1"/>
    </xf>
    <xf numFmtId="0" fontId="0" fillId="6" borderId="9" xfId="0" applyFill="1" applyBorder="1" applyAlignment="1">
      <alignment vertical="center" wrapText="1"/>
    </xf>
    <xf numFmtId="0" fontId="0" fillId="0" borderId="9" xfId="0" applyFill="1" applyBorder="1" applyAlignment="1">
      <alignment horizontal="right" vertical="center" wrapText="1"/>
    </xf>
    <xf numFmtId="0" fontId="0" fillId="14" borderId="9" xfId="0" applyFill="1" applyBorder="1" applyAlignment="1">
      <alignment vertical="center" wrapText="1"/>
    </xf>
    <xf numFmtId="37" fontId="0" fillId="0" borderId="9" xfId="0" applyNumberFormat="1" applyBorder="1" applyAlignment="1">
      <alignment horizontal="center" vertical="center"/>
    </xf>
    <xf numFmtId="0" fontId="15" fillId="0" borderId="0" xfId="0" applyFont="1"/>
    <xf numFmtId="0" fontId="4" fillId="20" borderId="34" xfId="0" applyFont="1" applyFill="1" applyBorder="1"/>
    <xf numFmtId="0" fontId="4" fillId="20" borderId="35" xfId="0" applyFont="1" applyFill="1" applyBorder="1" applyAlignment="1">
      <alignment horizontal="center" vertical="center"/>
    </xf>
    <xf numFmtId="0" fontId="4"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4" fillId="20" borderId="46" xfId="0" applyFont="1" applyFill="1" applyBorder="1" applyAlignment="1">
      <alignment horizontal="center" vertical="center"/>
    </xf>
    <xf numFmtId="0" fontId="11" fillId="0" borderId="41" xfId="0" applyFont="1" applyBorder="1" applyAlignment="1" applyProtection="1">
      <alignment horizontal="left" vertical="top" wrapText="1"/>
      <protection locked="0"/>
    </xf>
    <xf numFmtId="0" fontId="11" fillId="0" borderId="50" xfId="0" applyFont="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6" fillId="0" borderId="41" xfId="0" applyFont="1" applyBorder="1" applyAlignment="1">
      <alignment horizontal="lef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0" fillId="0" borderId="43" xfId="0" applyBorder="1"/>
    <xf numFmtId="0" fontId="0" fillId="0" borderId="44" xfId="0" applyBorder="1"/>
    <xf numFmtId="0" fontId="0" fillId="0" borderId="45" xfId="0" applyBorder="1"/>
    <xf numFmtId="0" fontId="11" fillId="0" borderId="41" xfId="0" applyFont="1" applyBorder="1" applyAlignment="1" applyProtection="1">
      <alignment horizontal="left" vertical="top"/>
      <protection locked="0"/>
    </xf>
    <xf numFmtId="0" fontId="8" fillId="0" borderId="41" xfId="1" quotePrefix="1" applyBorder="1" applyAlignment="1" applyProtection="1">
      <alignment horizontal="left" vertical="top"/>
      <protection locked="0"/>
    </xf>
    <xf numFmtId="0" fontId="20" fillId="0" borderId="41" xfId="0" applyFont="1" applyBorder="1" applyAlignment="1" applyProtection="1">
      <alignment horizontal="left" vertical="top"/>
      <protection locked="0"/>
    </xf>
    <xf numFmtId="37" fontId="0" fillId="0" borderId="10" xfId="0" applyNumberFormat="1" applyFont="1" applyBorder="1" applyAlignment="1">
      <alignment horizontal="right" vertical="center" wrapText="1"/>
    </xf>
    <xf numFmtId="0" fontId="4" fillId="20" borderId="35" xfId="0" applyFont="1" applyFill="1" applyBorder="1" applyAlignment="1">
      <alignment horizontal="center" vertical="center" wrapText="1"/>
    </xf>
    <xf numFmtId="0" fontId="6" fillId="5" borderId="47" xfId="0" applyFont="1" applyFill="1" applyBorder="1" applyAlignment="1">
      <alignment horizontal="center" vertical="center"/>
    </xf>
    <xf numFmtId="0" fontId="6" fillId="14" borderId="10" xfId="0" applyFont="1" applyFill="1" applyBorder="1" applyAlignment="1" applyProtection="1">
      <alignment vertical="center" wrapText="1"/>
      <protection locked="0"/>
    </xf>
    <xf numFmtId="0" fontId="0" fillId="23" borderId="9" xfId="0" applyFill="1" applyBorder="1" applyAlignment="1">
      <alignment vertical="center" wrapText="1"/>
    </xf>
    <xf numFmtId="0" fontId="0" fillId="24" borderId="9" xfId="0" applyFill="1" applyBorder="1" applyAlignment="1">
      <alignment vertical="center" wrapText="1"/>
    </xf>
    <xf numFmtId="0" fontId="0" fillId="25" borderId="9" xfId="0" applyFill="1" applyBorder="1" applyAlignment="1">
      <alignment vertical="center" wrapText="1"/>
    </xf>
    <xf numFmtId="0" fontId="0" fillId="26" borderId="9" xfId="0" applyFill="1" applyBorder="1" applyAlignment="1">
      <alignment vertical="center" wrapText="1"/>
    </xf>
    <xf numFmtId="0" fontId="4" fillId="19" borderId="9" xfId="0" applyFont="1" applyFill="1" applyBorder="1" applyAlignment="1">
      <alignment vertical="center" wrapText="1"/>
    </xf>
    <xf numFmtId="0" fontId="4" fillId="27" borderId="9" xfId="0" applyFont="1" applyFill="1" applyBorder="1" applyAlignment="1">
      <alignment vertical="center" wrapText="1"/>
    </xf>
    <xf numFmtId="0" fontId="8" fillId="0" borderId="42" xfId="1" applyBorder="1" applyAlignment="1">
      <alignment horizontal="left" vertical="top" wrapText="1"/>
    </xf>
    <xf numFmtId="37" fontId="0" fillId="0" borderId="9" xfId="0" applyNumberFormat="1" applyFont="1" applyBorder="1" applyAlignment="1" applyProtection="1">
      <alignment vertical="center" wrapText="1"/>
      <protection hidden="1"/>
    </xf>
    <xf numFmtId="0" fontId="1" fillId="15" borderId="29" xfId="0" applyFont="1" applyFill="1" applyBorder="1" applyAlignment="1">
      <alignment horizontal="center" vertical="center" wrapText="1"/>
    </xf>
    <xf numFmtId="3" fontId="0" fillId="0" borderId="10" xfId="0" applyNumberFormat="1" applyBorder="1" applyAlignment="1">
      <alignment vertical="center"/>
    </xf>
    <xf numFmtId="165" fontId="0" fillId="0" borderId="10" xfId="0" applyNumberFormat="1" applyBorder="1" applyAlignment="1">
      <alignment horizontal="right" vertical="center"/>
    </xf>
    <xf numFmtId="0" fontId="1" fillId="15" borderId="22" xfId="0" applyFont="1" applyFill="1" applyBorder="1" applyAlignment="1">
      <alignment horizontal="center" vertical="center" wrapText="1"/>
    </xf>
    <xf numFmtId="3" fontId="0" fillId="0" borderId="25" xfId="0" applyNumberFormat="1" applyBorder="1" applyAlignment="1">
      <alignment vertical="center"/>
    </xf>
    <xf numFmtId="3" fontId="0" fillId="0" borderId="36" xfId="0" applyNumberFormat="1" applyBorder="1" applyAlignment="1">
      <alignment vertical="center"/>
    </xf>
    <xf numFmtId="3" fontId="0" fillId="0" borderId="66" xfId="0" applyNumberFormat="1" applyBorder="1" applyAlignment="1">
      <alignment vertical="center"/>
    </xf>
    <xf numFmtId="3" fontId="0" fillId="0" borderId="36" xfId="0" applyNumberFormat="1" applyFont="1" applyBorder="1" applyAlignment="1">
      <alignment vertical="center"/>
    </xf>
    <xf numFmtId="165" fontId="0" fillId="0" borderId="25" xfId="0" applyNumberFormat="1" applyBorder="1" applyAlignment="1">
      <alignment horizontal="right" vertical="center"/>
    </xf>
    <xf numFmtId="0" fontId="1" fillId="15" borderId="71" xfId="0" applyFont="1" applyFill="1" applyBorder="1" applyAlignment="1">
      <alignment horizontal="center" vertical="center" wrapText="1"/>
    </xf>
    <xf numFmtId="0" fontId="24" fillId="0" borderId="0" xfId="0" applyFont="1" applyFill="1" applyBorder="1"/>
    <xf numFmtId="0" fontId="6" fillId="0" borderId="8" xfId="0" applyFont="1" applyFill="1" applyBorder="1" applyAlignment="1">
      <alignment horizontal="center" vertical="center" wrapText="1"/>
    </xf>
    <xf numFmtId="0" fontId="9" fillId="0" borderId="0" xfId="0" applyFont="1" applyFill="1" applyAlignment="1" applyProtection="1">
      <alignment vertical="center" wrapText="1"/>
      <protection locked="0"/>
    </xf>
    <xf numFmtId="0" fontId="9" fillId="0" borderId="0" xfId="0" applyFont="1" applyFill="1" applyAlignment="1">
      <alignment vertical="center" wrapText="1"/>
    </xf>
    <xf numFmtId="0" fontId="6" fillId="0" borderId="0" xfId="0" applyFont="1" applyFill="1" applyAlignment="1">
      <alignment horizontal="left" vertical="center"/>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3" fontId="9" fillId="0" borderId="29" xfId="0" applyNumberFormat="1" applyFont="1" applyFill="1" applyBorder="1" applyAlignment="1">
      <alignment horizontal="right" vertical="center" wrapText="1"/>
    </xf>
    <xf numFmtId="0" fontId="9" fillId="0" borderId="0" xfId="0" applyFont="1" applyFill="1" applyAlignment="1">
      <alignment horizontal="left" vertical="center"/>
    </xf>
    <xf numFmtId="0" fontId="9" fillId="0" borderId="9" xfId="0" applyFont="1" applyFill="1" applyBorder="1" applyAlignment="1">
      <alignment horizontal="right" vertical="center" wrapText="1"/>
    </xf>
    <xf numFmtId="0" fontId="0" fillId="0" borderId="36" xfId="0" applyBorder="1" applyAlignment="1">
      <alignment vertical="center" wrapText="1"/>
    </xf>
    <xf numFmtId="3" fontId="7" fillId="0" borderId="2" xfId="0" applyNumberFormat="1" applyFont="1" applyBorder="1" applyAlignment="1" applyProtection="1">
      <alignment horizontal="left" vertical="top" wrapText="1"/>
      <protection locked="0"/>
    </xf>
    <xf numFmtId="3" fontId="9" fillId="0" borderId="36" xfId="0" applyNumberFormat="1" applyFont="1" applyFill="1" applyBorder="1" applyAlignment="1">
      <alignment horizontal="center" vertical="center" wrapText="1"/>
    </xf>
    <xf numFmtId="3" fontId="9" fillId="0" borderId="66" xfId="0" applyNumberFormat="1" applyFont="1" applyFill="1" applyBorder="1" applyAlignment="1">
      <alignment horizontal="center" vertical="center" wrapText="1"/>
    </xf>
    <xf numFmtId="168" fontId="0" fillId="0" borderId="9" xfId="0" applyNumberFormat="1" applyFont="1" applyBorder="1" applyAlignment="1">
      <alignment vertical="center" wrapText="1"/>
    </xf>
    <xf numFmtId="0" fontId="4" fillId="0" borderId="0" xfId="0" applyFont="1" applyAlignment="1" applyProtection="1">
      <alignment vertical="center" wrapText="1"/>
      <protection hidden="1"/>
    </xf>
    <xf numFmtId="0" fontId="0" fillId="0" borderId="42" xfId="0" quotePrefix="1" applyBorder="1"/>
    <xf numFmtId="37" fontId="0" fillId="30" borderId="8" xfId="0" applyNumberFormat="1" applyFill="1" applyBorder="1" applyAlignment="1">
      <alignment horizontal="center" vertical="center"/>
    </xf>
    <xf numFmtId="0" fontId="17" fillId="30" borderId="70" xfId="0" applyFont="1" applyFill="1" applyBorder="1" applyAlignment="1">
      <alignment vertical="center" wrapText="1"/>
    </xf>
    <xf numFmtId="0" fontId="24" fillId="0" borderId="0" xfId="0" applyFont="1"/>
    <xf numFmtId="167" fontId="0" fillId="0" borderId="75" xfId="0" applyNumberFormat="1" applyBorder="1" applyAlignment="1">
      <alignment horizontal="center" vertical="center"/>
    </xf>
    <xf numFmtId="169" fontId="0" fillId="30" borderId="9" xfId="0" applyNumberFormat="1" applyFill="1" applyBorder="1" applyAlignment="1">
      <alignment horizontal="center" vertical="center"/>
    </xf>
    <xf numFmtId="0" fontId="1" fillId="15" borderId="76" xfId="0" applyFont="1" applyFill="1" applyBorder="1" applyAlignment="1">
      <alignment horizontal="center" vertical="center" wrapText="1"/>
    </xf>
    <xf numFmtId="0" fontId="1" fillId="15" borderId="77" xfId="0" applyFont="1" applyFill="1" applyBorder="1" applyAlignment="1">
      <alignment horizontal="center" vertical="center" wrapText="1"/>
    </xf>
    <xf numFmtId="3" fontId="9" fillId="0" borderId="78" xfId="0" applyNumberFormat="1" applyFont="1" applyFill="1" applyBorder="1" applyAlignment="1">
      <alignment horizontal="center" vertical="center" wrapText="1"/>
    </xf>
    <xf numFmtId="3" fontId="0" fillId="0" borderId="36" xfId="0" applyNumberFormat="1" applyBorder="1" applyAlignment="1">
      <alignment horizontal="center" vertical="center"/>
    </xf>
    <xf numFmtId="3" fontId="0" fillId="0" borderId="66" xfId="0" applyNumberFormat="1" applyBorder="1" applyAlignment="1">
      <alignment horizontal="center" vertical="center"/>
    </xf>
    <xf numFmtId="0" fontId="9" fillId="0" borderId="0" xfId="0" applyFont="1" applyFill="1" applyAlignment="1" applyProtection="1">
      <alignment vertical="center"/>
      <protection locked="0"/>
    </xf>
    <xf numFmtId="37" fontId="0" fillId="8" borderId="9" xfId="0" applyNumberFormat="1" applyFont="1" applyFill="1" applyBorder="1" applyAlignment="1" applyProtection="1">
      <alignment vertical="center" wrapText="1"/>
      <protection locked="0"/>
    </xf>
    <xf numFmtId="0" fontId="0" fillId="0" borderId="41" xfId="0" applyBorder="1"/>
    <xf numFmtId="0" fontId="0" fillId="0" borderId="42" xfId="0" applyBorder="1"/>
    <xf numFmtId="0" fontId="25" fillId="0" borderId="0" xfId="0" quotePrefix="1" applyFont="1" applyAlignment="1" applyProtection="1">
      <alignment vertical="center"/>
      <protection locked="0"/>
    </xf>
    <xf numFmtId="0" fontId="0" fillId="0" borderId="0" xfId="0" applyBorder="1" applyAlignment="1">
      <alignment vertical="center" wrapText="1"/>
    </xf>
    <xf numFmtId="0" fontId="16" fillId="0" borderId="0" xfId="0" applyFont="1" applyAlignment="1">
      <alignment horizontal="left" vertical="center" wrapText="1"/>
    </xf>
    <xf numFmtId="0" fontId="0" fillId="0" borderId="20" xfId="0" applyFont="1" applyBorder="1" applyAlignment="1">
      <alignment vertical="center"/>
    </xf>
    <xf numFmtId="0" fontId="0" fillId="31" borderId="9" xfId="0" applyFill="1" applyBorder="1" applyAlignment="1">
      <alignment vertical="center" wrapText="1"/>
    </xf>
    <xf numFmtId="0" fontId="9" fillId="0" borderId="0" xfId="0" applyFont="1" applyFill="1" applyAlignment="1">
      <alignment vertical="center"/>
    </xf>
    <xf numFmtId="0" fontId="0" fillId="0" borderId="0" xfId="0" applyBorder="1" applyAlignment="1">
      <alignment vertical="center" wrapText="1"/>
    </xf>
    <xf numFmtId="0" fontId="0" fillId="29" borderId="9" xfId="0" applyFill="1" applyBorder="1" applyAlignment="1">
      <alignment vertical="center" wrapText="1"/>
    </xf>
    <xf numFmtId="0" fontId="0" fillId="0" borderId="0" xfId="0" applyBorder="1" applyAlignment="1">
      <alignment vertical="center" wrapText="1"/>
    </xf>
    <xf numFmtId="37" fontId="0" fillId="0" borderId="9" xfId="0" applyNumberFormat="1" applyFont="1" applyBorder="1" applyAlignment="1" applyProtection="1">
      <alignment vertical="center" wrapText="1"/>
      <protection locked="0" hidden="1"/>
    </xf>
    <xf numFmtId="167" fontId="0" fillId="0" borderId="0" xfId="0" applyNumberFormat="1" applyFont="1" applyBorder="1" applyAlignment="1">
      <alignment horizontal="right" vertical="center" wrapText="1"/>
    </xf>
    <xf numFmtId="167" fontId="9" fillId="0" borderId="0" xfId="4" applyNumberFormat="1" applyFont="1" applyFill="1" applyBorder="1" applyAlignment="1" applyProtection="1">
      <alignment vertical="center" wrapText="1"/>
      <protection locked="0"/>
    </xf>
    <xf numFmtId="170" fontId="9" fillId="0" borderId="0" xfId="4" applyNumberFormat="1" applyFont="1" applyFill="1" applyBorder="1" applyAlignment="1" applyProtection="1">
      <alignment vertical="center" wrapText="1"/>
      <protection locked="0"/>
    </xf>
    <xf numFmtId="167" fontId="0" fillId="0" borderId="0" xfId="0" applyNumberFormat="1" applyBorder="1" applyAlignment="1">
      <alignment vertical="center"/>
    </xf>
    <xf numFmtId="166" fontId="9" fillId="0" borderId="0" xfId="2" applyNumberFormat="1" applyFont="1" applyFill="1" applyBorder="1" applyAlignment="1" applyProtection="1">
      <alignment vertical="center" wrapText="1"/>
      <protection locked="0"/>
    </xf>
    <xf numFmtId="167" fontId="9" fillId="0" borderId="0" xfId="4" applyNumberFormat="1" applyFont="1" applyFill="1" applyBorder="1" applyAlignment="1" applyProtection="1">
      <alignment horizontal="right" vertical="center" wrapText="1"/>
      <protection locked="0"/>
    </xf>
    <xf numFmtId="0" fontId="0" fillId="0" borderId="0" xfId="0" applyFill="1" applyAlignment="1">
      <alignment horizontal="left" vertical="center"/>
    </xf>
    <xf numFmtId="0" fontId="0" fillId="0" borderId="0" xfId="0" applyFill="1" applyAlignment="1">
      <alignment vertical="center"/>
    </xf>
    <xf numFmtId="0" fontId="0" fillId="0" borderId="9" xfId="0" applyBorder="1"/>
    <xf numFmtId="0" fontId="0" fillId="0" borderId="9" xfId="0" applyBorder="1" applyAlignment="1">
      <alignment vertical="top" wrapText="1"/>
    </xf>
    <xf numFmtId="0" fontId="4" fillId="20" borderId="9" xfId="0" applyFont="1" applyFill="1" applyBorder="1" applyAlignment="1">
      <alignment vertical="top" wrapText="1"/>
    </xf>
    <xf numFmtId="0" fontId="28" fillId="0" borderId="0" xfId="0" applyFont="1"/>
    <xf numFmtId="0" fontId="3" fillId="0" borderId="9" xfId="0" applyFont="1" applyFill="1" applyBorder="1" applyAlignment="1" applyProtection="1">
      <alignment vertical="center" wrapText="1"/>
      <protection locked="0"/>
    </xf>
    <xf numFmtId="0" fontId="1" fillId="4" borderId="15" xfId="0" applyFont="1" applyFill="1" applyBorder="1" applyAlignment="1">
      <alignment horizontal="center" vertical="center" wrapText="1"/>
    </xf>
    <xf numFmtId="37" fontId="1" fillId="4" borderId="8" xfId="0" applyNumberFormat="1" applyFont="1" applyFill="1" applyBorder="1" applyAlignment="1">
      <alignment horizontal="center" vertical="center" wrapText="1"/>
    </xf>
    <xf numFmtId="37" fontId="1" fillId="4" borderId="29" xfId="0" applyNumberFormat="1" applyFont="1" applyFill="1" applyBorder="1" applyAlignment="1">
      <alignment horizontal="center" vertical="center" wrapText="1"/>
    </xf>
    <xf numFmtId="0" fontId="1" fillId="4" borderId="14" xfId="0" applyFont="1" applyFill="1" applyBorder="1" applyAlignment="1">
      <alignment horizontal="center" vertical="center" wrapText="1"/>
    </xf>
    <xf numFmtId="37" fontId="1" fillId="4" borderId="14" xfId="0" applyNumberFormat="1" applyFont="1" applyFill="1" applyBorder="1" applyAlignment="1">
      <alignment horizontal="center" vertical="center" wrapText="1"/>
    </xf>
    <xf numFmtId="37" fontId="1" fillId="4" borderId="32" xfId="0" applyNumberFormat="1" applyFont="1" applyFill="1" applyBorder="1" applyAlignment="1">
      <alignment horizontal="center" vertical="center" wrapText="1"/>
    </xf>
    <xf numFmtId="0" fontId="1" fillId="19" borderId="79" xfId="0" applyFont="1" applyFill="1" applyBorder="1" applyAlignment="1">
      <alignment horizontal="center" vertical="center" wrapText="1"/>
    </xf>
    <xf numFmtId="37" fontId="1" fillId="19" borderId="79" xfId="0" applyNumberFormat="1" applyFont="1" applyFill="1" applyBorder="1" applyAlignment="1">
      <alignment horizontal="center" vertical="center" wrapText="1"/>
    </xf>
    <xf numFmtId="37" fontId="1" fillId="19" borderId="58" xfId="0" applyNumberFormat="1" applyFont="1" applyFill="1" applyBorder="1" applyAlignment="1">
      <alignment horizontal="center" vertical="center" wrapText="1"/>
    </xf>
    <xf numFmtId="0" fontId="1" fillId="19" borderId="81" xfId="0" applyFont="1" applyFill="1" applyBorder="1" applyAlignment="1">
      <alignment horizontal="center" vertical="center" wrapText="1"/>
    </xf>
    <xf numFmtId="0" fontId="29" fillId="19" borderId="81" xfId="0" applyFont="1" applyFill="1" applyBorder="1" applyAlignment="1">
      <alignment horizontal="center" vertical="center" wrapText="1"/>
    </xf>
    <xf numFmtId="37" fontId="1" fillId="15" borderId="80" xfId="0" applyNumberFormat="1" applyFont="1" applyFill="1" applyBorder="1" applyAlignment="1">
      <alignment horizontal="center" vertical="center" wrapText="1"/>
    </xf>
    <xf numFmtId="37" fontId="0" fillId="0" borderId="36" xfId="0" applyNumberFormat="1" applyFont="1" applyBorder="1" applyAlignment="1" applyProtection="1">
      <alignment vertical="center" wrapText="1"/>
      <protection locked="0"/>
    </xf>
    <xf numFmtId="37" fontId="1" fillId="19" borderId="32" xfId="0" applyNumberFormat="1" applyFont="1" applyFill="1" applyBorder="1" applyAlignment="1">
      <alignment horizontal="center" vertical="center" wrapText="1"/>
    </xf>
    <xf numFmtId="0" fontId="1" fillId="4" borderId="83" xfId="0" applyFont="1" applyFill="1" applyBorder="1" applyAlignment="1">
      <alignment horizontal="center" vertical="center" wrapText="1"/>
    </xf>
    <xf numFmtId="0" fontId="5" fillId="4" borderId="84" xfId="0" applyFont="1" applyFill="1" applyBorder="1" applyAlignment="1">
      <alignment horizontal="center" vertical="center" wrapText="1"/>
    </xf>
    <xf numFmtId="37" fontId="1" fillId="19" borderId="38" xfId="0" applyNumberFormat="1" applyFont="1" applyFill="1" applyBorder="1" applyAlignment="1">
      <alignment horizontal="center" vertical="center" wrapText="1"/>
    </xf>
    <xf numFmtId="37" fontId="1" fillId="19" borderId="77" xfId="0" applyNumberFormat="1" applyFont="1" applyFill="1" applyBorder="1" applyAlignment="1">
      <alignment horizontal="center" vertical="center" wrapText="1"/>
    </xf>
    <xf numFmtId="37" fontId="5" fillId="19" borderId="82" xfId="0" applyNumberFormat="1" applyFont="1" applyFill="1" applyBorder="1" applyAlignment="1">
      <alignment horizontal="center" vertical="center" wrapText="1"/>
    </xf>
    <xf numFmtId="37" fontId="1" fillId="19" borderId="42" xfId="0" applyNumberFormat="1" applyFont="1" applyFill="1" applyBorder="1" applyAlignment="1">
      <alignment horizontal="center" vertical="center" wrapText="1"/>
    </xf>
    <xf numFmtId="37" fontId="1" fillId="4" borderId="38" xfId="0" applyNumberFormat="1" applyFont="1" applyFill="1" applyBorder="1" applyAlignment="1">
      <alignment horizontal="center" vertical="center" wrapText="1"/>
    </xf>
    <xf numFmtId="37" fontId="1" fillId="4" borderId="77" xfId="0" applyNumberFormat="1" applyFont="1" applyFill="1" applyBorder="1" applyAlignment="1">
      <alignment horizontal="center" vertical="center" wrapText="1"/>
    </xf>
    <xf numFmtId="37" fontId="1" fillId="4" borderId="42" xfId="0" applyNumberFormat="1" applyFont="1" applyFill="1" applyBorder="1" applyAlignment="1">
      <alignment horizontal="center" vertical="center" wrapText="1"/>
    </xf>
    <xf numFmtId="37" fontId="5" fillId="4" borderId="82" xfId="0" applyNumberFormat="1" applyFont="1" applyFill="1" applyBorder="1" applyAlignment="1">
      <alignment horizontal="center" vertical="center" wrapText="1"/>
    </xf>
    <xf numFmtId="39" fontId="0" fillId="0" borderId="9" xfId="0" applyNumberFormat="1" applyFont="1" applyBorder="1" applyAlignment="1" applyProtection="1">
      <alignment vertical="center" wrapText="1"/>
      <protection locked="0" hidden="1"/>
    </xf>
    <xf numFmtId="0" fontId="0" fillId="0" borderId="25" xfId="0" applyFont="1" applyBorder="1" applyAlignment="1" applyProtection="1">
      <alignment vertical="center" wrapText="1"/>
      <protection locked="0"/>
    </xf>
    <xf numFmtId="39" fontId="0" fillId="0" borderId="9" xfId="0" applyNumberFormat="1" applyFont="1" applyBorder="1" applyAlignment="1" applyProtection="1">
      <alignment vertical="center" wrapText="1"/>
      <protection hidden="1"/>
    </xf>
    <xf numFmtId="0" fontId="0" fillId="19" borderId="25" xfId="0" applyFont="1" applyFill="1" applyBorder="1" applyAlignment="1" applyProtection="1">
      <alignment vertical="center" wrapText="1"/>
      <protection locked="0"/>
    </xf>
    <xf numFmtId="0" fontId="0" fillId="19" borderId="9" xfId="0" applyFont="1" applyFill="1" applyBorder="1" applyAlignment="1">
      <alignment horizontal="left" vertical="center" wrapText="1"/>
    </xf>
    <xf numFmtId="37" fontId="0" fillId="19" borderId="9" xfId="0" applyNumberFormat="1" applyFont="1" applyFill="1" applyBorder="1" applyAlignment="1" applyProtection="1">
      <alignment vertical="center" wrapText="1"/>
      <protection hidden="1"/>
    </xf>
    <xf numFmtId="37" fontId="0" fillId="19" borderId="10" xfId="0" applyNumberFormat="1" applyFont="1" applyFill="1" applyBorder="1" applyAlignment="1">
      <alignment vertical="center" wrapText="1"/>
    </xf>
    <xf numFmtId="0" fontId="0" fillId="4" borderId="25" xfId="0" applyFont="1" applyFill="1" applyBorder="1" applyAlignment="1" applyProtection="1">
      <alignment vertical="center" wrapText="1"/>
      <protection locked="0"/>
    </xf>
    <xf numFmtId="0" fontId="0" fillId="4" borderId="9" xfId="0" applyFont="1" applyFill="1" applyBorder="1" applyAlignment="1">
      <alignment horizontal="left" vertical="center" wrapText="1"/>
    </xf>
    <xf numFmtId="37" fontId="0" fillId="4" borderId="9" xfId="0" applyNumberFormat="1" applyFont="1" applyFill="1" applyBorder="1" applyAlignment="1" applyProtection="1">
      <alignment vertical="center" wrapText="1"/>
      <protection hidden="1"/>
    </xf>
    <xf numFmtId="37" fontId="0" fillId="4" borderId="10" xfId="0" applyNumberFormat="1" applyFont="1" applyFill="1" applyBorder="1" applyAlignment="1">
      <alignment vertical="center" wrapText="1"/>
    </xf>
    <xf numFmtId="37" fontId="0" fillId="0" borderId="10" xfId="0" applyNumberFormat="1" applyFont="1" applyBorder="1" applyAlignment="1" applyProtection="1">
      <alignment vertical="center" wrapText="1"/>
      <protection hidden="1"/>
    </xf>
    <xf numFmtId="37" fontId="0" fillId="0" borderId="66" xfId="0" applyNumberFormat="1" applyFont="1" applyBorder="1" applyAlignment="1" applyProtection="1">
      <alignment vertical="center" wrapText="1"/>
      <protection hidden="1"/>
    </xf>
    <xf numFmtId="0" fontId="0" fillId="0" borderId="9" xfId="0" applyFont="1" applyBorder="1" applyAlignment="1" applyProtection="1">
      <alignment horizontal="left" vertical="center" wrapText="1"/>
      <protection hidden="1"/>
    </xf>
    <xf numFmtId="0" fontId="0" fillId="0" borderId="9" xfId="0" applyFont="1" applyBorder="1" applyAlignment="1" applyProtection="1">
      <alignment horizontal="left" vertical="center" wrapText="1"/>
      <protection locked="0" hidden="1"/>
    </xf>
    <xf numFmtId="0" fontId="0" fillId="0" borderId="41" xfId="0" applyBorder="1" applyAlignment="1">
      <alignment wrapText="1"/>
    </xf>
    <xf numFmtId="0" fontId="0" fillId="0" borderId="42" xfId="0" applyBorder="1" applyAlignment="1">
      <alignment wrapText="1"/>
    </xf>
    <xf numFmtId="0" fontId="0" fillId="0" borderId="41" xfId="0" quotePrefix="1" applyBorder="1" applyAlignment="1">
      <alignment horizontal="left" vertical="center" wrapText="1" indent="4"/>
    </xf>
    <xf numFmtId="0" fontId="0" fillId="0" borderId="42" xfId="0" quotePrefix="1" applyBorder="1" applyAlignment="1">
      <alignment horizontal="left" vertical="center" wrapText="1" indent="4"/>
    </xf>
    <xf numFmtId="0" fontId="6" fillId="0" borderId="42" xfId="0" applyFont="1" applyBorder="1" applyAlignment="1">
      <alignment horizontal="left" vertical="top" wrapText="1"/>
    </xf>
    <xf numFmtId="0" fontId="16" fillId="0" borderId="0" xfId="0" applyFont="1" applyAlignment="1">
      <alignment horizontal="left" vertical="center" wrapText="1"/>
    </xf>
    <xf numFmtId="0" fontId="0" fillId="0" borderId="9" xfId="0" applyFill="1" applyBorder="1" applyAlignment="1">
      <alignment vertical="center"/>
    </xf>
    <xf numFmtId="37" fontId="0" fillId="0" borderId="11" xfId="0" applyNumberFormat="1" applyBorder="1"/>
    <xf numFmtId="166" fontId="9" fillId="0" borderId="11" xfId="2" applyNumberFormat="1" applyFont="1" applyFill="1" applyBorder="1" applyAlignment="1" applyProtection="1">
      <alignment vertical="center" wrapText="1"/>
      <protection locked="0"/>
    </xf>
    <xf numFmtId="0" fontId="9" fillId="0" borderId="0" xfId="0" applyFont="1" applyAlignment="1">
      <alignment vertical="center" wrapText="1"/>
    </xf>
    <xf numFmtId="0" fontId="0" fillId="0" borderId="37" xfId="0" applyBorder="1" applyAlignment="1">
      <alignment vertical="center" wrapText="1"/>
    </xf>
    <xf numFmtId="0" fontId="11" fillId="0" borderId="0" xfId="0" applyFont="1" applyAlignment="1" applyProtection="1">
      <alignment horizontal="left" vertical="top" wrapText="1"/>
      <protection locked="0"/>
    </xf>
    <xf numFmtId="0" fontId="11" fillId="0" borderId="0" xfId="0" applyFont="1" applyAlignment="1" applyProtection="1">
      <alignment horizontal="left" vertical="top"/>
      <protection locked="0"/>
    </xf>
    <xf numFmtId="0" fontId="6" fillId="0" borderId="0" xfId="0" applyFont="1" applyAlignment="1">
      <alignment horizontal="left" vertical="top" wrapText="1"/>
    </xf>
    <xf numFmtId="0" fontId="2" fillId="0" borderId="0" xfId="0" applyFont="1" applyAlignment="1">
      <alignment vertical="top" wrapText="1"/>
    </xf>
    <xf numFmtId="0" fontId="0" fillId="0" borderId="0" xfId="0" quotePrefix="1" applyAlignment="1">
      <alignment horizontal="left" vertical="center" wrapText="1" indent="4"/>
    </xf>
    <xf numFmtId="0" fontId="19" fillId="0" borderId="41" xfId="0" applyFont="1" applyBorder="1"/>
    <xf numFmtId="0" fontId="19" fillId="0" borderId="0" xfId="0" applyFont="1"/>
    <xf numFmtId="0" fontId="19" fillId="0" borderId="42" xfId="0" applyFont="1" applyBorder="1"/>
    <xf numFmtId="0" fontId="0" fillId="0" borderId="41" xfId="0" quotePrefix="1" applyBorder="1" applyAlignment="1">
      <alignment vertical="top" wrapText="1"/>
    </xf>
    <xf numFmtId="0" fontId="0" fillId="0" borderId="0" xfId="0" applyAlignment="1">
      <alignment vertical="top" wrapText="1"/>
    </xf>
    <xf numFmtId="0" fontId="0" fillId="0" borderId="42" xfId="0" applyBorder="1" applyAlignment="1">
      <alignment vertical="top" wrapText="1"/>
    </xf>
    <xf numFmtId="0" fontId="0" fillId="0" borderId="41" xfId="0" quotePrefix="1" applyBorder="1" applyAlignment="1">
      <alignment horizontal="left" vertical="center" wrapText="1" indent="4"/>
    </xf>
    <xf numFmtId="0" fontId="0" fillId="0" borderId="0" xfId="0" quotePrefix="1" applyAlignment="1">
      <alignment horizontal="left" vertical="center" wrapText="1" indent="4"/>
    </xf>
    <xf numFmtId="0" fontId="0" fillId="0" borderId="42" xfId="0" quotePrefix="1" applyBorder="1" applyAlignment="1">
      <alignment horizontal="left" vertical="center" wrapText="1" indent="4"/>
    </xf>
    <xf numFmtId="0" fontId="0" fillId="0" borderId="41" xfId="0" quotePrefix="1" applyBorder="1" applyAlignment="1">
      <alignment horizontal="left" vertical="center" wrapText="1" indent="1"/>
    </xf>
    <xf numFmtId="0" fontId="0" fillId="0" borderId="0" xfId="0" quotePrefix="1" applyAlignment="1">
      <alignment horizontal="left" vertical="center" wrapText="1" indent="1"/>
    </xf>
    <xf numFmtId="0" fontId="0" fillId="0" borderId="42" xfId="0" quotePrefix="1" applyBorder="1" applyAlignment="1">
      <alignment horizontal="left" vertical="center" wrapText="1" indent="1"/>
    </xf>
    <xf numFmtId="0" fontId="0" fillId="0" borderId="41" xfId="0" applyBorder="1" applyAlignment="1">
      <alignment wrapText="1"/>
    </xf>
    <xf numFmtId="0" fontId="0" fillId="0" borderId="0" xfId="0" applyAlignment="1">
      <alignment wrapText="1"/>
    </xf>
    <xf numFmtId="0" fontId="0" fillId="0" borderId="42" xfId="0" applyBorder="1" applyAlignment="1">
      <alignment wrapText="1"/>
    </xf>
    <xf numFmtId="0" fontId="0" fillId="0" borderId="41" xfId="0" applyBorder="1"/>
    <xf numFmtId="0" fontId="0" fillId="0" borderId="0" xfId="0"/>
    <xf numFmtId="0" fontId="0" fillId="0" borderId="42" xfId="0" applyBorder="1"/>
    <xf numFmtId="0" fontId="12" fillId="0" borderId="41" xfId="0" applyFont="1" applyBorder="1" applyProtection="1">
      <protection locked="0"/>
    </xf>
    <xf numFmtId="0" fontId="12" fillId="0" borderId="0" xfId="0" applyFont="1" applyProtection="1">
      <protection locked="0"/>
    </xf>
    <xf numFmtId="0" fontId="12" fillId="0" borderId="42" xfId="0" applyFont="1" applyBorder="1" applyProtection="1">
      <protection locked="0"/>
    </xf>
    <xf numFmtId="0" fontId="11" fillId="0" borderId="51" xfId="0" applyFont="1" applyBorder="1" applyAlignment="1">
      <alignment horizontal="left" vertical="top" wrapText="1"/>
    </xf>
    <xf numFmtId="0" fontId="11" fillId="0" borderId="7" xfId="0" applyFont="1" applyBorder="1" applyAlignment="1">
      <alignment horizontal="left" vertical="top" wrapText="1"/>
    </xf>
    <xf numFmtId="0" fontId="11" fillId="0" borderId="52" xfId="0" applyFont="1" applyBorder="1" applyAlignment="1">
      <alignment horizontal="left" vertical="top" wrapText="1"/>
    </xf>
    <xf numFmtId="0" fontId="0" fillId="0" borderId="41" xfId="0" applyBorder="1" applyAlignment="1">
      <alignment vertical="center" wrapText="1"/>
    </xf>
    <xf numFmtId="0" fontId="0" fillId="0" borderId="0" xfId="0" applyAlignment="1">
      <alignment vertical="center" wrapText="1"/>
    </xf>
    <xf numFmtId="0" fontId="0" fillId="0" borderId="42" xfId="0" applyBorder="1" applyAlignment="1">
      <alignment vertical="center"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5" borderId="3" xfId="0" applyFont="1" applyFill="1" applyBorder="1" applyAlignment="1" applyProtection="1">
      <alignment horizontal="left" vertical="top"/>
      <protection locked="0"/>
    </xf>
    <xf numFmtId="0" fontId="11" fillId="5" borderId="5" xfId="0" applyFont="1" applyFill="1" applyBorder="1" applyAlignment="1" applyProtection="1">
      <alignment horizontal="left" vertical="top"/>
      <protection locked="0"/>
    </xf>
    <xf numFmtId="0" fontId="11" fillId="5" borderId="4" xfId="0" applyFont="1" applyFill="1" applyBorder="1" applyAlignment="1" applyProtection="1">
      <alignment horizontal="left" vertical="top"/>
      <protection locked="0"/>
    </xf>
    <xf numFmtId="0" fontId="0" fillId="0" borderId="53" xfId="0" applyBorder="1"/>
    <xf numFmtId="0" fontId="0" fillId="0" borderId="2" xfId="0" applyBorder="1"/>
    <xf numFmtId="0" fontId="0" fillId="0" borderId="54" xfId="0" applyBorder="1"/>
    <xf numFmtId="0" fontId="6" fillId="0" borderId="41" xfId="0" quotePrefix="1" applyFont="1" applyBorder="1" applyAlignment="1">
      <alignment horizontal="left" vertical="top" wrapText="1"/>
    </xf>
    <xf numFmtId="0" fontId="6" fillId="0" borderId="0" xfId="0" applyFont="1" applyAlignment="1">
      <alignment horizontal="left" vertical="top" wrapText="1"/>
    </xf>
    <xf numFmtId="0" fontId="6" fillId="0" borderId="42" xfId="0" applyFont="1" applyBorder="1" applyAlignment="1">
      <alignment horizontal="left" vertical="top" wrapText="1"/>
    </xf>
    <xf numFmtId="0" fontId="0" fillId="0" borderId="41" xfId="0" quotePrefix="1" applyBorder="1" applyAlignment="1">
      <alignment horizontal="left" vertical="center" wrapText="1"/>
    </xf>
    <xf numFmtId="0" fontId="0" fillId="0" borderId="0" xfId="0" quotePrefix="1" applyAlignment="1">
      <alignment horizontal="left" vertical="center" wrapText="1"/>
    </xf>
    <xf numFmtId="0" fontId="0" fillId="0" borderId="42" xfId="0" quotePrefix="1" applyBorder="1" applyAlignment="1">
      <alignment horizontal="left" vertical="center" wrapText="1"/>
    </xf>
    <xf numFmtId="0" fontId="0" fillId="0" borderId="0" xfId="0" applyAlignment="1">
      <alignment vertical="center"/>
    </xf>
    <xf numFmtId="0" fontId="0" fillId="0" borderId="42" xfId="0" applyBorder="1" applyAlignment="1">
      <alignment vertical="center"/>
    </xf>
    <xf numFmtId="0" fontId="17" fillId="0" borderId="41" xfId="0" applyFont="1" applyBorder="1"/>
    <xf numFmtId="0" fontId="17" fillId="0" borderId="0" xfId="0" applyFont="1"/>
    <xf numFmtId="0" fontId="17" fillId="0" borderId="42" xfId="0" applyFont="1" applyBorder="1"/>
    <xf numFmtId="0" fontId="16" fillId="0" borderId="0" xfId="0" applyFont="1" applyAlignment="1">
      <alignment horizontal="left" vertical="center" wrapText="1"/>
    </xf>
    <xf numFmtId="0" fontId="17" fillId="5" borderId="48" xfId="0" applyFont="1" applyFill="1" applyBorder="1" applyAlignment="1" applyProtection="1">
      <alignment horizontal="center" vertical="center" wrapText="1"/>
      <protection locked="0"/>
    </xf>
    <xf numFmtId="0" fontId="17" fillId="5" borderId="74" xfId="0" applyFont="1" applyFill="1" applyBorder="1" applyAlignment="1" applyProtection="1">
      <alignment horizontal="center" vertical="center" wrapText="1"/>
      <protection locked="0"/>
    </xf>
    <xf numFmtId="0" fontId="17" fillId="5" borderId="49" xfId="0" applyFont="1" applyFill="1" applyBorder="1" applyAlignment="1" applyProtection="1">
      <alignment horizontal="center" vertical="center" wrapText="1"/>
      <protection locked="0"/>
    </xf>
    <xf numFmtId="0" fontId="21" fillId="0" borderId="0" xfId="0" applyFont="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0" fillId="5" borderId="38" xfId="0" applyFill="1" applyBorder="1" applyAlignment="1" applyProtection="1">
      <alignment horizontal="center"/>
      <protection locked="0"/>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1" xfId="0" applyFill="1" applyBorder="1" applyAlignment="1" applyProtection="1">
      <alignment horizontal="center"/>
      <protection locked="0"/>
    </xf>
    <xf numFmtId="0" fontId="0" fillId="5" borderId="0" xfId="0" applyFill="1" applyAlignment="1" applyProtection="1">
      <alignment horizontal="center"/>
      <protection locked="0"/>
    </xf>
    <xf numFmtId="0" fontId="0" fillId="5" borderId="42" xfId="0" applyFill="1" applyBorder="1" applyAlignment="1" applyProtection="1">
      <alignment horizontal="center"/>
      <protection locked="0"/>
    </xf>
    <xf numFmtId="0" fontId="0" fillId="5" borderId="43"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5" borderId="45" xfId="0" applyFill="1" applyBorder="1" applyAlignment="1" applyProtection="1">
      <alignment horizontal="center"/>
      <protection locked="0"/>
    </xf>
    <xf numFmtId="0" fontId="1" fillId="19" borderId="25" xfId="0" applyFont="1" applyFill="1" applyBorder="1" applyAlignment="1">
      <alignment horizontal="center"/>
    </xf>
    <xf numFmtId="0" fontId="1" fillId="19" borderId="9" xfId="0" applyFont="1" applyFill="1" applyBorder="1" applyAlignment="1">
      <alignment horizontal="center"/>
    </xf>
    <xf numFmtId="0" fontId="1" fillId="19" borderId="8" xfId="0" applyFont="1" applyFill="1" applyBorder="1" applyAlignment="1">
      <alignment horizontal="center"/>
    </xf>
    <xf numFmtId="0" fontId="1" fillId="4" borderId="0" xfId="0" applyFont="1" applyFill="1" applyBorder="1" applyAlignment="1">
      <alignment horizontal="center"/>
    </xf>
    <xf numFmtId="0" fontId="26" fillId="19" borderId="32" xfId="0" applyFont="1" applyFill="1" applyBorder="1" applyAlignment="1">
      <alignment horizontal="left" vertical="center" wrapText="1"/>
    </xf>
    <xf numFmtId="0" fontId="26" fillId="19" borderId="55" xfId="0" applyFont="1" applyFill="1" applyBorder="1" applyAlignment="1">
      <alignment horizontal="left" vertical="center" wrapText="1"/>
    </xf>
    <xf numFmtId="0" fontId="26" fillId="19" borderId="56" xfId="0" applyFont="1" applyFill="1" applyBorder="1" applyAlignment="1">
      <alignment horizontal="left" vertical="center" wrapText="1"/>
    </xf>
    <xf numFmtId="167" fontId="9" fillId="0" borderId="26" xfId="4" applyNumberFormat="1" applyFont="1" applyFill="1" applyBorder="1" applyAlignment="1" applyProtection="1">
      <alignment vertical="center" wrapText="1"/>
      <protection locked="0"/>
    </xf>
    <xf numFmtId="167" fontId="9" fillId="0" borderId="27" xfId="4" applyNumberFormat="1" applyFont="1" applyFill="1" applyBorder="1" applyAlignment="1" applyProtection="1">
      <alignment vertical="center" wrapText="1"/>
      <protection locked="0"/>
    </xf>
    <xf numFmtId="0" fontId="1" fillId="17" borderId="10" xfId="0" applyFont="1" applyFill="1" applyBorder="1" applyAlignment="1">
      <alignment vertical="center" wrapText="1"/>
    </xf>
    <xf numFmtId="0" fontId="1" fillId="17" borderId="11" xfId="0" applyFont="1" applyFill="1" applyBorder="1" applyAlignment="1">
      <alignment vertical="center" wrapText="1"/>
    </xf>
    <xf numFmtId="0" fontId="13" fillId="0" borderId="38" xfId="0" applyFont="1" applyBorder="1" applyAlignment="1">
      <alignment horizontal="center"/>
    </xf>
    <xf numFmtId="0" fontId="13" fillId="0" borderId="40" xfId="0" applyFont="1" applyBorder="1" applyAlignment="1">
      <alignment horizontal="center"/>
    </xf>
    <xf numFmtId="167" fontId="0" fillId="0" borderId="37" xfId="0" applyNumberFormat="1" applyFont="1" applyBorder="1" applyAlignment="1">
      <alignment horizontal="right" vertical="center" wrapText="1"/>
    </xf>
    <xf numFmtId="167" fontId="0" fillId="0" borderId="67" xfId="0" applyNumberFormat="1" applyFont="1" applyBorder="1" applyAlignment="1">
      <alignment horizontal="right" vertical="center" wrapText="1"/>
    </xf>
    <xf numFmtId="0" fontId="1" fillId="22" borderId="60" xfId="0" applyFont="1" applyFill="1" applyBorder="1" applyAlignment="1">
      <alignment horizontal="left" vertical="center" wrapText="1"/>
    </xf>
    <xf numFmtId="0" fontId="1" fillId="22" borderId="61" xfId="0" applyFont="1" applyFill="1" applyBorder="1" applyAlignment="1">
      <alignment horizontal="left" vertical="center" wrapText="1"/>
    </xf>
    <xf numFmtId="0" fontId="1" fillId="22" borderId="62" xfId="0" applyFont="1" applyFill="1" applyBorder="1" applyAlignment="1">
      <alignment horizontal="left" vertical="center" wrapText="1"/>
    </xf>
    <xf numFmtId="167" fontId="0" fillId="0" borderId="63" xfId="0" applyNumberFormat="1" applyBorder="1" applyAlignment="1">
      <alignment vertical="center"/>
    </xf>
    <xf numFmtId="167" fontId="0" fillId="0" borderId="64" xfId="0" applyNumberFormat="1" applyBorder="1" applyAlignment="1">
      <alignment vertical="center"/>
    </xf>
    <xf numFmtId="0" fontId="1" fillId="18" borderId="32" xfId="0" applyFont="1" applyFill="1" applyBorder="1" applyAlignment="1">
      <alignment horizontal="left" vertical="center" wrapText="1"/>
    </xf>
    <xf numFmtId="0" fontId="1" fillId="18" borderId="55" xfId="0" applyFont="1" applyFill="1" applyBorder="1" applyAlignment="1">
      <alignment horizontal="left" vertical="center" wrapText="1"/>
    </xf>
    <xf numFmtId="0" fontId="1" fillId="18" borderId="56" xfId="0" applyFont="1" applyFill="1" applyBorder="1" applyAlignment="1">
      <alignment horizontal="left" vertical="center" wrapText="1"/>
    </xf>
    <xf numFmtId="0" fontId="1" fillId="18" borderId="29" xfId="0" applyFont="1" applyFill="1" applyBorder="1" applyAlignment="1">
      <alignment horizontal="left" vertical="center" wrapText="1"/>
    </xf>
    <xf numFmtId="0" fontId="1" fillId="18" borderId="21" xfId="0" applyFont="1" applyFill="1" applyBorder="1" applyAlignment="1">
      <alignment horizontal="left" vertical="center" wrapText="1"/>
    </xf>
    <xf numFmtId="0" fontId="1" fillId="18" borderId="57" xfId="0" applyFont="1" applyFill="1" applyBorder="1" applyAlignment="1">
      <alignment horizontal="left" vertical="center" wrapText="1"/>
    </xf>
    <xf numFmtId="167" fontId="0" fillId="0" borderId="26" xfId="0" applyNumberFormat="1" applyFont="1" applyBorder="1" applyAlignment="1">
      <alignment horizontal="right" vertical="center" wrapText="1"/>
    </xf>
    <xf numFmtId="167" fontId="0" fillId="0" borderId="27" xfId="0" applyNumberFormat="1" applyFont="1" applyBorder="1" applyAlignment="1">
      <alignment horizontal="right" vertical="center" wrapText="1"/>
    </xf>
    <xf numFmtId="0" fontId="1" fillId="21" borderId="10" xfId="0" applyFont="1" applyFill="1" applyBorder="1" applyAlignment="1">
      <alignment horizontal="left" vertical="center" wrapText="1"/>
    </xf>
    <xf numFmtId="0" fontId="1" fillId="21" borderId="11" xfId="0" applyFont="1" applyFill="1" applyBorder="1" applyAlignment="1">
      <alignment horizontal="left" vertical="center" wrapText="1"/>
    </xf>
    <xf numFmtId="0" fontId="1" fillId="29" borderId="10" xfId="0" applyFont="1" applyFill="1" applyBorder="1" applyAlignment="1">
      <alignment horizontal="left"/>
    </xf>
    <xf numFmtId="0" fontId="1" fillId="29" borderId="11" xfId="0" applyFont="1" applyFill="1" applyBorder="1" applyAlignment="1">
      <alignment horizontal="left"/>
    </xf>
    <xf numFmtId="0" fontId="1" fillId="29" borderId="25" xfId="0" applyFont="1" applyFill="1" applyBorder="1" applyAlignment="1">
      <alignment horizontal="left"/>
    </xf>
    <xf numFmtId="167" fontId="0" fillId="0" borderId="26" xfId="0" applyNumberFormat="1" applyBorder="1" applyAlignment="1">
      <alignment vertical="center"/>
    </xf>
    <xf numFmtId="167" fontId="0" fillId="0" borderId="27" xfId="0" applyNumberFormat="1" applyBorder="1" applyAlignment="1">
      <alignment vertical="center"/>
    </xf>
    <xf numFmtId="0" fontId="1" fillId="29" borderId="10" xfId="0" applyFont="1" applyFill="1" applyBorder="1" applyAlignment="1">
      <alignment horizontal="left" vertical="center" wrapText="1"/>
    </xf>
    <xf numFmtId="0" fontId="1" fillId="29" borderId="11" xfId="0" applyFont="1" applyFill="1" applyBorder="1" applyAlignment="1">
      <alignment horizontal="left" vertical="center" wrapText="1"/>
    </xf>
    <xf numFmtId="0" fontId="1" fillId="29" borderId="9" xfId="0" applyFont="1" applyFill="1" applyBorder="1" applyAlignment="1">
      <alignment horizontal="left"/>
    </xf>
    <xf numFmtId="167" fontId="9" fillId="0" borderId="72" xfId="4" applyNumberFormat="1" applyFont="1" applyFill="1" applyBorder="1" applyAlignment="1" applyProtection="1">
      <alignment horizontal="right" vertical="center" wrapText="1"/>
      <protection locked="0"/>
    </xf>
    <xf numFmtId="167" fontId="9" fillId="0" borderId="73" xfId="4" applyNumberFormat="1" applyFont="1" applyFill="1" applyBorder="1" applyAlignment="1" applyProtection="1">
      <alignment horizontal="right" vertical="center" wrapText="1"/>
      <protection locked="0"/>
    </xf>
    <xf numFmtId="166" fontId="9" fillId="0" borderId="26" xfId="2" applyNumberFormat="1" applyFont="1" applyFill="1" applyBorder="1" applyAlignment="1" applyProtection="1">
      <alignment vertical="center" wrapText="1"/>
      <protection locked="0"/>
    </xf>
    <xf numFmtId="166" fontId="9" fillId="0" borderId="27" xfId="2" applyNumberFormat="1" applyFont="1" applyFill="1" applyBorder="1" applyAlignment="1" applyProtection="1">
      <alignment vertical="center" wrapText="1"/>
      <protection locked="0"/>
    </xf>
    <xf numFmtId="166" fontId="9" fillId="0" borderId="26" xfId="2" applyNumberFormat="1" applyFont="1" applyFill="1" applyBorder="1" applyAlignment="1" applyProtection="1">
      <alignment vertical="center" wrapText="1"/>
    </xf>
    <xf numFmtId="166" fontId="9" fillId="0" borderId="27" xfId="2" applyNumberFormat="1" applyFont="1" applyFill="1" applyBorder="1" applyAlignment="1" applyProtection="1">
      <alignment vertical="center" wrapText="1"/>
    </xf>
    <xf numFmtId="0" fontId="1" fillId="19" borderId="58" xfId="0" applyFont="1" applyFill="1" applyBorder="1" applyAlignment="1">
      <alignment horizontal="left" vertical="center" wrapText="1"/>
    </xf>
    <xf numFmtId="0" fontId="1" fillId="19" borderId="0" xfId="0" applyFont="1" applyFill="1" applyBorder="1" applyAlignment="1">
      <alignment horizontal="left" vertical="center" wrapText="1"/>
    </xf>
    <xf numFmtId="0" fontId="1" fillId="19" borderId="59" xfId="0" applyFont="1" applyFill="1" applyBorder="1" applyAlignment="1">
      <alignment horizontal="left" vertical="center" wrapText="1"/>
    </xf>
    <xf numFmtId="170" fontId="9" fillId="0" borderId="26" xfId="4" applyNumberFormat="1" applyFont="1" applyFill="1" applyBorder="1" applyAlignment="1" applyProtection="1">
      <alignment vertical="center" wrapText="1"/>
      <protection locked="0"/>
    </xf>
    <xf numFmtId="170" fontId="9" fillId="0" borderId="27" xfId="4" applyNumberFormat="1" applyFont="1" applyFill="1" applyBorder="1" applyAlignment="1" applyProtection="1">
      <alignment vertical="center" wrapText="1"/>
      <protection locked="0"/>
    </xf>
    <xf numFmtId="0" fontId="13" fillId="0" borderId="23" xfId="0" applyFont="1" applyBorder="1" applyAlignment="1">
      <alignment horizontal="center"/>
    </xf>
    <xf numFmtId="0" fontId="13" fillId="0" borderId="24" xfId="0" applyFont="1" applyBorder="1" applyAlignment="1">
      <alignment horizontal="center"/>
    </xf>
    <xf numFmtId="167" fontId="9" fillId="0" borderId="72" xfId="4" applyNumberFormat="1" applyFont="1" applyFill="1" applyBorder="1" applyAlignment="1" applyProtection="1">
      <alignment horizontal="right" vertical="center" wrapText="1"/>
    </xf>
    <xf numFmtId="167" fontId="9" fillId="0" borderId="73" xfId="4" applyNumberFormat="1" applyFont="1" applyFill="1" applyBorder="1" applyAlignment="1" applyProtection="1">
      <alignment horizontal="right" vertical="center" wrapText="1"/>
    </xf>
    <xf numFmtId="166" fontId="9" fillId="0" borderId="25" xfId="2" applyNumberFormat="1" applyFont="1" applyFill="1" applyBorder="1" applyAlignment="1" applyProtection="1">
      <alignment vertical="center" wrapText="1"/>
      <protection locked="0"/>
    </xf>
    <xf numFmtId="167" fontId="0" fillId="0" borderId="25" xfId="0" applyNumberFormat="1" applyBorder="1" applyAlignment="1">
      <alignment vertical="center"/>
    </xf>
    <xf numFmtId="0" fontId="0" fillId="0" borderId="0" xfId="0" applyBorder="1" applyAlignment="1">
      <alignment vertical="center" wrapText="1"/>
    </xf>
    <xf numFmtId="0" fontId="23" fillId="28" borderId="60" xfId="0" applyFont="1" applyFill="1" applyBorder="1" applyAlignment="1" applyProtection="1">
      <alignment horizontal="center" wrapText="1"/>
      <protection locked="0"/>
    </xf>
    <xf numFmtId="0" fontId="23" fillId="28" borderId="65" xfId="0" applyFont="1" applyFill="1" applyBorder="1" applyAlignment="1" applyProtection="1">
      <alignment horizontal="center" wrapText="1"/>
      <protection locked="0"/>
    </xf>
    <xf numFmtId="0" fontId="23" fillId="11" borderId="68" xfId="0" applyFont="1" applyFill="1" applyBorder="1" applyAlignment="1" applyProtection="1">
      <alignment horizontal="center" vertical="center" wrapText="1"/>
      <protection locked="0"/>
    </xf>
    <xf numFmtId="0" fontId="23" fillId="11" borderId="69" xfId="0" applyFont="1" applyFill="1" applyBorder="1" applyAlignment="1" applyProtection="1">
      <alignment horizontal="center" vertical="center" wrapText="1"/>
      <protection locked="0"/>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8" fillId="0" borderId="18" xfId="1" applyBorder="1" applyAlignment="1">
      <alignment vertical="center"/>
    </xf>
    <xf numFmtId="0" fontId="8" fillId="0" borderId="19" xfId="1" applyBorder="1" applyAlignment="1">
      <alignment vertical="center"/>
    </xf>
    <xf numFmtId="0" fontId="8" fillId="0" borderId="20" xfId="1" applyBorder="1" applyAlignment="1">
      <alignment vertical="center"/>
    </xf>
    <xf numFmtId="0" fontId="0" fillId="0" borderId="18" xfId="0" applyFont="1" applyBorder="1" applyAlignment="1">
      <alignment vertical="center" wrapText="1"/>
    </xf>
    <xf numFmtId="0" fontId="0" fillId="0" borderId="19" xfId="0" applyFont="1"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cellXfs>
  <cellStyles count="6">
    <cellStyle name="Currency" xfId="4" builtinId="4"/>
    <cellStyle name="Currency 2" xfId="5" xr:uid="{9A94FFB9-E29C-4BC7-807D-CFF76266C2A6}"/>
    <cellStyle name="Hyperlink" xfId="1" builtinId="8"/>
    <cellStyle name="Normal" xfId="0" builtinId="0"/>
    <cellStyle name="Normal 2 112" xfId="3" xr:uid="{00000000-0005-0000-0000-000003000000}"/>
    <cellStyle name="Percent" xfId="2" builtinId="5"/>
  </cellStyles>
  <dxfs count="16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b val="0"/>
        <i val="0"/>
        <strike val="0"/>
        <color theme="1"/>
      </font>
      <fill>
        <patternFill>
          <bgColor theme="1" tint="0.49998474074526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ont>
        <color auto="1"/>
      </font>
      <fill>
        <patternFill>
          <bgColor rgb="FFFFC000"/>
        </patternFill>
      </fill>
    </dxf>
    <dxf>
      <font>
        <color theme="1"/>
      </font>
      <fill>
        <patternFill>
          <bgColor rgb="FFCCCCFF"/>
        </patternFill>
      </fill>
    </dxf>
    <dxf>
      <font>
        <color theme="1"/>
      </font>
      <fill>
        <patternFill>
          <bgColor theme="7" tint="0.79998168889431442"/>
        </patternFill>
      </fill>
    </dxf>
    <dxf>
      <font>
        <color theme="1"/>
      </font>
      <fill>
        <patternFill>
          <bgColor theme="1" tint="0.49998474074526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0"/>
      </font>
      <fill>
        <patternFill>
          <bgColor theme="9" tint="-0.24994659260841701"/>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s>
  <tableStyles count="0" defaultTableStyle="TableStyleMedium2" defaultPivotStyle="PivotStyleLight16"/>
  <colors>
    <mruColors>
      <color rgb="FF9999FF"/>
      <color rgb="FFFFFF00"/>
      <color rgb="FFFFFF66"/>
      <color rgb="FF9900CC"/>
      <color rgb="FFCC00FF"/>
      <color rgb="FFFF99FF"/>
      <color rgb="FFFFCCFF"/>
      <color rgb="FFCC99FF"/>
      <color rgb="FFCCCCFF"/>
      <color rgb="FFEC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shvin Ashok" id="{B7E41B32-AF42-47C6-95C4-7506A6F1B559}" userId="S::aashok@clintonhealthaccess.org::aa7f14ae-4a62-4be9-b77c-a0cd456926d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5" dT="2021-10-12T13:38:57.08" personId="{B7E41B32-AF42-47C6-95C4-7506A6F1B559}" id="{4D514791-1137-4EA3-B0CD-A161B297648D}">
    <text>Rate for orders below 2400 units</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ly.unicef.org/all-materials/cold-chain-equipment/refrigerator-spare-part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apps.who.int/immunization_standards/vaccine_quality/pqs_catalogue/PdfCatalogue.aspx?cat_ty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63"/>
  <sheetViews>
    <sheetView showGridLines="0" tabSelected="1" zoomScale="80" zoomScaleNormal="80" workbookViewId="0">
      <selection sqref="A1:J1"/>
    </sheetView>
  </sheetViews>
  <sheetFormatPr defaultColWidth="0" defaultRowHeight="15" zeroHeight="1" x14ac:dyDescent="0.25"/>
  <cols>
    <col min="1" max="1" width="9" customWidth="1"/>
    <col min="2" max="7" width="9.140625" customWidth="1"/>
    <col min="8" max="9" width="15" customWidth="1"/>
    <col min="10" max="10" width="61.7109375" customWidth="1"/>
    <col min="11" max="12" width="9.140625" customWidth="1"/>
  </cols>
  <sheetData>
    <row r="1" spans="1:21 16384:16384" s="61" customFormat="1" ht="18.75" x14ac:dyDescent="0.3">
      <c r="A1" s="265" t="s">
        <v>475</v>
      </c>
      <c r="B1" s="266"/>
      <c r="C1" s="266"/>
      <c r="D1" s="266"/>
      <c r="E1" s="266"/>
      <c r="F1" s="266"/>
      <c r="G1" s="266"/>
      <c r="H1" s="266"/>
      <c r="I1" s="266"/>
      <c r="J1" s="267"/>
    </row>
    <row r="2" spans="1:21 16384:16384" s="61" customFormat="1" ht="19.5" thickBot="1" x14ac:dyDescent="0.35">
      <c r="A2" s="94"/>
      <c r="B2" s="233"/>
      <c r="C2" s="233"/>
      <c r="D2" s="233"/>
      <c r="E2" s="233"/>
      <c r="F2" s="233"/>
      <c r="G2" s="233"/>
      <c r="H2" s="233"/>
      <c r="I2" s="233"/>
      <c r="J2" s="145"/>
    </row>
    <row r="3" spans="1:21 16384:16384" s="61" customFormat="1" ht="19.5" thickBot="1" x14ac:dyDescent="0.35">
      <c r="A3" s="95" t="s">
        <v>448</v>
      </c>
      <c r="B3" s="62"/>
      <c r="C3" s="268"/>
      <c r="D3" s="269"/>
      <c r="E3" s="269"/>
      <c r="F3" s="269"/>
      <c r="G3" s="269"/>
      <c r="H3" s="269"/>
      <c r="I3" s="270"/>
      <c r="J3" s="96"/>
      <c r="XFD3" s="63"/>
    </row>
    <row r="4" spans="1:21 16384:16384" s="61" customFormat="1" ht="18.75" x14ac:dyDescent="0.3">
      <c r="A4" s="103"/>
      <c r="B4" s="234"/>
      <c r="C4" s="234"/>
      <c r="D4" s="234"/>
      <c r="E4" s="234"/>
      <c r="F4" s="234"/>
      <c r="G4" s="234"/>
      <c r="H4" s="234"/>
      <c r="I4" s="234"/>
      <c r="J4" s="96"/>
      <c r="XFD4" s="63"/>
    </row>
    <row r="5" spans="1:21 16384:16384" s="61" customFormat="1" ht="18.75" x14ac:dyDescent="0.3">
      <c r="A5" s="103"/>
      <c r="B5" s="234"/>
      <c r="C5" s="234"/>
      <c r="D5" s="234"/>
      <c r="E5" s="234"/>
      <c r="F5" s="234"/>
      <c r="G5" s="234"/>
      <c r="H5" s="234"/>
      <c r="I5" s="234"/>
      <c r="J5" s="96"/>
      <c r="XFD5" s="63"/>
    </row>
    <row r="6" spans="1:21 16384:16384" s="61" customFormat="1" ht="18.75" x14ac:dyDescent="0.3">
      <c r="A6" s="105" t="s">
        <v>449</v>
      </c>
      <c r="B6" s="234"/>
      <c r="C6" s="234"/>
      <c r="D6" s="234"/>
      <c r="E6" s="234"/>
      <c r="F6" s="234"/>
      <c r="G6" s="234"/>
      <c r="H6" s="234"/>
      <c r="I6" s="234"/>
      <c r="J6" s="96"/>
      <c r="XFD6" s="63"/>
    </row>
    <row r="7" spans="1:21 16384:16384" s="61" customFormat="1" ht="18.75" x14ac:dyDescent="0.3">
      <c r="A7" s="104" t="s">
        <v>450</v>
      </c>
      <c r="B7" s="234"/>
      <c r="C7" s="234"/>
      <c r="D7" s="234"/>
      <c r="E7" s="234"/>
      <c r="F7" s="234"/>
      <c r="G7" s="234"/>
      <c r="H7" s="234"/>
      <c r="I7" s="234"/>
      <c r="J7" s="96"/>
      <c r="XFD7" s="63"/>
    </row>
    <row r="8" spans="1:21 16384:16384" s="61" customFormat="1" ht="18.75" x14ac:dyDescent="0.3">
      <c r="A8" s="104" t="s">
        <v>477</v>
      </c>
      <c r="B8" s="234"/>
      <c r="C8" s="234"/>
      <c r="D8" s="234"/>
      <c r="E8" s="234"/>
      <c r="F8" s="234"/>
      <c r="G8" s="234"/>
      <c r="H8" s="234"/>
      <c r="I8" s="234"/>
      <c r="J8" s="96"/>
      <c r="XFD8" s="63"/>
    </row>
    <row r="9" spans="1:21 16384:16384" s="61" customFormat="1" ht="18.75" x14ac:dyDescent="0.3">
      <c r="A9" s="104" t="s">
        <v>478</v>
      </c>
      <c r="B9" s="234"/>
      <c r="C9" s="234"/>
      <c r="D9" s="234"/>
      <c r="E9" s="234"/>
      <c r="F9" s="234"/>
      <c r="G9" s="234"/>
      <c r="H9" s="234"/>
      <c r="I9" s="234"/>
      <c r="J9" s="96"/>
      <c r="XFD9" s="63"/>
    </row>
    <row r="10" spans="1:21 16384:16384" s="61" customFormat="1" ht="18.75" x14ac:dyDescent="0.3">
      <c r="A10" s="256"/>
      <c r="B10" s="257"/>
      <c r="C10" s="257"/>
      <c r="D10" s="257"/>
      <c r="E10" s="257"/>
      <c r="F10" s="257"/>
      <c r="G10" s="257"/>
      <c r="H10" s="257"/>
      <c r="I10" s="257"/>
      <c r="J10" s="258"/>
      <c r="P10" s="64"/>
      <c r="Q10" s="64"/>
      <c r="R10" s="64"/>
      <c r="S10" s="64"/>
      <c r="T10" s="64"/>
      <c r="U10" s="64"/>
      <c r="XFD10" s="63"/>
    </row>
    <row r="11" spans="1:21 16384:16384" s="61" customFormat="1" ht="19.5" thickBot="1" x14ac:dyDescent="0.35">
      <c r="A11" s="259" t="s">
        <v>451</v>
      </c>
      <c r="B11" s="260"/>
      <c r="C11" s="260"/>
      <c r="D11" s="260"/>
      <c r="E11" s="260"/>
      <c r="F11" s="260"/>
      <c r="G11" s="260"/>
      <c r="H11" s="260"/>
      <c r="I11" s="260"/>
      <c r="J11" s="261"/>
      <c r="XFD11" s="63"/>
    </row>
    <row r="12" spans="1:21 16384:16384" x14ac:dyDescent="0.25">
      <c r="A12" s="271"/>
      <c r="B12" s="272"/>
      <c r="C12" s="272"/>
      <c r="D12" s="272"/>
      <c r="E12" s="272"/>
      <c r="F12" s="272"/>
      <c r="G12" s="272"/>
      <c r="H12" s="272"/>
      <c r="I12" s="272"/>
      <c r="J12" s="273"/>
      <c r="XFD12" s="1"/>
    </row>
    <row r="13" spans="1:21 16384:16384" ht="36.75" customHeight="1" x14ac:dyDescent="0.25">
      <c r="A13" s="262" t="s">
        <v>476</v>
      </c>
      <c r="B13" s="263"/>
      <c r="C13" s="263"/>
      <c r="D13" s="263"/>
      <c r="E13" s="263"/>
      <c r="F13" s="263"/>
      <c r="G13" s="263"/>
      <c r="H13" s="263"/>
      <c r="I13" s="263"/>
      <c r="J13" s="264"/>
      <c r="XFD13" s="1"/>
    </row>
    <row r="14" spans="1:21 16384:16384" x14ac:dyDescent="0.25">
      <c r="A14" s="158"/>
      <c r="J14" s="159"/>
      <c r="XFD14" s="1"/>
    </row>
    <row r="15" spans="1:21 16384:16384" ht="27.75" customHeight="1" x14ac:dyDescent="0.25">
      <c r="A15" s="250" t="s">
        <v>452</v>
      </c>
      <c r="B15" s="254"/>
      <c r="C15" s="254"/>
      <c r="D15" s="254"/>
      <c r="E15" s="254"/>
      <c r="F15" s="254"/>
      <c r="G15" s="254"/>
      <c r="H15" s="254"/>
      <c r="I15" s="254"/>
      <c r="J15" s="255"/>
      <c r="XFD15" s="1"/>
    </row>
    <row r="16" spans="1:21 16384:16384" x14ac:dyDescent="0.25">
      <c r="A16" s="253"/>
      <c r="B16" s="254"/>
      <c r="C16" s="254"/>
      <c r="D16" s="254"/>
      <c r="E16" s="254"/>
      <c r="F16" s="254"/>
      <c r="G16" s="254"/>
      <c r="H16" s="254"/>
      <c r="I16" s="254"/>
      <c r="J16" s="255"/>
      <c r="XFD16" s="1"/>
    </row>
    <row r="17" spans="1:10 16384:16384" s="25" customFormat="1" ht="114" customHeight="1" x14ac:dyDescent="0.25">
      <c r="A17" s="250" t="s">
        <v>453</v>
      </c>
      <c r="B17" s="251"/>
      <c r="C17" s="251"/>
      <c r="D17" s="251"/>
      <c r="E17" s="251"/>
      <c r="F17" s="251"/>
      <c r="G17" s="251"/>
      <c r="H17" s="251"/>
      <c r="I17" s="251"/>
      <c r="J17" s="252"/>
      <c r="XFD17" s="60"/>
    </row>
    <row r="18" spans="1:10 16384:16384" s="25" customFormat="1" x14ac:dyDescent="0.25">
      <c r="A18" s="222"/>
      <c r="J18" s="223"/>
      <c r="XFD18" s="60"/>
    </row>
    <row r="19" spans="1:10 16384:16384" s="25" customFormat="1" ht="30.95" customHeight="1" x14ac:dyDescent="0.25">
      <c r="A19" s="250" t="s">
        <v>454</v>
      </c>
      <c r="B19" s="251"/>
      <c r="C19" s="251"/>
      <c r="D19" s="251"/>
      <c r="E19" s="251"/>
      <c r="F19" s="251"/>
      <c r="G19" s="251"/>
      <c r="H19" s="251"/>
      <c r="I19" s="251"/>
      <c r="J19" s="252"/>
      <c r="XFD19" s="60"/>
    </row>
    <row r="20" spans="1:10 16384:16384" x14ac:dyDescent="0.25">
      <c r="A20" s="253"/>
      <c r="B20" s="254"/>
      <c r="C20" s="254"/>
      <c r="D20" s="254"/>
      <c r="E20" s="254"/>
      <c r="F20" s="254"/>
      <c r="G20" s="254"/>
      <c r="H20" s="254"/>
      <c r="I20" s="254"/>
      <c r="J20" s="255"/>
      <c r="XFD20" s="1"/>
    </row>
    <row r="21" spans="1:10 16384:16384" ht="60" customHeight="1" x14ac:dyDescent="0.25">
      <c r="A21" s="250" t="s">
        <v>455</v>
      </c>
      <c r="B21" s="254"/>
      <c r="C21" s="254"/>
      <c r="D21" s="254"/>
      <c r="E21" s="254"/>
      <c r="F21" s="254"/>
      <c r="G21" s="254"/>
      <c r="H21" s="254"/>
      <c r="I21" s="254"/>
      <c r="J21" s="255"/>
      <c r="XFD21" s="1"/>
    </row>
    <row r="22" spans="1:10 16384:16384" ht="60" customHeight="1" x14ac:dyDescent="0.25">
      <c r="A22" s="262" t="s">
        <v>456</v>
      </c>
      <c r="B22" s="280"/>
      <c r="C22" s="280"/>
      <c r="D22" s="280"/>
      <c r="E22" s="280"/>
      <c r="F22" s="280"/>
      <c r="G22" s="280"/>
      <c r="H22" s="280"/>
      <c r="I22" s="280"/>
      <c r="J22" s="281"/>
      <c r="XFD22" s="1"/>
    </row>
    <row r="23" spans="1:10 16384:16384" x14ac:dyDescent="0.25">
      <c r="A23" s="253"/>
      <c r="B23" s="254"/>
      <c r="C23" s="254"/>
      <c r="D23" s="254"/>
      <c r="E23" s="254"/>
      <c r="F23" s="254"/>
      <c r="G23" s="254"/>
      <c r="H23" s="254"/>
      <c r="I23" s="254"/>
      <c r="J23" s="255"/>
      <c r="XFD23" s="1"/>
    </row>
    <row r="24" spans="1:10 16384:16384" ht="107.25" customHeight="1" x14ac:dyDescent="0.25">
      <c r="A24" s="262" t="s">
        <v>457</v>
      </c>
      <c r="B24" s="263"/>
      <c r="C24" s="263"/>
      <c r="D24" s="263"/>
      <c r="E24" s="263"/>
      <c r="F24" s="263"/>
      <c r="G24" s="263"/>
      <c r="H24" s="263"/>
      <c r="I24" s="263"/>
      <c r="J24" s="264"/>
      <c r="XFD24" s="1"/>
    </row>
    <row r="25" spans="1:10 16384:16384" x14ac:dyDescent="0.25">
      <c r="A25" s="253"/>
      <c r="B25" s="254"/>
      <c r="C25" s="254"/>
      <c r="D25" s="254"/>
      <c r="E25" s="254"/>
      <c r="F25" s="254"/>
      <c r="G25" s="254"/>
      <c r="H25" s="254"/>
      <c r="I25" s="254"/>
      <c r="J25" s="255"/>
      <c r="XFD25" s="1"/>
    </row>
    <row r="26" spans="1:10 16384:16384" x14ac:dyDescent="0.25">
      <c r="A26" s="253" t="s">
        <v>458</v>
      </c>
      <c r="B26" s="254"/>
      <c r="C26" s="254"/>
      <c r="D26" s="254"/>
      <c r="E26" s="254"/>
      <c r="F26" s="254"/>
      <c r="G26" s="254"/>
      <c r="H26" s="254"/>
      <c r="I26" s="254"/>
      <c r="J26" s="255"/>
      <c r="XFD26" s="1"/>
    </row>
    <row r="27" spans="1:10 16384:16384" x14ac:dyDescent="0.25">
      <c r="A27" s="238" t="s">
        <v>459</v>
      </c>
      <c r="B27" s="239"/>
      <c r="C27" s="239"/>
      <c r="D27" s="239"/>
      <c r="E27" s="239"/>
      <c r="F27" s="239"/>
      <c r="G27" s="239"/>
      <c r="H27" s="239"/>
      <c r="I27" s="239"/>
      <c r="J27" s="240"/>
      <c r="XFD27" s="1"/>
    </row>
    <row r="28" spans="1:10 16384:16384" x14ac:dyDescent="0.25">
      <c r="A28" s="282"/>
      <c r="B28" s="283"/>
      <c r="C28" s="283"/>
      <c r="D28" s="283"/>
      <c r="E28" s="283"/>
      <c r="F28" s="283"/>
      <c r="G28" s="283"/>
      <c r="H28" s="283"/>
      <c r="I28" s="283"/>
      <c r="J28" s="284"/>
      <c r="XFD28" s="1"/>
    </row>
    <row r="29" spans="1:10 16384:16384" x14ac:dyDescent="0.25">
      <c r="A29" s="238" t="s">
        <v>460</v>
      </c>
      <c r="B29" s="239"/>
      <c r="C29" s="239"/>
      <c r="D29" s="239"/>
      <c r="E29" s="239"/>
      <c r="F29" s="239"/>
      <c r="G29" s="239"/>
      <c r="H29" s="239"/>
      <c r="I29" s="239"/>
      <c r="J29" s="240"/>
      <c r="XFD29" s="1"/>
    </row>
    <row r="30" spans="1:10 16384:16384" x14ac:dyDescent="0.25">
      <c r="A30" s="253"/>
      <c r="B30" s="254"/>
      <c r="C30" s="254"/>
      <c r="D30" s="254"/>
      <c r="E30" s="254"/>
      <c r="F30" s="254"/>
      <c r="G30" s="254"/>
      <c r="H30" s="254"/>
      <c r="I30" s="254"/>
      <c r="J30" s="255"/>
      <c r="XFD30" s="1"/>
    </row>
    <row r="31" spans="1:10 16384:16384" x14ac:dyDescent="0.25">
      <c r="A31" s="158"/>
      <c r="J31" s="159"/>
      <c r="XFD31" s="1"/>
    </row>
    <row r="32" spans="1:10 16384:16384" ht="29.25" customHeight="1" x14ac:dyDescent="0.25">
      <c r="A32" s="277" t="s">
        <v>461</v>
      </c>
      <c r="B32" s="278"/>
      <c r="C32" s="278"/>
      <c r="D32" s="278"/>
      <c r="E32" s="278"/>
      <c r="F32" s="278"/>
      <c r="G32" s="278"/>
      <c r="H32" s="278"/>
      <c r="I32" s="278"/>
      <c r="J32" s="279"/>
      <c r="XFD32" s="1"/>
    </row>
    <row r="33" spans="1:21 16384:16384" x14ac:dyDescent="0.25">
      <c r="A33" s="158"/>
      <c r="J33" s="159"/>
      <c r="XFD33" s="1"/>
    </row>
    <row r="34" spans="1:21 16384:16384" ht="32.1" customHeight="1" x14ac:dyDescent="0.25">
      <c r="A34" s="274" t="s">
        <v>462</v>
      </c>
      <c r="B34" s="275"/>
      <c r="C34" s="275"/>
      <c r="D34" s="275"/>
      <c r="E34" s="275"/>
      <c r="F34" s="275"/>
      <c r="G34" s="275"/>
      <c r="H34" s="275"/>
      <c r="I34" s="275"/>
      <c r="J34" s="276"/>
      <c r="P34" s="2"/>
      <c r="Q34" s="2"/>
      <c r="R34" s="2"/>
      <c r="S34" s="2"/>
      <c r="T34" s="2"/>
      <c r="U34" s="2"/>
    </row>
    <row r="35" spans="1:21 16384:16384" x14ac:dyDescent="0.25">
      <c r="A35" s="97"/>
      <c r="B35" s="235"/>
      <c r="C35" s="235"/>
      <c r="D35" s="235"/>
      <c r="E35" s="235"/>
      <c r="F35" s="235"/>
      <c r="G35" s="235"/>
      <c r="H35" s="235"/>
      <c r="I35" s="235"/>
      <c r="J35" s="226"/>
      <c r="P35" s="2"/>
      <c r="Q35" s="2"/>
      <c r="R35" s="2"/>
      <c r="S35" s="2"/>
      <c r="T35" s="2"/>
      <c r="U35" s="2"/>
    </row>
    <row r="36" spans="1:21 16384:16384" ht="35.25" customHeight="1" x14ac:dyDescent="0.25">
      <c r="A36" s="274" t="s">
        <v>463</v>
      </c>
      <c r="B36" s="275"/>
      <c r="C36" s="275"/>
      <c r="D36" s="275"/>
      <c r="E36" s="275"/>
      <c r="F36" s="275"/>
      <c r="G36" s="275"/>
      <c r="H36" s="275"/>
      <c r="I36" s="275"/>
      <c r="J36" s="276"/>
      <c r="P36" s="2"/>
      <c r="Q36" s="2"/>
      <c r="R36" s="2"/>
      <c r="S36" s="2"/>
      <c r="T36" s="2"/>
      <c r="U36" s="2"/>
    </row>
    <row r="37" spans="1:21 16384:16384" ht="30" x14ac:dyDescent="0.25">
      <c r="A37" s="97"/>
      <c r="B37" s="235"/>
      <c r="C37" s="235"/>
      <c r="D37" s="235"/>
      <c r="E37" s="235"/>
      <c r="F37" s="235"/>
      <c r="G37" s="235"/>
      <c r="H37" s="235"/>
      <c r="I37" s="235"/>
      <c r="J37" s="116" t="s">
        <v>464</v>
      </c>
      <c r="P37" s="2"/>
      <c r="Q37" s="2"/>
      <c r="R37" s="2"/>
      <c r="S37" s="2"/>
      <c r="T37" s="2"/>
      <c r="U37" s="2"/>
    </row>
    <row r="38" spans="1:21 16384:16384" x14ac:dyDescent="0.25">
      <c r="A38" s="241" t="s">
        <v>465</v>
      </c>
      <c r="B38" s="242"/>
      <c r="C38" s="242"/>
      <c r="D38" s="242"/>
      <c r="E38" s="242"/>
      <c r="F38" s="242"/>
      <c r="G38" s="242"/>
      <c r="H38" s="242"/>
      <c r="I38" s="242"/>
      <c r="J38" s="243"/>
      <c r="XFD38" s="1"/>
    </row>
    <row r="39" spans="1:21 16384:16384" x14ac:dyDescent="0.25">
      <c r="A39" s="98"/>
      <c r="B39" s="236"/>
      <c r="C39" s="236"/>
      <c r="D39" s="236"/>
      <c r="E39" s="236"/>
      <c r="F39" s="236"/>
      <c r="G39" s="236"/>
      <c r="H39" s="236"/>
      <c r="I39" s="236"/>
      <c r="J39" s="99"/>
      <c r="P39" s="2"/>
      <c r="Q39" s="2"/>
      <c r="R39" s="2"/>
      <c r="S39" s="2"/>
      <c r="T39" s="2"/>
      <c r="U39" s="2"/>
    </row>
    <row r="40" spans="1:21 16384:16384" ht="29.25" customHeight="1" x14ac:dyDescent="0.25">
      <c r="A40" s="241" t="s">
        <v>466</v>
      </c>
      <c r="B40" s="242"/>
      <c r="C40" s="242"/>
      <c r="D40" s="242"/>
      <c r="E40" s="242"/>
      <c r="F40" s="242"/>
      <c r="G40" s="242"/>
      <c r="H40" s="242"/>
      <c r="I40" s="242"/>
      <c r="J40" s="243"/>
      <c r="P40" s="2"/>
      <c r="Q40" s="2"/>
      <c r="R40" s="2"/>
      <c r="S40" s="2"/>
      <c r="T40" s="2"/>
      <c r="U40" s="2"/>
    </row>
    <row r="41" spans="1:21 16384:16384" x14ac:dyDescent="0.25">
      <c r="A41" s="158"/>
      <c r="J41" s="159"/>
    </row>
    <row r="42" spans="1:21 16384:16384" ht="34.5" customHeight="1" x14ac:dyDescent="0.25">
      <c r="A42" s="250" t="s">
        <v>467</v>
      </c>
      <c r="B42" s="251"/>
      <c r="C42" s="251"/>
      <c r="D42" s="251"/>
      <c r="E42" s="251"/>
      <c r="F42" s="251"/>
      <c r="G42" s="251"/>
      <c r="H42" s="251"/>
      <c r="I42" s="251"/>
      <c r="J42" s="252"/>
    </row>
    <row r="43" spans="1:21 16384:16384" x14ac:dyDescent="0.25">
      <c r="A43" s="158"/>
      <c r="J43" s="159"/>
    </row>
    <row r="44" spans="1:21 16384:16384" x14ac:dyDescent="0.25">
      <c r="A44" s="158" t="s">
        <v>468</v>
      </c>
      <c r="J44" s="159"/>
    </row>
    <row r="45" spans="1:21 16384:16384" ht="36" customHeight="1" x14ac:dyDescent="0.25">
      <c r="A45" s="247" t="s">
        <v>469</v>
      </c>
      <c r="B45" s="248"/>
      <c r="C45" s="248"/>
      <c r="D45" s="248"/>
      <c r="E45" s="248"/>
      <c r="F45" s="248"/>
      <c r="G45" s="248"/>
      <c r="H45" s="248"/>
      <c r="I45" s="248"/>
      <c r="J45" s="249"/>
    </row>
    <row r="46" spans="1:21 16384:16384" ht="17.25" customHeight="1" x14ac:dyDescent="0.25">
      <c r="A46" s="224"/>
      <c r="B46" s="237"/>
      <c r="C46" s="237"/>
      <c r="D46" s="237"/>
      <c r="E46" s="237"/>
      <c r="F46" s="237"/>
      <c r="G46" s="237"/>
      <c r="H46" s="237"/>
      <c r="I46" s="237"/>
      <c r="J46" s="225"/>
    </row>
    <row r="47" spans="1:21 16384:16384" ht="24.75" customHeight="1" x14ac:dyDescent="0.25">
      <c r="A47" s="244" t="s">
        <v>470</v>
      </c>
      <c r="B47" s="245"/>
      <c r="C47" s="245"/>
      <c r="D47" s="245"/>
      <c r="E47" s="245"/>
      <c r="F47" s="245"/>
      <c r="G47" s="245"/>
      <c r="H47" s="245"/>
      <c r="I47" s="245"/>
      <c r="J47" s="246"/>
    </row>
    <row r="48" spans="1:21 16384:16384" x14ac:dyDescent="0.25">
      <c r="A48" s="158"/>
      <c r="J48" s="159"/>
    </row>
    <row r="49" spans="1:10" x14ac:dyDescent="0.25">
      <c r="A49" s="244" t="s">
        <v>471</v>
      </c>
      <c r="B49" s="245"/>
      <c r="C49" s="245"/>
      <c r="D49" s="245"/>
      <c r="E49" s="245"/>
      <c r="F49" s="245"/>
      <c r="G49" s="245"/>
      <c r="H49" s="245"/>
      <c r="I49" s="245"/>
      <c r="J49" s="246"/>
    </row>
    <row r="50" spans="1:10" x14ac:dyDescent="0.25">
      <c r="A50" s="158"/>
      <c r="J50" s="159"/>
    </row>
    <row r="51" spans="1:10" ht="32.25" customHeight="1" x14ac:dyDescent="0.25">
      <c r="A51" s="244" t="s">
        <v>472</v>
      </c>
      <c r="B51" s="245"/>
      <c r="C51" s="245"/>
      <c r="D51" s="245"/>
      <c r="E51" s="245"/>
      <c r="F51" s="245"/>
      <c r="G51" s="245"/>
      <c r="H51" s="245"/>
      <c r="I51" s="245"/>
      <c r="J51" s="246"/>
    </row>
    <row r="52" spans="1:10" x14ac:dyDescent="0.25">
      <c r="A52" s="158"/>
      <c r="J52" s="159"/>
    </row>
    <row r="53" spans="1:10" x14ac:dyDescent="0.25">
      <c r="A53" s="253" t="s">
        <v>458</v>
      </c>
      <c r="B53" s="254"/>
      <c r="C53" s="254"/>
      <c r="D53" s="254"/>
      <c r="E53" s="254"/>
      <c r="F53" s="254"/>
      <c r="G53" s="254"/>
      <c r="H53" s="254"/>
      <c r="I53" s="254"/>
      <c r="J53" s="255"/>
    </row>
    <row r="54" spans="1:10" x14ac:dyDescent="0.25">
      <c r="A54" s="238" t="s">
        <v>473</v>
      </c>
      <c r="B54" s="239"/>
      <c r="C54" s="239"/>
      <c r="D54" s="239"/>
      <c r="E54" s="239"/>
      <c r="F54" s="239"/>
      <c r="G54" s="239"/>
      <c r="H54" s="239"/>
      <c r="I54" s="239"/>
      <c r="J54" s="240"/>
    </row>
    <row r="55" spans="1:10" x14ac:dyDescent="0.25">
      <c r="A55" s="158"/>
      <c r="J55" s="159"/>
    </row>
    <row r="56" spans="1:10" x14ac:dyDescent="0.25">
      <c r="A56" s="238" t="s">
        <v>474</v>
      </c>
      <c r="B56" s="239"/>
      <c r="C56" s="239"/>
      <c r="D56" s="239"/>
      <c r="E56" s="239"/>
      <c r="F56" s="239"/>
      <c r="G56" s="239"/>
      <c r="H56" s="239"/>
      <c r="I56" s="239"/>
      <c r="J56" s="240"/>
    </row>
    <row r="57" spans="1:10" x14ac:dyDescent="0.25">
      <c r="A57" s="158"/>
      <c r="J57" s="159"/>
    </row>
    <row r="58" spans="1:10" ht="15.75" thickBot="1" x14ac:dyDescent="0.3">
      <c r="A58" s="100"/>
      <c r="B58" s="101"/>
      <c r="C58" s="101"/>
      <c r="D58" s="101"/>
      <c r="E58" s="101"/>
      <c r="F58" s="101"/>
      <c r="G58" s="101"/>
      <c r="H58" s="101"/>
      <c r="I58" s="101"/>
      <c r="J58" s="102"/>
    </row>
    <row r="59" spans="1:10" x14ac:dyDescent="0.25"/>
    <row r="60" spans="1:10" x14ac:dyDescent="0.25"/>
    <row r="61" spans="1:10" x14ac:dyDescent="0.25"/>
    <row r="62" spans="1:10" x14ac:dyDescent="0.25"/>
    <row r="63" spans="1:10" x14ac:dyDescent="0.25"/>
  </sheetData>
  <sheetProtection algorithmName="SHA-512" hashValue="Q/+gonBRy4hQzXxx4HTssws+1XRiiwMQo5tbAWt8wi8SPfi+MZZceTIcnYZaXkYnDi34XOmWKCHL5cbechSldw==" saltValue="wZesXu0UhIGpetSoatEQ6A==" spinCount="100000" sheet="1" objects="1" scenarios="1"/>
  <mergeCells count="34">
    <mergeCell ref="A36:J36"/>
    <mergeCell ref="A38:J38"/>
    <mergeCell ref="A32:J32"/>
    <mergeCell ref="A34:J34"/>
    <mergeCell ref="A22:J22"/>
    <mergeCell ref="A23:J23"/>
    <mergeCell ref="A24:J24"/>
    <mergeCell ref="A25:J25"/>
    <mergeCell ref="A26:J26"/>
    <mergeCell ref="A27:J27"/>
    <mergeCell ref="A28:J28"/>
    <mergeCell ref="A30:J30"/>
    <mergeCell ref="A29:J29"/>
    <mergeCell ref="A15:J15"/>
    <mergeCell ref="A19:J19"/>
    <mergeCell ref="A21:J21"/>
    <mergeCell ref="A17:J17"/>
    <mergeCell ref="A20:J20"/>
    <mergeCell ref="A16:J16"/>
    <mergeCell ref="A10:J10"/>
    <mergeCell ref="A11:J11"/>
    <mergeCell ref="A13:J13"/>
    <mergeCell ref="A1:J1"/>
    <mergeCell ref="C3:I3"/>
    <mergeCell ref="A12:J12"/>
    <mergeCell ref="A56:J56"/>
    <mergeCell ref="A54:J54"/>
    <mergeCell ref="A40:J40"/>
    <mergeCell ref="A49:J49"/>
    <mergeCell ref="A51:J51"/>
    <mergeCell ref="A45:J45"/>
    <mergeCell ref="A47:J47"/>
    <mergeCell ref="A42:J42"/>
    <mergeCell ref="A53:J53"/>
  </mergeCells>
  <hyperlinks>
    <hyperlink ref="A7" location="'Résumé des options ECF'!A1" display="Résumé des options d'ECF" xr:uid="{FB5E58A2-437A-433F-98FA-2AFBEC36876B}"/>
    <hyperlink ref="A8" location="'Modèle spécifié d''ECF'!A1" display="Modèle spécifié d'ECF" xr:uid="{9885F21A-FE5C-4FC8-8D63-886C394CA154}"/>
    <hyperlink ref="A9" location="'Prix et modèle des ECF '!A1" display="Prix et modèle des ECF " xr:uid="{909E9ECE-F1E4-4AD3-82E2-36A0723AB169}"/>
    <hyperlink ref="J37" r:id="rId1" xr:uid="{112D417F-22AE-43DE-A851-E1BFA6B0375D}"/>
  </hyperlinks>
  <pageMargins left="0.7" right="0.7" top="0.75" bottom="0.75" header="0.3" footer="0.3"/>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2:L36"/>
  <sheetViews>
    <sheetView showGridLines="0" topLeftCell="A10" workbookViewId="0">
      <selection activeCell="D14" sqref="D14"/>
    </sheetView>
  </sheetViews>
  <sheetFormatPr defaultRowHeight="15" x14ac:dyDescent="0.25"/>
  <cols>
    <col min="1" max="1" width="26.5703125" customWidth="1"/>
    <col min="2" max="2" width="18.7109375" customWidth="1"/>
    <col min="3" max="3" width="19.5703125" customWidth="1"/>
    <col min="4" max="4" width="19.85546875" customWidth="1"/>
    <col min="5" max="5" width="24.85546875" customWidth="1"/>
    <col min="8" max="8" width="21.85546875" customWidth="1"/>
    <col min="9" max="9" width="17.5703125" customWidth="1"/>
  </cols>
  <sheetData>
    <row r="2" spans="1:12" ht="28.5" x14ac:dyDescent="0.45">
      <c r="A2" s="87" t="s">
        <v>409</v>
      </c>
    </row>
    <row r="3" spans="1:12" ht="15" customHeight="1" x14ac:dyDescent="0.25">
      <c r="A3" s="285" t="s">
        <v>410</v>
      </c>
      <c r="B3" s="285"/>
      <c r="C3" s="285"/>
      <c r="D3" s="285"/>
      <c r="E3" s="285"/>
      <c r="F3" s="285"/>
      <c r="G3" s="285"/>
      <c r="H3" s="285"/>
      <c r="I3" s="285"/>
      <c r="J3" s="285"/>
      <c r="K3" s="285"/>
      <c r="L3" s="285"/>
    </row>
    <row r="4" spans="1:12" x14ac:dyDescent="0.25">
      <c r="A4" s="285"/>
      <c r="B4" s="285"/>
      <c r="C4" s="285"/>
      <c r="D4" s="285"/>
      <c r="E4" s="285"/>
      <c r="F4" s="285"/>
      <c r="G4" s="285"/>
      <c r="H4" s="285"/>
      <c r="I4" s="285"/>
      <c r="J4" s="285"/>
      <c r="K4" s="285"/>
      <c r="L4" s="285"/>
    </row>
    <row r="5" spans="1:12" x14ac:dyDescent="0.25">
      <c r="A5" s="285"/>
      <c r="B5" s="285"/>
      <c r="C5" s="285"/>
      <c r="D5" s="285"/>
      <c r="E5" s="285"/>
      <c r="F5" s="285"/>
      <c r="G5" s="285"/>
      <c r="H5" s="285"/>
      <c r="I5" s="285"/>
      <c r="J5" s="285"/>
      <c r="K5" s="285"/>
      <c r="L5" s="285"/>
    </row>
    <row r="6" spans="1:12" ht="30" customHeight="1" x14ac:dyDescent="0.25">
      <c r="A6" s="289" t="s">
        <v>411</v>
      </c>
      <c r="B6" s="289"/>
      <c r="C6" s="289"/>
      <c r="D6" s="289"/>
      <c r="E6" s="289"/>
      <c r="F6" s="289"/>
      <c r="G6" s="289"/>
      <c r="H6" s="289"/>
      <c r="I6" s="289"/>
      <c r="J6" s="289"/>
      <c r="K6" s="289"/>
      <c r="L6" s="289"/>
    </row>
    <row r="7" spans="1:12" x14ac:dyDescent="0.25">
      <c r="A7" s="227"/>
      <c r="B7" s="227"/>
      <c r="C7" s="227"/>
      <c r="D7" s="227"/>
      <c r="E7" s="227"/>
      <c r="F7" s="227"/>
      <c r="G7" s="227"/>
      <c r="H7" s="227"/>
      <c r="I7" s="227"/>
      <c r="J7" s="227"/>
      <c r="K7" s="227"/>
      <c r="L7" s="227"/>
    </row>
    <row r="8" spans="1:12" ht="21" x14ac:dyDescent="0.25">
      <c r="A8" s="91" t="s">
        <v>412</v>
      </c>
      <c r="B8" s="92"/>
      <c r="C8" s="92"/>
      <c r="D8" s="92"/>
      <c r="E8" s="227"/>
      <c r="F8" s="227"/>
      <c r="G8" s="227"/>
      <c r="H8" s="227"/>
      <c r="I8" s="227"/>
      <c r="J8" s="227"/>
      <c r="K8" s="227"/>
      <c r="L8" s="227"/>
    </row>
    <row r="9" spans="1:12" ht="21" x14ac:dyDescent="0.25">
      <c r="A9" s="91"/>
      <c r="B9" s="92"/>
      <c r="C9" s="92"/>
      <c r="D9" s="92"/>
      <c r="E9" s="162"/>
      <c r="F9" s="162"/>
      <c r="G9" s="162"/>
      <c r="H9" s="162"/>
      <c r="I9" s="162"/>
      <c r="J9" s="162"/>
      <c r="K9" s="162"/>
      <c r="L9" s="162"/>
    </row>
    <row r="10" spans="1:12" ht="15.75" thickBot="1" x14ac:dyDescent="0.3"/>
    <row r="11" spans="1:12" ht="36" customHeight="1" x14ac:dyDescent="0.25">
      <c r="A11" s="88"/>
      <c r="B11" s="107" t="s">
        <v>0</v>
      </c>
      <c r="C11" s="89" t="s">
        <v>1</v>
      </c>
      <c r="D11" s="93" t="s">
        <v>2</v>
      </c>
      <c r="E11" s="108" t="s">
        <v>413</v>
      </c>
    </row>
    <row r="12" spans="1:12" ht="45" x14ac:dyDescent="0.25">
      <c r="A12" s="139" t="s">
        <v>418</v>
      </c>
      <c r="B12" s="86">
        <f ca="1">SUM('Modèle spécifié d''ECF'!$J$4:$J$20)-SUMIF('Modèle spécifié d''ECF'!$AB$4:$AB$36,"_4.",'Modèle spécifié d''ECF'!$J$4:$J$20)-SUMIF('Modèle spécifié d''ECF'!$AB$4:$AB$36,"_5.",'Modèle spécifié d''ECF'!$J$4:$J$20)</f>
        <v>0</v>
      </c>
      <c r="C12" s="86">
        <f ca="1">SUM('Modèle spécifié d''ECF'!$P$4:$P$20)-SUMIF('Modèle spécifié d''ECF'!$AB$4:$AB$36,"_4.",'Modèle spécifié d''ECF'!$P$4:$P$20)-SUMIF('Modèle spécifié d''ECF'!$AB$4:$AB$36,"_5.",'Modèle spécifié d''ECF'!$P$4:$P$20)</f>
        <v>0</v>
      </c>
      <c r="D12" s="86">
        <f ca="1">SUM('Modèle spécifié d''ECF'!$V$4:$V$20)-SUMIF('Modèle spécifié d''ECF'!$AB$4:$AB$36,"_4.",'Modèle spécifié d''ECF'!$V$4:$V$20)-SUMIF('Modèle spécifié d''ECF'!$AB$4:$AB$36,"_5.",'Modèle spécifié d''ECF'!$V$4:$V$20)</f>
        <v>0</v>
      </c>
      <c r="E12" s="286"/>
    </row>
    <row r="13" spans="1:12" ht="39.75" customHeight="1" x14ac:dyDescent="0.25">
      <c r="A13" s="147" t="s">
        <v>414</v>
      </c>
      <c r="B13" s="146">
        <f>SUMIF('Modèle spécifié d''ECF'!$AB$4:$AB$36,"_5.",'Modèle spécifié d''ECF'!$J$4:$J$36)</f>
        <v>0</v>
      </c>
      <c r="C13" s="146">
        <f>SUMIF('Modèle spécifié d''ECF'!$AB$4:$AB$36,"_5.",'Modèle spécifié d''ECF'!$P$4:$P$36)</f>
        <v>0</v>
      </c>
      <c r="D13" s="146">
        <f>SUMIF('Modèle spécifié d''ECF'!$AB$4:$AB$36,"_5.",'Modèle spécifié d''ECF'!$V$4:$V$36)</f>
        <v>0</v>
      </c>
      <c r="E13" s="287"/>
    </row>
    <row r="14" spans="1:12" ht="39.75" customHeight="1" x14ac:dyDescent="0.25">
      <c r="A14" s="147" t="s">
        <v>415</v>
      </c>
      <c r="B14" s="146">
        <f>SUMIF('Modèle spécifié d''ECF'!$AB$4:$AB$36,"_4.",'Modèle spécifié d''ECF'!$J$4:$J$36)</f>
        <v>0</v>
      </c>
      <c r="C14" s="146">
        <f>SUMIF('Modèle spécifié d''ECF'!$AB$4:$AB$36,"_4.",'Modèle spécifié d''ECF'!$P$4:$P$36)</f>
        <v>0</v>
      </c>
      <c r="D14" s="146">
        <f>SUMIF('Modèle spécifié d''ECF'!$AB$4:$AB$36,"_4.",'Modèle spécifié d''ECF'!$V$4:$V$36)</f>
        <v>0</v>
      </c>
      <c r="E14" s="287"/>
    </row>
    <row r="15" spans="1:12" ht="39.75" customHeight="1" x14ac:dyDescent="0.25">
      <c r="A15" s="147" t="s">
        <v>416</v>
      </c>
      <c r="B15" s="150">
        <f>'Modèle spécifié d''ECF'!J54+'Modèle spécifié d''ECF'!J56</f>
        <v>0</v>
      </c>
      <c r="C15" s="150">
        <f>'Modèle spécifié d''ECF'!P54+'Modèle spécifié d''ECF'!P56</f>
        <v>0</v>
      </c>
      <c r="D15" s="150">
        <f>'Modèle spécifié d''ECF'!V54+'Modèle spécifié d''ECF'!V56</f>
        <v>0</v>
      </c>
      <c r="E15" s="287"/>
    </row>
    <row r="16" spans="1:12" ht="31.5" customHeight="1" thickBot="1" x14ac:dyDescent="0.3">
      <c r="A16" s="232" t="s">
        <v>417</v>
      </c>
      <c r="B16" s="149">
        <f>'Modèle spécifié d''ECF'!J58</f>
        <v>0</v>
      </c>
      <c r="C16" s="149">
        <f>'Modèle spécifié d''ECF'!P58</f>
        <v>0</v>
      </c>
      <c r="D16" s="149">
        <f>'Modèle spécifié d''ECF'!V58</f>
        <v>0</v>
      </c>
      <c r="E16" s="288"/>
    </row>
    <row r="17" spans="1:10" x14ac:dyDescent="0.25">
      <c r="B17" s="90"/>
      <c r="C17" s="90"/>
      <c r="D17" s="90"/>
    </row>
    <row r="18" spans="1:10" x14ac:dyDescent="0.25">
      <c r="A18" s="148" t="s">
        <v>419</v>
      </c>
    </row>
    <row r="19" spans="1:10" x14ac:dyDescent="0.25">
      <c r="A19" s="148" t="s">
        <v>420</v>
      </c>
    </row>
    <row r="20" spans="1:10" x14ac:dyDescent="0.25">
      <c r="A20" s="128"/>
    </row>
    <row r="21" spans="1:10" x14ac:dyDescent="0.25">
      <c r="A21" s="128"/>
    </row>
    <row r="22" spans="1:10" hidden="1" x14ac:dyDescent="0.25">
      <c r="A22" s="290" t="s">
        <v>3</v>
      </c>
      <c r="B22" s="291"/>
      <c r="C22" s="291"/>
      <c r="D22" s="291"/>
      <c r="E22" s="291"/>
      <c r="F22" s="291"/>
      <c r="G22" s="291"/>
      <c r="H22" s="291"/>
      <c r="I22" s="291"/>
      <c r="J22" s="292"/>
    </row>
    <row r="23" spans="1:10" ht="15.75" hidden="1" thickBot="1" x14ac:dyDescent="0.3">
      <c r="A23" s="293"/>
      <c r="B23" s="294"/>
      <c r="C23" s="294"/>
      <c r="D23" s="294"/>
      <c r="E23" s="294"/>
      <c r="F23" s="294"/>
      <c r="G23" s="294"/>
      <c r="H23" s="294"/>
      <c r="I23" s="294"/>
      <c r="J23" s="295"/>
    </row>
    <row r="24" spans="1:10" hidden="1" x14ac:dyDescent="0.25">
      <c r="A24" s="296"/>
      <c r="B24" s="297"/>
      <c r="C24" s="297"/>
      <c r="D24" s="297"/>
      <c r="E24" s="297"/>
      <c r="F24" s="297"/>
      <c r="G24" s="297"/>
      <c r="H24" s="297"/>
      <c r="I24" s="297"/>
      <c r="J24" s="298"/>
    </row>
    <row r="25" spans="1:10" hidden="1" x14ac:dyDescent="0.25">
      <c r="A25" s="299"/>
      <c r="B25" s="300"/>
      <c r="C25" s="300"/>
      <c r="D25" s="300"/>
      <c r="E25" s="300"/>
      <c r="F25" s="300"/>
      <c r="G25" s="300"/>
      <c r="H25" s="300"/>
      <c r="I25" s="300"/>
      <c r="J25" s="301"/>
    </row>
    <row r="26" spans="1:10" hidden="1" x14ac:dyDescent="0.25">
      <c r="A26" s="299"/>
      <c r="B26" s="300"/>
      <c r="C26" s="300"/>
      <c r="D26" s="300"/>
      <c r="E26" s="300"/>
      <c r="F26" s="300"/>
      <c r="G26" s="300"/>
      <c r="H26" s="300"/>
      <c r="I26" s="300"/>
      <c r="J26" s="301"/>
    </row>
    <row r="27" spans="1:10" hidden="1" x14ac:dyDescent="0.25">
      <c r="A27" s="299"/>
      <c r="B27" s="300"/>
      <c r="C27" s="300"/>
      <c r="D27" s="300"/>
      <c r="E27" s="300"/>
      <c r="F27" s="300"/>
      <c r="G27" s="300"/>
      <c r="H27" s="300"/>
      <c r="I27" s="300"/>
      <c r="J27" s="301"/>
    </row>
    <row r="28" spans="1:10" hidden="1" x14ac:dyDescent="0.25">
      <c r="A28" s="299"/>
      <c r="B28" s="300"/>
      <c r="C28" s="300"/>
      <c r="D28" s="300"/>
      <c r="E28" s="300"/>
      <c r="F28" s="300"/>
      <c r="G28" s="300"/>
      <c r="H28" s="300"/>
      <c r="I28" s="300"/>
      <c r="J28" s="301"/>
    </row>
    <row r="29" spans="1:10" hidden="1" x14ac:dyDescent="0.25">
      <c r="A29" s="299"/>
      <c r="B29" s="300"/>
      <c r="C29" s="300"/>
      <c r="D29" s="300"/>
      <c r="E29" s="300"/>
      <c r="F29" s="300"/>
      <c r="G29" s="300"/>
      <c r="H29" s="300"/>
      <c r="I29" s="300"/>
      <c r="J29" s="301"/>
    </row>
    <row r="30" spans="1:10" hidden="1" x14ac:dyDescent="0.25">
      <c r="A30" s="299"/>
      <c r="B30" s="300"/>
      <c r="C30" s="300"/>
      <c r="D30" s="300"/>
      <c r="E30" s="300"/>
      <c r="F30" s="300"/>
      <c r="G30" s="300"/>
      <c r="H30" s="300"/>
      <c r="I30" s="300"/>
      <c r="J30" s="301"/>
    </row>
    <row r="31" spans="1:10" hidden="1" x14ac:dyDescent="0.25">
      <c r="A31" s="299"/>
      <c r="B31" s="300"/>
      <c r="C31" s="300"/>
      <c r="D31" s="300"/>
      <c r="E31" s="300"/>
      <c r="F31" s="300"/>
      <c r="G31" s="300"/>
      <c r="H31" s="300"/>
      <c r="I31" s="300"/>
      <c r="J31" s="301"/>
    </row>
    <row r="32" spans="1:10" hidden="1" x14ac:dyDescent="0.25">
      <c r="A32" s="299"/>
      <c r="B32" s="300"/>
      <c r="C32" s="300"/>
      <c r="D32" s="300"/>
      <c r="E32" s="300"/>
      <c r="F32" s="300"/>
      <c r="G32" s="300"/>
      <c r="H32" s="300"/>
      <c r="I32" s="300"/>
      <c r="J32" s="301"/>
    </row>
    <row r="33" spans="1:10" hidden="1" x14ac:dyDescent="0.25">
      <c r="A33" s="299"/>
      <c r="B33" s="300"/>
      <c r="C33" s="300"/>
      <c r="D33" s="300"/>
      <c r="E33" s="300"/>
      <c r="F33" s="300"/>
      <c r="G33" s="300"/>
      <c r="H33" s="300"/>
      <c r="I33" s="300"/>
      <c r="J33" s="301"/>
    </row>
    <row r="34" spans="1:10" hidden="1" x14ac:dyDescent="0.25">
      <c r="A34" s="299"/>
      <c r="B34" s="300"/>
      <c r="C34" s="300"/>
      <c r="D34" s="300"/>
      <c r="E34" s="300"/>
      <c r="F34" s="300"/>
      <c r="G34" s="300"/>
      <c r="H34" s="300"/>
      <c r="I34" s="300"/>
      <c r="J34" s="301"/>
    </row>
    <row r="35" spans="1:10" hidden="1" x14ac:dyDescent="0.25">
      <c r="A35" s="299"/>
      <c r="B35" s="300"/>
      <c r="C35" s="300"/>
      <c r="D35" s="300"/>
      <c r="E35" s="300"/>
      <c r="F35" s="300"/>
      <c r="G35" s="300"/>
      <c r="H35" s="300"/>
      <c r="I35" s="300"/>
      <c r="J35" s="301"/>
    </row>
    <row r="36" spans="1:10" ht="15.75" hidden="1" thickBot="1" x14ac:dyDescent="0.3">
      <c r="A36" s="302"/>
      <c r="B36" s="303"/>
      <c r="C36" s="303"/>
      <c r="D36" s="303"/>
      <c r="E36" s="303"/>
      <c r="F36" s="303"/>
      <c r="G36" s="303"/>
      <c r="H36" s="303"/>
      <c r="I36" s="303"/>
      <c r="J36" s="304"/>
    </row>
  </sheetData>
  <sheetProtection algorithmName="SHA-512" hashValue="7rPLSxH6TADzx3J1OXdOmk+6VbACFsKa70OKCu4Dp1//A5MnpKqfjw/UpK8ClnzN75htdI23EL9UYG8CaLna6A==" saltValue="f05PZ3q74vUATgVs70/t9g==" spinCount="100000" sheet="1" objects="1" scenarios="1"/>
  <mergeCells count="5">
    <mergeCell ref="A3:L5"/>
    <mergeCell ref="E12:E16"/>
    <mergeCell ref="A6:L6"/>
    <mergeCell ref="A22:J23"/>
    <mergeCell ref="A24:J36"/>
  </mergeCells>
  <dataValidations count="1">
    <dataValidation type="list" allowBlank="1" showInputMessage="1" showErrorMessage="1" promptTitle="Select final option" prompt="Select final option" sqref="E12:E16" xr:uid="{00000000-0002-0000-0100-000000000000}">
      <formula1>$B$11:$D$11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CH58"/>
  <sheetViews>
    <sheetView showGridLines="0" topLeftCell="A10" zoomScaleNormal="100" zoomScaleSheetLayoutView="100" workbookViewId="0">
      <selection activeCell="B15" sqref="B15"/>
    </sheetView>
  </sheetViews>
  <sheetFormatPr defaultColWidth="9.140625" defaultRowHeight="27" customHeight="1" x14ac:dyDescent="0.25"/>
  <cols>
    <col min="1" max="1" width="30.42578125" customWidth="1"/>
    <col min="2" max="2" width="18.28515625" customWidth="1"/>
    <col min="3" max="3" width="28" customWidth="1"/>
    <col min="4" max="4" width="15.42578125" customWidth="1"/>
    <col min="5" max="5" width="15.42578125" style="33" customWidth="1"/>
    <col min="6" max="6" width="11.42578125" style="33" bestFit="1" customWidth="1"/>
    <col min="7" max="7" width="13.42578125" style="33" bestFit="1" customWidth="1"/>
    <col min="8" max="8" width="21.42578125" style="33" bestFit="1" customWidth="1"/>
    <col min="9" max="9" width="14.28515625" style="33" bestFit="1" customWidth="1"/>
    <col min="10" max="11" width="12.42578125" style="33" customWidth="1"/>
    <col min="12" max="12" width="21.5703125" style="33" customWidth="1"/>
    <col min="13" max="13" width="13.7109375" style="33" customWidth="1"/>
    <col min="14" max="14" width="16.140625" style="33" customWidth="1"/>
    <col min="15" max="16" width="15.85546875" style="33" customWidth="1"/>
    <col min="17" max="17" width="15.140625" style="33" customWidth="1"/>
    <col min="18" max="18" width="20.7109375" style="33" customWidth="1"/>
    <col min="19" max="19" width="12.42578125" style="33" customWidth="1"/>
    <col min="20" max="20" width="15.42578125" style="33" customWidth="1"/>
    <col min="21" max="21" width="14.42578125" style="37" customWidth="1"/>
    <col min="22" max="22" width="14.42578125" style="59" customWidth="1"/>
    <col min="23" max="23" width="14.42578125" style="37" customWidth="1"/>
    <col min="28" max="28" width="9.140625" hidden="1" customWidth="1"/>
  </cols>
  <sheetData>
    <row r="1" spans="1:28" s="68" customFormat="1" ht="16.5" customHeight="1" thickTop="1" thickBot="1" x14ac:dyDescent="0.3">
      <c r="A1" s="65"/>
      <c r="B1" s="66"/>
      <c r="C1" s="66"/>
      <c r="D1" s="66"/>
      <c r="E1" s="66"/>
      <c r="F1" s="69"/>
      <c r="G1" s="69"/>
      <c r="H1" s="69"/>
      <c r="I1" s="69"/>
      <c r="J1" s="316" t="s">
        <v>4</v>
      </c>
      <c r="K1" s="317"/>
      <c r="L1" s="305" t="s">
        <v>1</v>
      </c>
      <c r="M1" s="306"/>
      <c r="N1" s="306"/>
      <c r="O1" s="306"/>
      <c r="P1" s="307"/>
      <c r="Q1" s="307"/>
      <c r="R1" s="308" t="s">
        <v>2</v>
      </c>
      <c r="S1" s="308"/>
      <c r="T1" s="308"/>
      <c r="U1" s="308"/>
      <c r="V1" s="308"/>
      <c r="W1" s="308"/>
    </row>
    <row r="2" spans="1:28" s="6" customFormat="1" ht="64.5" customHeight="1" thickTop="1" x14ac:dyDescent="0.25">
      <c r="A2" s="7" t="s">
        <v>333</v>
      </c>
      <c r="B2" s="30" t="s">
        <v>320</v>
      </c>
      <c r="C2" s="7" t="s">
        <v>322</v>
      </c>
      <c r="D2" s="7" t="s">
        <v>321</v>
      </c>
      <c r="E2" s="30" t="s">
        <v>323</v>
      </c>
      <c r="F2" s="75" t="s">
        <v>324</v>
      </c>
      <c r="G2" s="75" t="s">
        <v>326</v>
      </c>
      <c r="H2" s="75" t="s">
        <v>335</v>
      </c>
      <c r="I2" s="76" t="s">
        <v>336</v>
      </c>
      <c r="J2" s="77" t="s">
        <v>338</v>
      </c>
      <c r="K2" s="78" t="s">
        <v>339</v>
      </c>
      <c r="L2" s="192" t="s">
        <v>322</v>
      </c>
      <c r="M2" s="189" t="s">
        <v>321</v>
      </c>
      <c r="N2" s="190" t="s">
        <v>326</v>
      </c>
      <c r="O2" s="191" t="s">
        <v>336</v>
      </c>
      <c r="P2" s="199" t="s">
        <v>338</v>
      </c>
      <c r="Q2" s="200" t="s">
        <v>339</v>
      </c>
      <c r="R2" s="197" t="s">
        <v>322</v>
      </c>
      <c r="S2" s="183" t="s">
        <v>321</v>
      </c>
      <c r="T2" s="184" t="s">
        <v>326</v>
      </c>
      <c r="U2" s="185" t="s">
        <v>336</v>
      </c>
      <c r="V2" s="203" t="s">
        <v>338</v>
      </c>
      <c r="W2" s="204" t="s">
        <v>339</v>
      </c>
    </row>
    <row r="3" spans="1:28" s="11" customFormat="1" ht="45" customHeight="1" x14ac:dyDescent="0.25">
      <c r="A3" s="9"/>
      <c r="B3" s="10" t="s">
        <v>334</v>
      </c>
      <c r="C3" s="10" t="s">
        <v>334</v>
      </c>
      <c r="D3" s="9"/>
      <c r="E3" s="31"/>
      <c r="F3" s="31"/>
      <c r="G3" s="31"/>
      <c r="H3" s="79" t="s">
        <v>337</v>
      </c>
      <c r="I3" s="80"/>
      <c r="J3" s="81" t="s">
        <v>340</v>
      </c>
      <c r="K3" s="194"/>
      <c r="L3" s="193" t="s">
        <v>334</v>
      </c>
      <c r="M3" s="189"/>
      <c r="N3" s="190"/>
      <c r="O3" s="196"/>
      <c r="P3" s="201" t="s">
        <v>340</v>
      </c>
      <c r="Q3" s="202"/>
      <c r="R3" s="198" t="s">
        <v>334</v>
      </c>
      <c r="S3" s="186"/>
      <c r="T3" s="187"/>
      <c r="U3" s="188"/>
      <c r="V3" s="206" t="s">
        <v>340</v>
      </c>
      <c r="W3" s="205"/>
    </row>
    <row r="4" spans="1:28" s="26" customFormat="1" ht="27" customHeight="1" x14ac:dyDescent="0.25">
      <c r="A4" s="41" t="s">
        <v>407</v>
      </c>
      <c r="B4" s="182"/>
      <c r="C4" s="42"/>
      <c r="D4" s="29" t="str">
        <f>IFERROR(INDEX('Prix et modèle des ECF '!$A$3:$O$236,MATCH('Modèle spécifié d''ECF'!$C4,'Prix et modèle des ECF '!$E$3:$E$236,0),MATCH('Modèle spécifié d''ECF'!D$2,'Prix et modèle des ECF '!$A$3:$O$3,0)),"")</f>
        <v/>
      </c>
      <c r="E4" s="32" t="str">
        <f>IFERROR(INDEX('Prix et modèle des ECF '!$A$3:$O$236,MATCH('Modèle spécifié d''ECF'!$C4,'Prix et modèle des ECF '!$E$3:$E$236,0),MATCH('Modèle spécifié d''ECF'!E$2,'Prix et modèle des ECF '!$A$3:$O$3,0)),"")</f>
        <v/>
      </c>
      <c r="F4" s="32" t="str">
        <f>IFERROR(INDEX('Prix et modèle des ECF '!$A$3:$O$236,MATCH('Modèle spécifié d''ECF'!$C4,'Prix et modèle des ECF '!$E$3:$E$236,0),MATCH('Modèle spécifié d''ECF'!F$2,'Prix et modèle des ECF '!$A$3:$O$3,0)),"")</f>
        <v/>
      </c>
      <c r="G4" s="117" t="str">
        <f>IFERROR(INDEX('Prix et modèle des ECF '!$A$3:$O$236,MATCH('Modèle spécifié d''ECF'!$C4,'Prix et modèle des ECF '!$E$3:$E$236,0),MATCH('Modèle spécifié d''ECF'!G$2,'Prix et modèle des ECF '!$A$3:$O$3,0)),"")</f>
        <v/>
      </c>
      <c r="H4" s="54"/>
      <c r="I4" s="106" t="str">
        <f>IF(ISERROR(IF(ISERROR(MATCH($A4,Reference_Dropdown1!$B$30:$B$42,0)),G4+$H4,G4)),"",IF(ISERROR(MATCH($A4,Reference_Dropdown1!$B$30:$B$42,0)),G4+$H4,"N/A"))</f>
        <v/>
      </c>
      <c r="J4" s="195"/>
      <c r="K4" s="219" t="str">
        <f>IFERROR(IF(I4="N/A",G4*J4,I4*J4),"")</f>
        <v/>
      </c>
      <c r="L4" s="208"/>
      <c r="M4" s="221" t="str">
        <f>IFERROR(INDEX('Prix et modèle des ECF '!$A$3:$O$236,MATCH('Modèle spécifié d''ECF'!$L4,'Prix et modèle des ECF '!$E$3:$E$236,0),MATCH('Modèle spécifié d''ECF'!M$2,'Prix et modèle des ECF '!$A$3:$O$3,0)),"")</f>
        <v/>
      </c>
      <c r="N4" s="169" t="str">
        <f>IFERROR(INDEX('Prix et modèle des ECF '!$A$3:$O$236,MATCH('Modèle spécifié d''ECF'!$L4,'Prix et modèle des ECF '!$E$3:$E$236,0),MATCH('Modèle spécifié d''ECF'!N$2,'Prix et modèle des ECF '!$A$3:$O$3,0)),"")</f>
        <v/>
      </c>
      <c r="O4" s="218" t="str">
        <f>IF(ISERROR(IF(ISERROR(MATCH($A4,Reference_Dropdown1!$B$30:$B$42,0)),N4+$H4,N4)),"",IF(ISERROR(MATCH($A4,Reference_Dropdown1!$B$30:$B$42,0)),N4+$H4,"N/A"))</f>
        <v/>
      </c>
      <c r="P4" s="195"/>
      <c r="Q4" s="219" t="str">
        <f>IFERROR(IF(O4="N/A",N4*$P4,O4*$P4),"")</f>
        <v/>
      </c>
      <c r="R4" s="208"/>
      <c r="S4" s="220" t="str">
        <f>IFERROR(INDEX('Prix et modèle des ECF '!$A$3:$O$236,MATCH('Modèle spécifié d''ECF'!$R4,'Prix et modèle des ECF '!$E$3:$E$236,0),MATCH('Modèle spécifié d''ECF'!S$2,'Prix et modèle des ECF '!$A$3:$O$3,0)),"")</f>
        <v/>
      </c>
      <c r="T4" s="117" t="str">
        <f>IFERROR(INDEX('Prix et modèle des ECF '!$A$3:$O$236,MATCH('Modèle spécifié d''ECF'!$R4,'Prix et modèle des ECF '!$E$3:$E$236,0),MATCH('Modèle spécifié d''ECF'!T$2,'Prix et modèle des ECF '!$A$3:$O$3,0)),"")</f>
        <v/>
      </c>
      <c r="U4" s="218" t="str">
        <f>IF(ISERROR(IF(ISERROR(MATCH($A4,Reference_Dropdown1!$B$30:$B$42,0)),T4+$H4,T4)),"",IF(ISERROR(MATCH($A4,Reference_Dropdown1!$B$30:$B$42,0)),T4+$H4,"N/A"))</f>
        <v/>
      </c>
      <c r="V4" s="195"/>
      <c r="W4" s="219" t="str">
        <f>IFERROR(IF(U4="N/A",T4*$V4,U4*$V4),"")</f>
        <v/>
      </c>
      <c r="AB4" s="26" t="str">
        <f>LEFT(A4,3)</f>
        <v>_1.</v>
      </c>
    </row>
    <row r="5" spans="1:28" s="26" customFormat="1" ht="27" customHeight="1" x14ac:dyDescent="0.25">
      <c r="A5" s="41" t="s">
        <v>407</v>
      </c>
      <c r="B5" s="182"/>
      <c r="C5" s="42"/>
      <c r="D5" s="29" t="str">
        <f>IFERROR(INDEX('Prix et modèle des ECF '!$A$3:$O$236,MATCH('Modèle spécifié d''ECF'!$C5,'Prix et modèle des ECF '!$E$3:$E$236,0),MATCH('Modèle spécifié d''ECF'!D$2,'Prix et modèle des ECF '!$A$3:$O$3,0)),"")</f>
        <v/>
      </c>
      <c r="E5" s="32" t="str">
        <f>IFERROR(INDEX('Prix et modèle des ECF '!$A$3:$O$236,MATCH('Modèle spécifié d''ECF'!$C5,'Prix et modèle des ECF '!$E$3:$E$236,0),MATCH('Modèle spécifié d''ECF'!E$2,'Prix et modèle des ECF '!$A$3:$O$3,0)),"")</f>
        <v/>
      </c>
      <c r="F5" s="32" t="str">
        <f>IFERROR(INDEX('Prix et modèle des ECF '!$A$3:$O$236,MATCH('Modèle spécifié d''ECF'!$C5,'Prix et modèle des ECF '!$E$3:$E$236,0),MATCH('Modèle spécifié d''ECF'!F$2,'Prix et modèle des ECF '!$A$3:$O$3,0)),"")</f>
        <v/>
      </c>
      <c r="G5" s="117" t="str">
        <f>IFERROR(INDEX('Prix et modèle des ECF '!$A$3:$O$236,MATCH('Modèle spécifié d''ECF'!$C5,'Prix et modèle des ECF '!$E$3:$E$236,0),MATCH('Modèle spécifié d''ECF'!G$2,'Prix et modèle des ECF '!$A$3:$O$3,0)),"")</f>
        <v/>
      </c>
      <c r="H5" s="54"/>
      <c r="I5" s="106" t="str">
        <f>IF(ISERROR(IF(ISERROR(MATCH($A5,Reference_Dropdown1!$B$30:$B$42,0)),G5+$H5,G5)),"",IF(ISERROR(MATCH($A5,Reference_Dropdown1!$B$30:$B$42,0)),G5+$H5,"N/A"))</f>
        <v/>
      </c>
      <c r="J5" s="195"/>
      <c r="K5" s="219" t="str">
        <f t="shared" ref="K5:K36" si="0">IFERROR(IF(I5="N/A",G5*J5,I5*J5),"")</f>
        <v/>
      </c>
      <c r="L5" s="208"/>
      <c r="M5" s="221" t="str">
        <f>IFERROR(INDEX('Prix et modèle des ECF '!$A$3:$O$236,MATCH('Modèle spécifié d''ECF'!$L5,'Prix et modèle des ECF '!$E$3:$E$236,0),MATCH('Modèle spécifié d''ECF'!M$2,'Prix et modèle des ECF '!$A$3:$O$3,0)),"")</f>
        <v/>
      </c>
      <c r="N5" s="169" t="str">
        <f>IFERROR(INDEX('Prix et modèle des ECF '!$A$3:$O$236,MATCH('Modèle spécifié d''ECF'!$L5,'Prix et modèle des ECF '!$E$3:$E$236,0),MATCH('Modèle spécifié d''ECF'!N$2,'Prix et modèle des ECF '!$A$3:$O$3,0)),"")</f>
        <v/>
      </c>
      <c r="O5" s="218" t="str">
        <f>IF(ISERROR(IF(ISERROR(MATCH($A5,Reference_Dropdown1!$B$30:$B$42,0)),N5+$H5,N5)),"",IF(ISERROR(MATCH($A5,Reference_Dropdown1!$B$30:$B$42,0)),N5+$H5,"N/A"))</f>
        <v/>
      </c>
      <c r="P5" s="195"/>
      <c r="Q5" s="219" t="str">
        <f t="shared" ref="Q5:Q36" si="1">IFERROR(IF(O5="N/A",N5*$P5,O5*$P5),"")</f>
        <v/>
      </c>
      <c r="R5" s="208"/>
      <c r="S5" s="220" t="str">
        <f>IFERROR(INDEX('Prix et modèle des ECF '!$A$3:$O$236,MATCH('Modèle spécifié d''ECF'!$R5,'Prix et modèle des ECF '!$E$3:$E$236,0),MATCH('Modèle spécifié d''ECF'!S$2,'Prix et modèle des ECF '!$A$3:$O$3,0)),"")</f>
        <v/>
      </c>
      <c r="T5" s="117" t="str">
        <f>IFERROR(INDEX('Prix et modèle des ECF '!$A$3:$O$236,MATCH('Modèle spécifié d''ECF'!$R5,'Prix et modèle des ECF '!$E$3:$E$236,0),MATCH('Modèle spécifié d''ECF'!T$2,'Prix et modèle des ECF '!$A$3:$O$3,0)),"")</f>
        <v/>
      </c>
      <c r="U5" s="218" t="str">
        <f>IF(ISERROR(IF(ISERROR(MATCH($A5,Reference_Dropdown1!$B$30:$B$42,0)),T5+$H5,T5)),"",IF(ISERROR(MATCH($A5,Reference_Dropdown1!$B$30:$B$42,0)),T5+$H5,"N/A"))</f>
        <v/>
      </c>
      <c r="V5" s="195"/>
      <c r="W5" s="219" t="str">
        <f t="shared" ref="W5:W36" si="2">IFERROR(IF(U5="N/A",T5*$V5,U5*$V5),"")</f>
        <v/>
      </c>
      <c r="AB5" s="26" t="str">
        <f t="shared" ref="AB5:AB36" si="3">LEFT(A5,3)</f>
        <v>_1.</v>
      </c>
    </row>
    <row r="6" spans="1:28" s="26" customFormat="1" ht="27" customHeight="1" x14ac:dyDescent="0.25">
      <c r="A6" s="41" t="s">
        <v>408</v>
      </c>
      <c r="B6" s="182"/>
      <c r="C6" s="42"/>
      <c r="D6" s="29" t="str">
        <f>IFERROR(INDEX('Prix et modèle des ECF '!$A$3:$O$236,MATCH('Modèle spécifié d''ECF'!$C6,'Prix et modèle des ECF '!$E$3:$E$236,0),MATCH('Modèle spécifié d''ECF'!D$2,'Prix et modèle des ECF '!$A$3:$O$3,0)),"")</f>
        <v/>
      </c>
      <c r="E6" s="32" t="str">
        <f>IFERROR(INDEX('Prix et modèle des ECF '!$A$3:$O$236,MATCH('Modèle spécifié d''ECF'!$C6,'Prix et modèle des ECF '!$E$3:$E$236,0),MATCH('Modèle spécifié d''ECF'!E$2,'Prix et modèle des ECF '!$A$3:$O$3,0)),"")</f>
        <v/>
      </c>
      <c r="F6" s="32" t="str">
        <f>IFERROR(INDEX('Prix et modèle des ECF '!$A$3:$O$236,MATCH('Modèle spécifié d''ECF'!$C6,'Prix et modèle des ECF '!$E$3:$E$236,0),MATCH('Modèle spécifié d''ECF'!F$2,'Prix et modèle des ECF '!$A$3:$O$3,0)),"")</f>
        <v/>
      </c>
      <c r="G6" s="117" t="str">
        <f>IFERROR(INDEX('Prix et modèle des ECF '!$A$3:$O$236,MATCH('Modèle spécifié d''ECF'!$C6,'Prix et modèle des ECF '!$E$3:$E$236,0),MATCH('Modèle spécifié d''ECF'!G$2,'Prix et modèle des ECF '!$A$3:$O$3,0)),"")</f>
        <v/>
      </c>
      <c r="H6" s="54"/>
      <c r="I6" s="106" t="str">
        <f>IF(ISERROR(IF(ISERROR(MATCH($A6,Reference_Dropdown1!$B$30:$B$42,0)),G6+$H6,G6)),"",IF(ISERROR(MATCH($A6,Reference_Dropdown1!$B$30:$B$42,0)),G6+$H6,"N/A"))</f>
        <v/>
      </c>
      <c r="J6" s="195"/>
      <c r="K6" s="219" t="str">
        <f t="shared" si="0"/>
        <v/>
      </c>
      <c r="L6" s="208"/>
      <c r="M6" s="221" t="str">
        <f>IFERROR(INDEX('Prix et modèle des ECF '!$A$3:$O$236,MATCH('Modèle spécifié d''ECF'!$L6,'Prix et modèle des ECF '!$E$3:$E$236,0),MATCH('Modèle spécifié d''ECF'!M$2,'Prix et modèle des ECF '!$A$3:$O$3,0)),"")</f>
        <v/>
      </c>
      <c r="N6" s="169" t="str">
        <f>IFERROR(INDEX('Prix et modèle des ECF '!$A$3:$O$236,MATCH('Modèle spécifié d''ECF'!$L6,'Prix et modèle des ECF '!$E$3:$E$236,0),MATCH('Modèle spécifié d''ECF'!N$2,'Prix et modèle des ECF '!$A$3:$O$3,0)),"")</f>
        <v/>
      </c>
      <c r="O6" s="218" t="str">
        <f>IF(ISERROR(IF(ISERROR(MATCH($A6,Reference_Dropdown1!$B$30:$B$42,0)),N6+$H6,N6)),"",IF(ISERROR(MATCH($A6,Reference_Dropdown1!$B$30:$B$42,0)),N6+$H6,"N/A"))</f>
        <v/>
      </c>
      <c r="P6" s="195"/>
      <c r="Q6" s="219" t="str">
        <f t="shared" si="1"/>
        <v/>
      </c>
      <c r="R6" s="208"/>
      <c r="S6" s="220" t="str">
        <f>IFERROR(INDEX('Prix et modèle des ECF '!$A$3:$O$236,MATCH('Modèle spécifié d''ECF'!$R6,'Prix et modèle des ECF '!$E$3:$E$236,0),MATCH('Modèle spécifié d''ECF'!S$2,'Prix et modèle des ECF '!$A$3:$O$3,0)),"")</f>
        <v/>
      </c>
      <c r="T6" s="117" t="str">
        <f>IFERROR(INDEX('Prix et modèle des ECF '!$A$3:$O$236,MATCH('Modèle spécifié d''ECF'!$R6,'Prix et modèle des ECF '!$E$3:$E$236,0),MATCH('Modèle spécifié d''ECF'!T$2,'Prix et modèle des ECF '!$A$3:$O$3,0)),"")</f>
        <v/>
      </c>
      <c r="U6" s="218" t="str">
        <f>IF(ISERROR(IF(ISERROR(MATCH($A6,Reference_Dropdown1!$B$30:$B$42,0)),T6+$H6,T6)),"",IF(ISERROR(MATCH($A6,Reference_Dropdown1!$B$30:$B$42,0)),T6+$H6,"N/A"))</f>
        <v/>
      </c>
      <c r="V6" s="195"/>
      <c r="W6" s="219" t="str">
        <f t="shared" si="2"/>
        <v/>
      </c>
      <c r="AB6" s="26" t="str">
        <f t="shared" si="3"/>
        <v>_2.</v>
      </c>
    </row>
    <row r="7" spans="1:28" s="26" customFormat="1" ht="27" customHeight="1" x14ac:dyDescent="0.25">
      <c r="A7" s="41" t="s">
        <v>408</v>
      </c>
      <c r="B7" s="182"/>
      <c r="C7" s="42"/>
      <c r="D7" s="29" t="str">
        <f>IFERROR(INDEX('Prix et modèle des ECF '!$A$3:$O$236,MATCH('Modèle spécifié d''ECF'!$C7,'Prix et modèle des ECF '!$E$3:$E$236,0),MATCH('Modèle spécifié d''ECF'!D$2,'Prix et modèle des ECF '!$A$3:$O$3,0)),"")</f>
        <v/>
      </c>
      <c r="E7" s="32" t="str">
        <f>IFERROR(INDEX('Prix et modèle des ECF '!$A$3:$O$236,MATCH('Modèle spécifié d''ECF'!$C7,'Prix et modèle des ECF '!$E$3:$E$236,0),MATCH('Modèle spécifié d''ECF'!E$2,'Prix et modèle des ECF '!$A$3:$O$3,0)),"")</f>
        <v/>
      </c>
      <c r="F7" s="32" t="str">
        <f>IFERROR(INDEX('Prix et modèle des ECF '!$A$3:$O$236,MATCH('Modèle spécifié d''ECF'!$C7,'Prix et modèle des ECF '!$E$3:$E$236,0),MATCH('Modèle spécifié d''ECF'!F$2,'Prix et modèle des ECF '!$A$3:$O$3,0)),"")</f>
        <v/>
      </c>
      <c r="G7" s="117" t="str">
        <f>IFERROR(INDEX('Prix et modèle des ECF '!$A$3:$O$236,MATCH('Modèle spécifié d''ECF'!$C7,'Prix et modèle des ECF '!$E$3:$E$236,0),MATCH('Modèle spécifié d''ECF'!G$2,'Prix et modèle des ECF '!$A$3:$O$3,0)),"")</f>
        <v/>
      </c>
      <c r="H7" s="54"/>
      <c r="I7" s="106" t="str">
        <f>IF(ISERROR(IF(ISERROR(MATCH($A7,Reference_Dropdown1!$B$30:$B$42,0)),G7+$H7,G7)),"",IF(ISERROR(MATCH($A7,Reference_Dropdown1!$B$30:$B$42,0)),G7+$H7,"N/A"))</f>
        <v/>
      </c>
      <c r="J7" s="195"/>
      <c r="K7" s="219"/>
      <c r="L7" s="208"/>
      <c r="M7" s="221" t="str">
        <f>IFERROR(INDEX('Prix et modèle des ECF '!$A$3:$O$236,MATCH('Modèle spécifié d''ECF'!$L7,'Prix et modèle des ECF '!$E$3:$E$236,0),MATCH('Modèle spécifié d''ECF'!M$2,'Prix et modèle des ECF '!$A$3:$O$3,0)),"")</f>
        <v/>
      </c>
      <c r="N7" s="169" t="str">
        <f>IFERROR(INDEX('Prix et modèle des ECF '!$A$3:$O$236,MATCH('Modèle spécifié d''ECF'!$L7,'Prix et modèle des ECF '!$E$3:$E$236,0),MATCH('Modèle spécifié d''ECF'!N$2,'Prix et modèle des ECF '!$A$3:$O$3,0)),"")</f>
        <v/>
      </c>
      <c r="O7" s="218" t="str">
        <f>IF(ISERROR(IF(ISERROR(MATCH($A7,Reference_Dropdown1!$B$30:$B$42,0)),N7+$H7,N7)),"",IF(ISERROR(MATCH($A7,Reference_Dropdown1!$B$30:$B$42,0)),N7+$H7,"N/A"))</f>
        <v/>
      </c>
      <c r="P7" s="195"/>
      <c r="Q7" s="219" t="str">
        <f t="shared" si="1"/>
        <v/>
      </c>
      <c r="R7" s="208"/>
      <c r="S7" s="220" t="str">
        <f>IFERROR(INDEX('Prix et modèle des ECF '!$A$3:$O$236,MATCH('Modèle spécifié d''ECF'!$R7,'Prix et modèle des ECF '!$E$3:$E$236,0),MATCH('Modèle spécifié d''ECF'!S$2,'Prix et modèle des ECF '!$A$3:$O$3,0)),"")</f>
        <v/>
      </c>
      <c r="T7" s="117" t="str">
        <f>IFERROR(INDEX('Prix et modèle des ECF '!$A$3:$O$236,MATCH('Modèle spécifié d''ECF'!$R7,'Prix et modèle des ECF '!$E$3:$E$236,0),MATCH('Modèle spécifié d''ECF'!T$2,'Prix et modèle des ECF '!$A$3:$O$3,0)),"")</f>
        <v/>
      </c>
      <c r="U7" s="218" t="str">
        <f>IF(ISERROR(IF(ISERROR(MATCH($A7,Reference_Dropdown1!$B$30:$B$42,0)),T7+$H7,T7)),"",IF(ISERROR(MATCH($A7,Reference_Dropdown1!$B$30:$B$42,0)),T7+$H7,"N/A"))</f>
        <v/>
      </c>
      <c r="V7" s="195"/>
      <c r="W7" s="219" t="str">
        <f t="shared" si="2"/>
        <v/>
      </c>
      <c r="AB7" s="26" t="str">
        <f t="shared" si="3"/>
        <v>_2.</v>
      </c>
    </row>
    <row r="8" spans="1:28" s="26" customFormat="1" ht="27" customHeight="1" x14ac:dyDescent="0.25">
      <c r="A8" s="41" t="s">
        <v>421</v>
      </c>
      <c r="B8" s="182"/>
      <c r="C8" s="42"/>
      <c r="D8" s="29" t="str">
        <f>IFERROR(INDEX('Prix et modèle des ECF '!$A$3:$O$236,MATCH('Modèle spécifié d''ECF'!$C8,'Prix et modèle des ECF '!$E$3:$E$236,0),MATCH('Modèle spécifié d''ECF'!D$2,'Prix et modèle des ECF '!$A$3:$O$3,0)),"")</f>
        <v/>
      </c>
      <c r="E8" s="32" t="str">
        <f>IFERROR(INDEX('Prix et modèle des ECF '!$A$3:$O$236,MATCH('Modèle spécifié d''ECF'!$C8,'Prix et modèle des ECF '!$E$3:$E$236,0),MATCH('Modèle spécifié d''ECF'!E$2,'Prix et modèle des ECF '!$A$3:$O$3,0)),"")</f>
        <v/>
      </c>
      <c r="F8" s="32" t="str">
        <f>IFERROR(INDEX('Prix et modèle des ECF '!$A$3:$O$236,MATCH('Modèle spécifié d''ECF'!$C8,'Prix et modèle des ECF '!$E$3:$E$236,0),MATCH('Modèle spécifié d''ECF'!F$2,'Prix et modèle des ECF '!$A$3:$O$3,0)),"")</f>
        <v/>
      </c>
      <c r="G8" s="117" t="str">
        <f>IFERROR(INDEX('Prix et modèle des ECF '!$A$3:$O$236,MATCH('Modèle spécifié d''ECF'!$C8,'Prix et modèle des ECF '!$E$3:$E$236,0),MATCH('Modèle spécifié d''ECF'!G$2,'Prix et modèle des ECF '!$A$3:$O$3,0)),"")</f>
        <v/>
      </c>
      <c r="H8" s="54"/>
      <c r="I8" s="106" t="str">
        <f>IF(ISERROR(IF(ISERROR(MATCH($A8,Reference_Dropdown1!$B$30:$B$42,0)),G8+$H8,G8)),"",IF(ISERROR(MATCH($A8,Reference_Dropdown1!$B$30:$B$42,0)),G8+$H8,"N/A"))</f>
        <v/>
      </c>
      <c r="J8" s="195"/>
      <c r="K8" s="219" t="str">
        <f t="shared" si="0"/>
        <v/>
      </c>
      <c r="L8" s="208"/>
      <c r="M8" s="221" t="str">
        <f>IFERROR(INDEX('Prix et modèle des ECF '!$A$3:$O$236,MATCH('Modèle spécifié d''ECF'!$L8,'Prix et modèle des ECF '!$E$3:$E$236,0),MATCH('Modèle spécifié d''ECF'!M$2,'Prix et modèle des ECF '!$A$3:$O$3,0)),"")</f>
        <v/>
      </c>
      <c r="N8" s="169" t="str">
        <f>IFERROR(INDEX('Prix et modèle des ECF '!$A$3:$O$236,MATCH('Modèle spécifié d''ECF'!$L8,'Prix et modèle des ECF '!$E$3:$E$236,0),MATCH('Modèle spécifié d''ECF'!N$2,'Prix et modèle des ECF '!$A$3:$O$3,0)),"")</f>
        <v/>
      </c>
      <c r="O8" s="218" t="str">
        <f>IF(ISERROR(IF(ISERROR(MATCH($A8,Reference_Dropdown1!$B$30:$B$42,0)),N8+$H8,N8)),"",IF(ISERROR(MATCH($A8,Reference_Dropdown1!$B$30:$B$42,0)),N8+$H8,"N/A"))</f>
        <v/>
      </c>
      <c r="P8" s="195"/>
      <c r="Q8" s="219" t="str">
        <f t="shared" si="1"/>
        <v/>
      </c>
      <c r="R8" s="208"/>
      <c r="S8" s="220" t="str">
        <f>IFERROR(INDEX('Prix et modèle des ECF '!$A$3:$O$236,MATCH('Modèle spécifié d''ECF'!$R8,'Prix et modèle des ECF '!$E$3:$E$236,0),MATCH('Modèle spécifié d''ECF'!S$2,'Prix et modèle des ECF '!$A$3:$O$3,0)),"")</f>
        <v/>
      </c>
      <c r="T8" s="117" t="str">
        <f>IFERROR(INDEX('Prix et modèle des ECF '!$A$3:$O$236,MATCH('Modèle spécifié d''ECF'!$R8,'Prix et modèle des ECF '!$E$3:$E$236,0),MATCH('Modèle spécifié d''ECF'!T$2,'Prix et modèle des ECF '!$A$3:$O$3,0)),"")</f>
        <v/>
      </c>
      <c r="U8" s="218" t="str">
        <f>IF(ISERROR(IF(ISERROR(MATCH($A8,Reference_Dropdown1!$B$30:$B$42,0)),T8+$H8,T8)),"",IF(ISERROR(MATCH($A8,Reference_Dropdown1!$B$30:$B$42,0)),T8+$H8,"N/A"))</f>
        <v/>
      </c>
      <c r="V8" s="195"/>
      <c r="W8" s="219" t="str">
        <f t="shared" si="2"/>
        <v/>
      </c>
      <c r="AB8" s="26" t="str">
        <f t="shared" si="3"/>
        <v>_3.</v>
      </c>
    </row>
    <row r="9" spans="1:28" s="26" customFormat="1" ht="27" customHeight="1" x14ac:dyDescent="0.25">
      <c r="A9" s="41" t="s">
        <v>422</v>
      </c>
      <c r="B9" s="182"/>
      <c r="C9" s="42"/>
      <c r="D9" s="29" t="str">
        <f>IFERROR(INDEX('Prix et modèle des ECF '!$A$3:$O$236,MATCH('Modèle spécifié d''ECF'!$C9,'Prix et modèle des ECF '!$E$3:$E$236,0),MATCH('Modèle spécifié d''ECF'!D$2,'Prix et modèle des ECF '!$A$3:$O$3,0)),"")</f>
        <v/>
      </c>
      <c r="E9" s="32" t="str">
        <f>IFERROR(INDEX('Prix et modèle des ECF '!$A$3:$O$236,MATCH('Modèle spécifié d''ECF'!$C9,'Prix et modèle des ECF '!$E$3:$E$236,0),MATCH('Modèle spécifié d''ECF'!E$2,'Prix et modèle des ECF '!$A$3:$O$3,0)),"")</f>
        <v/>
      </c>
      <c r="F9" s="32" t="str">
        <f>IFERROR(INDEX('Prix et modèle des ECF '!$A$3:$O$236,MATCH('Modèle spécifié d''ECF'!$C9,'Prix et modèle des ECF '!$E$3:$E$236,0),MATCH('Modèle spécifié d''ECF'!F$2,'Prix et modèle des ECF '!$A$3:$O$3,0)),"")</f>
        <v/>
      </c>
      <c r="G9" s="117" t="str">
        <f>IFERROR(INDEX('Prix et modèle des ECF '!$A$3:$O$236,MATCH('Modèle spécifié d''ECF'!$C9,'Prix et modèle des ECF '!$E$3:$E$236,0),MATCH('Modèle spécifié d''ECF'!G$2,'Prix et modèle des ECF '!$A$3:$O$3,0)),"")</f>
        <v/>
      </c>
      <c r="H9" s="54"/>
      <c r="I9" s="106" t="str">
        <f>IF(ISERROR(IF(ISERROR(MATCH($A9,Reference_Dropdown1!$B$30:$B$42,0)),G9+$H9,G9)),"",IF(ISERROR(MATCH($A9,Reference_Dropdown1!$B$30:$B$42,0)),G9+$H9,"N/A"))</f>
        <v/>
      </c>
      <c r="J9" s="195"/>
      <c r="K9" s="219" t="str">
        <f t="shared" si="0"/>
        <v/>
      </c>
      <c r="L9" s="208"/>
      <c r="M9" s="221" t="str">
        <f>IFERROR(INDEX('Prix et modèle des ECF '!$A$3:$O$236,MATCH('Modèle spécifié d''ECF'!$L9,'Prix et modèle des ECF '!$E$3:$E$236,0),MATCH('Modèle spécifié d''ECF'!M$2,'Prix et modèle des ECF '!$A$3:$O$3,0)),"")</f>
        <v/>
      </c>
      <c r="N9" s="169" t="str">
        <f>IFERROR(INDEX('Prix et modèle des ECF '!$A$3:$O$236,MATCH('Modèle spécifié d''ECF'!$L9,'Prix et modèle des ECF '!$E$3:$E$236,0),MATCH('Modèle spécifié d''ECF'!N$2,'Prix et modèle des ECF '!$A$3:$O$3,0)),"")</f>
        <v/>
      </c>
      <c r="O9" s="218" t="str">
        <f>IF(ISERROR(IF(ISERROR(MATCH($A9,Reference_Dropdown1!$B$30:$B$42,0)),N9+$H9,N9)),"",IF(ISERROR(MATCH($A9,Reference_Dropdown1!$B$30:$B$42,0)),N9+$H9,"N/A"))</f>
        <v/>
      </c>
      <c r="P9" s="195"/>
      <c r="Q9" s="219" t="str">
        <f t="shared" si="1"/>
        <v/>
      </c>
      <c r="R9" s="208"/>
      <c r="S9" s="220" t="str">
        <f>IFERROR(INDEX('Prix et modèle des ECF '!$A$3:$O$236,MATCH('Modèle spécifié d''ECF'!$R9,'Prix et modèle des ECF '!$E$3:$E$236,0),MATCH('Modèle spécifié d''ECF'!S$2,'Prix et modèle des ECF '!$A$3:$O$3,0)),"")</f>
        <v/>
      </c>
      <c r="T9" s="117" t="str">
        <f>IFERROR(INDEX('Prix et modèle des ECF '!$A$3:$O$236,MATCH('Modèle spécifié d''ECF'!$R9,'Prix et modèle des ECF '!$E$3:$E$236,0),MATCH('Modèle spécifié d''ECF'!T$2,'Prix et modèle des ECF '!$A$3:$O$3,0)),"")</f>
        <v/>
      </c>
      <c r="U9" s="218" t="str">
        <f>IF(ISERROR(IF(ISERROR(MATCH($A9,Reference_Dropdown1!$B$30:$B$42,0)),T9+$H9,T9)),"",IF(ISERROR(MATCH($A9,Reference_Dropdown1!$B$30:$B$42,0)),T9+$H9,"N/A"))</f>
        <v/>
      </c>
      <c r="V9" s="195"/>
      <c r="W9" s="219" t="str">
        <f t="shared" si="2"/>
        <v/>
      </c>
      <c r="AB9" s="26" t="str">
        <f t="shared" si="3"/>
        <v>_4.</v>
      </c>
    </row>
    <row r="10" spans="1:28" s="26" customFormat="1" ht="27" customHeight="1" x14ac:dyDescent="0.25">
      <c r="A10" s="43" t="s">
        <v>423</v>
      </c>
      <c r="B10" s="182"/>
      <c r="C10" s="42"/>
      <c r="D10" s="29" t="str">
        <f>IFERROR(INDEX('Prix et modèle des ECF '!$A$3:$O$236,MATCH('Modèle spécifié d''ECF'!$C10,'Prix et modèle des ECF '!$E$3:$E$236,0),MATCH('Modèle spécifié d''ECF'!D$2,'Prix et modèle des ECF '!$A$3:$O$3,0)),"")</f>
        <v/>
      </c>
      <c r="E10" s="32" t="str">
        <f>IFERROR(INDEX('Prix et modèle des ECF '!$A$3:$O$236,MATCH('Modèle spécifié d''ECF'!$C10,'Prix et modèle des ECF '!$E$3:$E$236,0),MATCH('Modèle spécifié d''ECF'!E$2,'Prix et modèle des ECF '!$A$3:$O$3,0)),"")</f>
        <v/>
      </c>
      <c r="F10" s="32" t="str">
        <f>IFERROR(INDEX('Prix et modèle des ECF '!$A$3:$O$236,MATCH('Modèle spécifié d''ECF'!$C10,'Prix et modèle des ECF '!$E$3:$E$236,0),MATCH('Modèle spécifié d''ECF'!F$2,'Prix et modèle des ECF '!$A$3:$O$3,0)),"")</f>
        <v/>
      </c>
      <c r="G10" s="117" t="str">
        <f>IFERROR(INDEX('Prix et modèle des ECF '!$A$3:$O$236,MATCH('Modèle spécifié d''ECF'!$C10,'Prix et modèle des ECF '!$E$3:$E$236,0),MATCH('Modèle spécifié d''ECF'!G$2,'Prix et modèle des ECF '!$A$3:$O$3,0)),"")</f>
        <v/>
      </c>
      <c r="H10" s="54"/>
      <c r="I10" s="106" t="str">
        <f>IF(ISERROR(IF(ISERROR(MATCH($A10,Reference_Dropdown1!$B$30:$B$42,0)),G10+$H10,G10)),"",IF(ISERROR(MATCH($A10,Reference_Dropdown1!$B$30:$B$42,0)),G10+$H10,"N/A"))</f>
        <v/>
      </c>
      <c r="J10" s="195"/>
      <c r="K10" s="219" t="str">
        <f t="shared" si="0"/>
        <v/>
      </c>
      <c r="L10" s="208"/>
      <c r="M10" s="221" t="str">
        <f>IFERROR(INDEX('Prix et modèle des ECF '!$A$3:$O$236,MATCH('Modèle spécifié d''ECF'!$L10,'Prix et modèle des ECF '!$E$3:$E$236,0),MATCH('Modèle spécifié d''ECF'!M$2,'Prix et modèle des ECF '!$A$3:$O$3,0)),"")</f>
        <v/>
      </c>
      <c r="N10" s="169" t="str">
        <f>IFERROR(INDEX('Prix et modèle des ECF '!$A$3:$O$236,MATCH('Modèle spécifié d''ECF'!$L10,'Prix et modèle des ECF '!$E$3:$E$236,0),MATCH('Modèle spécifié d''ECF'!N$2,'Prix et modèle des ECF '!$A$3:$O$3,0)),"")</f>
        <v/>
      </c>
      <c r="O10" s="218" t="str">
        <f>IF(ISERROR(IF(ISERROR(MATCH($A10,Reference_Dropdown1!$B$30:$B$42,0)),N10+$H10,N10)),"",IF(ISERROR(MATCH($A10,Reference_Dropdown1!$B$30:$B$42,0)),N10+$H10,"N/A"))</f>
        <v/>
      </c>
      <c r="P10" s="195"/>
      <c r="Q10" s="219" t="str">
        <f t="shared" si="1"/>
        <v/>
      </c>
      <c r="R10" s="208"/>
      <c r="S10" s="220" t="str">
        <f>IFERROR(INDEX('Prix et modèle des ECF '!$A$3:$O$236,MATCH('Modèle spécifié d''ECF'!$R10,'Prix et modèle des ECF '!$E$3:$E$236,0),MATCH('Modèle spécifié d''ECF'!S$2,'Prix et modèle des ECF '!$A$3:$O$3,0)),"")</f>
        <v/>
      </c>
      <c r="T10" s="117" t="str">
        <f>IFERROR(INDEX('Prix et modèle des ECF '!$A$3:$O$236,MATCH('Modèle spécifié d''ECF'!$R10,'Prix et modèle des ECF '!$E$3:$E$236,0),MATCH('Modèle spécifié d''ECF'!T$2,'Prix et modèle des ECF '!$A$3:$O$3,0)),"")</f>
        <v/>
      </c>
      <c r="U10" s="218" t="str">
        <f>IF(ISERROR(IF(ISERROR(MATCH($A10,Reference_Dropdown1!$B$30:$B$42,0)),T10+$H10,T10)),"",IF(ISERROR(MATCH($A10,Reference_Dropdown1!$B$30:$B$42,0)),T10+$H10,"N/A"))</f>
        <v/>
      </c>
      <c r="V10" s="195"/>
      <c r="W10" s="219" t="str">
        <f t="shared" si="2"/>
        <v/>
      </c>
      <c r="AB10" s="26" t="str">
        <f t="shared" si="3"/>
        <v>_5.</v>
      </c>
    </row>
    <row r="11" spans="1:28" s="26" customFormat="1" ht="27" customHeight="1" x14ac:dyDescent="0.25">
      <c r="A11" s="44" t="s">
        <v>424</v>
      </c>
      <c r="B11" s="182"/>
      <c r="C11" s="42"/>
      <c r="D11" s="29" t="str">
        <f>IFERROR(INDEX('Prix et modèle des ECF '!$A$3:$O$236,MATCH('Modèle spécifié d''ECF'!$C11,'Prix et modèle des ECF '!$E$3:$E$236,0),MATCH('Modèle spécifié d''ECF'!D$2,'Prix et modèle des ECF '!$A$3:$O$3,0)),"")</f>
        <v/>
      </c>
      <c r="E11" s="32" t="str">
        <f>IFERROR(INDEX('Prix et modèle des ECF '!$A$3:$O$236,MATCH('Modèle spécifié d''ECF'!$C11,'Prix et modèle des ECF '!$E$3:$E$236,0),MATCH('Modèle spécifié d''ECF'!E$2,'Prix et modèle des ECF '!$A$3:$O$3,0)),"")</f>
        <v/>
      </c>
      <c r="F11" s="32" t="str">
        <f>IFERROR(INDEX('Prix et modèle des ECF '!$A$3:$O$236,MATCH('Modèle spécifié d''ECF'!$C11,'Prix et modèle des ECF '!$E$3:$E$236,0),MATCH('Modèle spécifié d''ECF'!F$2,'Prix et modèle des ECF '!$A$3:$O$3,0)),"")</f>
        <v/>
      </c>
      <c r="G11" s="117" t="str">
        <f>IFERROR(INDEX('Prix et modèle des ECF '!$A$3:$O$236,MATCH('Modèle spécifié d''ECF'!$C11,'Prix et modèle des ECF '!$E$3:$E$236,0),MATCH('Modèle spécifié d''ECF'!G$2,'Prix et modèle des ECF '!$A$3:$O$3,0)),"")</f>
        <v/>
      </c>
      <c r="H11" s="54"/>
      <c r="I11" s="106" t="str">
        <f>IF(ISERROR(IF(ISERROR(MATCH($A11,Reference_Dropdown1!$B$30:$B$42,0)),G11+$H11,G11)),"",IF(ISERROR(MATCH($A11,Reference_Dropdown1!$B$30:$B$42,0)),G11+$H11,"N/A"))</f>
        <v/>
      </c>
      <c r="J11" s="195"/>
      <c r="K11" s="219" t="str">
        <f t="shared" si="0"/>
        <v/>
      </c>
      <c r="L11" s="208"/>
      <c r="M11" s="221" t="str">
        <f>IFERROR(INDEX('Prix et modèle des ECF '!$A$3:$O$236,MATCH('Modèle spécifié d''ECF'!$L11,'Prix et modèle des ECF '!$E$3:$E$236,0),MATCH('Modèle spécifié d''ECF'!M$2,'Prix et modèle des ECF '!$A$3:$O$3,0)),"")</f>
        <v/>
      </c>
      <c r="N11" s="169" t="str">
        <f>IFERROR(INDEX('Prix et modèle des ECF '!$A$3:$O$236,MATCH('Modèle spécifié d''ECF'!$L11,'Prix et modèle des ECF '!$E$3:$E$236,0),MATCH('Modèle spécifié d''ECF'!N$2,'Prix et modèle des ECF '!$A$3:$O$3,0)),"")</f>
        <v/>
      </c>
      <c r="O11" s="218" t="str">
        <f>IF(ISERROR(IF(ISERROR(MATCH($A11,Reference_Dropdown1!$B$30:$B$42,0)),N11+$H11,N11)),"",IF(ISERROR(MATCH($A11,Reference_Dropdown1!$B$30:$B$42,0)),N11+$H11,"N/A"))</f>
        <v/>
      </c>
      <c r="P11" s="195"/>
      <c r="Q11" s="219" t="str">
        <f t="shared" si="1"/>
        <v/>
      </c>
      <c r="R11" s="208"/>
      <c r="S11" s="220" t="str">
        <f>IFERROR(INDEX('Prix et modèle des ECF '!$A$3:$O$236,MATCH('Modèle spécifié d''ECF'!$R11,'Prix et modèle des ECF '!$E$3:$E$236,0),MATCH('Modèle spécifié d''ECF'!S$2,'Prix et modèle des ECF '!$A$3:$O$3,0)),"")</f>
        <v/>
      </c>
      <c r="T11" s="117" t="str">
        <f>IFERROR(INDEX('Prix et modèle des ECF '!$A$3:$O$236,MATCH('Modèle spécifié d''ECF'!$R11,'Prix et modèle des ECF '!$E$3:$E$236,0),MATCH('Modèle spécifié d''ECF'!T$2,'Prix et modèle des ECF '!$A$3:$O$3,0)),"")</f>
        <v/>
      </c>
      <c r="U11" s="218" t="str">
        <f>IF(ISERROR(IF(ISERROR(MATCH($A11,Reference_Dropdown1!$B$30:$B$42,0)),T11+$H11,T11)),"",IF(ISERROR(MATCH($A11,Reference_Dropdown1!$B$30:$B$42,0)),T11+$H11,"N/A"))</f>
        <v/>
      </c>
      <c r="V11" s="195"/>
      <c r="W11" s="219" t="str">
        <f t="shared" si="2"/>
        <v/>
      </c>
      <c r="AB11" s="26" t="str">
        <f t="shared" si="3"/>
        <v>_6.</v>
      </c>
    </row>
    <row r="12" spans="1:28" s="26" customFormat="1" ht="27" customHeight="1" x14ac:dyDescent="0.25">
      <c r="A12" s="44" t="s">
        <v>424</v>
      </c>
      <c r="B12" s="182"/>
      <c r="C12" s="42"/>
      <c r="D12" s="29" t="str">
        <f>IFERROR(INDEX('Prix et modèle des ECF '!$A$3:$O$236,MATCH('Modèle spécifié d''ECF'!$C12,'Prix et modèle des ECF '!$E$3:$E$236,0),MATCH('Modèle spécifié d''ECF'!D$2,'Prix et modèle des ECF '!$A$3:$O$3,0)),"")</f>
        <v/>
      </c>
      <c r="E12" s="32" t="str">
        <f>IFERROR(INDEX('Prix et modèle des ECF '!$A$3:$O$236,MATCH('Modèle spécifié d''ECF'!$C12,'Prix et modèle des ECF '!$E$3:$E$236,0),MATCH('Modèle spécifié d''ECF'!E$2,'Prix et modèle des ECF '!$A$3:$O$3,0)),"")</f>
        <v/>
      </c>
      <c r="F12" s="32" t="str">
        <f>IFERROR(INDEX('Prix et modèle des ECF '!$A$3:$O$236,MATCH('Modèle spécifié d''ECF'!$C12,'Prix et modèle des ECF '!$E$3:$E$236,0),MATCH('Modèle spécifié d''ECF'!F$2,'Prix et modèle des ECF '!$A$3:$O$3,0)),"")</f>
        <v/>
      </c>
      <c r="G12" s="117" t="str">
        <f>IFERROR(INDEX('Prix et modèle des ECF '!$A$3:$O$236,MATCH('Modèle spécifié d''ECF'!$C12,'Prix et modèle des ECF '!$E$3:$E$236,0),MATCH('Modèle spécifié d''ECF'!G$2,'Prix et modèle des ECF '!$A$3:$O$3,0)),"")</f>
        <v/>
      </c>
      <c r="H12" s="54"/>
      <c r="I12" s="106" t="str">
        <f>IF(ISERROR(IF(ISERROR(MATCH($A12,Reference_Dropdown1!$B$30:$B$42,0)),G12+$H12,G12)),"",IF(ISERROR(MATCH($A12,Reference_Dropdown1!$B$30:$B$42,0)),G12+$H12,"N/A"))</f>
        <v/>
      </c>
      <c r="J12" s="195"/>
      <c r="K12" s="219" t="str">
        <f t="shared" si="0"/>
        <v/>
      </c>
      <c r="L12" s="208"/>
      <c r="M12" s="221" t="str">
        <f>IFERROR(INDEX('Prix et modèle des ECF '!$A$3:$O$236,MATCH('Modèle spécifié d''ECF'!$L12,'Prix et modèle des ECF '!$E$3:$E$236,0),MATCH('Modèle spécifié d''ECF'!M$2,'Prix et modèle des ECF '!$A$3:$O$3,0)),"")</f>
        <v/>
      </c>
      <c r="N12" s="169" t="str">
        <f>IFERROR(INDEX('Prix et modèle des ECF '!$A$3:$O$236,MATCH('Modèle spécifié d''ECF'!$L12,'Prix et modèle des ECF '!$E$3:$E$236,0),MATCH('Modèle spécifié d''ECF'!N$2,'Prix et modèle des ECF '!$A$3:$O$3,0)),"")</f>
        <v/>
      </c>
      <c r="O12" s="218" t="str">
        <f>IF(ISERROR(IF(ISERROR(MATCH($A12,Reference_Dropdown1!$B$30:$B$42,0)),N12+$H12,N12)),"",IF(ISERROR(MATCH($A12,Reference_Dropdown1!$B$30:$B$42,0)),N12+$H12,"N/A"))</f>
        <v/>
      </c>
      <c r="P12" s="195"/>
      <c r="Q12" s="219" t="str">
        <f t="shared" si="1"/>
        <v/>
      </c>
      <c r="R12" s="208"/>
      <c r="S12" s="220" t="str">
        <f>IFERROR(INDEX('Prix et modèle des ECF '!$A$3:$O$236,MATCH('Modèle spécifié d''ECF'!$R12,'Prix et modèle des ECF '!$E$3:$E$236,0),MATCH('Modèle spécifié d''ECF'!S$2,'Prix et modèle des ECF '!$A$3:$O$3,0)),"")</f>
        <v/>
      </c>
      <c r="T12" s="117" t="str">
        <f>IFERROR(INDEX('Prix et modèle des ECF '!$A$3:$O$236,MATCH('Modèle spécifié d''ECF'!$R12,'Prix et modèle des ECF '!$E$3:$E$236,0),MATCH('Modèle spécifié d''ECF'!T$2,'Prix et modèle des ECF '!$A$3:$O$3,0)),"")</f>
        <v/>
      </c>
      <c r="U12" s="218" t="str">
        <f>IF(ISERROR(IF(ISERROR(MATCH($A12,Reference_Dropdown1!$B$30:$B$42,0)),T12+$H12,T12)),"",IF(ISERROR(MATCH($A12,Reference_Dropdown1!$B$30:$B$42,0)),T12+$H12,"N/A"))</f>
        <v/>
      </c>
      <c r="V12" s="195"/>
      <c r="W12" s="219" t="str">
        <f t="shared" si="2"/>
        <v/>
      </c>
      <c r="AB12" s="26" t="str">
        <f t="shared" si="3"/>
        <v>_6.</v>
      </c>
    </row>
    <row r="13" spans="1:28" s="26" customFormat="1" ht="27" customHeight="1" x14ac:dyDescent="0.25">
      <c r="A13" s="44" t="s">
        <v>425</v>
      </c>
      <c r="B13" s="182"/>
      <c r="C13" s="42"/>
      <c r="D13" s="29" t="str">
        <f>IFERROR(INDEX('Prix et modèle des ECF '!$A$3:$O$236,MATCH('Modèle spécifié d''ECF'!$C13,'Prix et modèle des ECF '!$E$3:$E$236,0),MATCH('Modèle spécifié d''ECF'!D$2,'Prix et modèle des ECF '!$A$3:$O$3,0)),"")</f>
        <v/>
      </c>
      <c r="E13" s="32" t="str">
        <f>IFERROR(INDEX('Prix et modèle des ECF '!$A$3:$O$236,MATCH('Modèle spécifié d''ECF'!$C13,'Prix et modèle des ECF '!$E$3:$E$236,0),MATCH('Modèle spécifié d''ECF'!E$2,'Prix et modèle des ECF '!$A$3:$O$3,0)),"")</f>
        <v/>
      </c>
      <c r="F13" s="32" t="str">
        <f>IFERROR(INDEX('Prix et modèle des ECF '!$A$3:$O$236,MATCH('Modèle spécifié d''ECF'!$C13,'Prix et modèle des ECF '!$E$3:$E$236,0),MATCH('Modèle spécifié d''ECF'!F$2,'Prix et modèle des ECF '!$A$3:$O$3,0)),"")</f>
        <v/>
      </c>
      <c r="G13" s="117" t="str">
        <f>IFERROR(INDEX('Prix et modèle des ECF '!$A$3:$O$236,MATCH('Modèle spécifié d''ECF'!$C13,'Prix et modèle des ECF '!$E$3:$E$236,0),MATCH('Modèle spécifié d''ECF'!G$2,'Prix et modèle des ECF '!$A$3:$O$3,0)),"")</f>
        <v/>
      </c>
      <c r="H13" s="54"/>
      <c r="I13" s="106" t="str">
        <f>IF(ISERROR(IF(ISERROR(MATCH($A13,Reference_Dropdown1!$B$30:$B$42,0)),G13+$H13,G13)),"",IF(ISERROR(MATCH($A13,Reference_Dropdown1!$B$30:$B$42,0)),G13+$H13,"N/A"))</f>
        <v/>
      </c>
      <c r="J13" s="195"/>
      <c r="K13" s="219" t="str">
        <f t="shared" si="0"/>
        <v/>
      </c>
      <c r="L13" s="208"/>
      <c r="M13" s="221" t="str">
        <f>IFERROR(INDEX('Prix et modèle des ECF '!$A$3:$O$236,MATCH('Modèle spécifié d''ECF'!$L13,'Prix et modèle des ECF '!$E$3:$E$236,0),MATCH('Modèle spécifié d''ECF'!M$2,'Prix et modèle des ECF '!$A$3:$O$3,0)),"")</f>
        <v/>
      </c>
      <c r="N13" s="169" t="str">
        <f>IFERROR(INDEX('Prix et modèle des ECF '!$A$3:$O$236,MATCH('Modèle spécifié d''ECF'!$L13,'Prix et modèle des ECF '!$E$3:$E$236,0),MATCH('Modèle spécifié d''ECF'!N$2,'Prix et modèle des ECF '!$A$3:$O$3,0)),"")</f>
        <v/>
      </c>
      <c r="O13" s="218" t="str">
        <f>IF(ISERROR(IF(ISERROR(MATCH($A13,Reference_Dropdown1!$B$30:$B$42,0)),N13+$H13,N13)),"",IF(ISERROR(MATCH($A13,Reference_Dropdown1!$B$30:$B$42,0)),N13+$H13,"N/A"))</f>
        <v/>
      </c>
      <c r="P13" s="195"/>
      <c r="Q13" s="219" t="str">
        <f t="shared" si="1"/>
        <v/>
      </c>
      <c r="R13" s="208"/>
      <c r="S13" s="220" t="str">
        <f>IFERROR(INDEX('Prix et modèle des ECF '!$A$3:$O$236,MATCH('Modèle spécifié d''ECF'!$R13,'Prix et modèle des ECF '!$E$3:$E$236,0),MATCH('Modèle spécifié d''ECF'!S$2,'Prix et modèle des ECF '!$A$3:$O$3,0)),"")</f>
        <v/>
      </c>
      <c r="T13" s="117" t="str">
        <f>IFERROR(INDEX('Prix et modèle des ECF '!$A$3:$O$236,MATCH('Modèle spécifié d''ECF'!$R13,'Prix et modèle des ECF '!$E$3:$E$236,0),MATCH('Modèle spécifié d''ECF'!T$2,'Prix et modèle des ECF '!$A$3:$O$3,0)),"")</f>
        <v/>
      </c>
      <c r="U13" s="218" t="str">
        <f>IF(ISERROR(IF(ISERROR(MATCH($A13,Reference_Dropdown1!$B$30:$B$42,0)),T13+$H13,T13)),"",IF(ISERROR(MATCH($A13,Reference_Dropdown1!$B$30:$B$42,0)),T13+$H13,"N/A"))</f>
        <v/>
      </c>
      <c r="V13" s="195"/>
      <c r="W13" s="219" t="str">
        <f t="shared" si="2"/>
        <v/>
      </c>
      <c r="AB13" s="26" t="str">
        <f t="shared" si="3"/>
        <v>_7.</v>
      </c>
    </row>
    <row r="14" spans="1:28" s="26" customFormat="1" ht="27" customHeight="1" x14ac:dyDescent="0.25">
      <c r="A14" s="45" t="s">
        <v>426</v>
      </c>
      <c r="B14" s="182"/>
      <c r="C14" s="42"/>
      <c r="D14" s="29" t="str">
        <f>IFERROR(INDEX('Prix et modèle des ECF '!$A$3:$O$236,MATCH('Modèle spécifié d''ECF'!$C14,'Prix et modèle des ECF '!$E$3:$E$236,0),MATCH('Modèle spécifié d''ECF'!D$2,'Prix et modèle des ECF '!$A$3:$O$3,0)),"")</f>
        <v/>
      </c>
      <c r="E14" s="32" t="str">
        <f>IFERROR(INDEX('Prix et modèle des ECF '!$A$3:$O$236,MATCH('Modèle spécifié d''ECF'!$C14,'Prix et modèle des ECF '!$E$3:$E$236,0),MATCH('Modèle spécifié d''ECF'!E$2,'Prix et modèle des ECF '!$A$3:$O$3,0)),"")</f>
        <v/>
      </c>
      <c r="F14" s="32" t="str">
        <f>IFERROR(INDEX('Prix et modèle des ECF '!$A$3:$O$236,MATCH('Modèle spécifié d''ECF'!$C14,'Prix et modèle des ECF '!$E$3:$E$236,0),MATCH('Modèle spécifié d''ECF'!F$2,'Prix et modèle des ECF '!$A$3:$O$3,0)),"")</f>
        <v/>
      </c>
      <c r="G14" s="117" t="str">
        <f>IFERROR(INDEX('Prix et modèle des ECF '!$A$3:$O$236,MATCH('Modèle spécifié d''ECF'!$C14,'Prix et modèle des ECF '!$E$3:$E$236,0),MATCH('Modèle spécifié d''ECF'!G$2,'Prix et modèle des ECF '!$A$3:$O$3,0)),"")</f>
        <v/>
      </c>
      <c r="H14" s="54"/>
      <c r="I14" s="106" t="str">
        <f>IF(ISERROR(IF(ISERROR(MATCH($A14,Reference_Dropdown1!$B$30:$B$42,0)),G14+$H14,G14)),"",IF(ISERROR(MATCH($A14,Reference_Dropdown1!$B$30:$B$42,0)),G14+$H14,"N/A"))</f>
        <v/>
      </c>
      <c r="J14" s="195"/>
      <c r="K14" s="219" t="str">
        <f t="shared" si="0"/>
        <v/>
      </c>
      <c r="L14" s="208"/>
      <c r="M14" s="221" t="str">
        <f>IFERROR(INDEX('Prix et modèle des ECF '!$A$3:$O$236,MATCH('Modèle spécifié d''ECF'!$L14,'Prix et modèle des ECF '!$E$3:$E$236,0),MATCH('Modèle spécifié d''ECF'!M$2,'Prix et modèle des ECF '!$A$3:$O$3,0)),"")</f>
        <v/>
      </c>
      <c r="N14" s="169" t="str">
        <f>IFERROR(INDEX('Prix et modèle des ECF '!$A$3:$O$236,MATCH('Modèle spécifié d''ECF'!$L14,'Prix et modèle des ECF '!$E$3:$E$236,0),MATCH('Modèle spécifié d''ECF'!N$2,'Prix et modèle des ECF '!$A$3:$O$3,0)),"")</f>
        <v/>
      </c>
      <c r="O14" s="218" t="str">
        <f>IF(ISERROR(IF(ISERROR(MATCH($A14,Reference_Dropdown1!$B$30:$B$42,0)),N14+$H14,N14)),"",IF(ISERROR(MATCH($A14,Reference_Dropdown1!$B$30:$B$42,0)),N14+$H14,"N/A"))</f>
        <v/>
      </c>
      <c r="P14" s="195"/>
      <c r="Q14" s="219" t="str">
        <f t="shared" si="1"/>
        <v/>
      </c>
      <c r="R14" s="208"/>
      <c r="S14" s="220" t="str">
        <f>IFERROR(INDEX('Prix et modèle des ECF '!$A$3:$O$236,MATCH('Modèle spécifié d''ECF'!$R14,'Prix et modèle des ECF '!$E$3:$E$236,0),MATCH('Modèle spécifié d''ECF'!S$2,'Prix et modèle des ECF '!$A$3:$O$3,0)),"")</f>
        <v/>
      </c>
      <c r="T14" s="117" t="str">
        <f>IFERROR(INDEX('Prix et modèle des ECF '!$A$3:$O$236,MATCH('Modèle spécifié d''ECF'!$R14,'Prix et modèle des ECF '!$E$3:$E$236,0),MATCH('Modèle spécifié d''ECF'!T$2,'Prix et modèle des ECF '!$A$3:$O$3,0)),"")</f>
        <v/>
      </c>
      <c r="U14" s="218" t="str">
        <f>IF(ISERROR(IF(ISERROR(MATCH($A14,Reference_Dropdown1!$B$30:$B$42,0)),T14+$H14,T14)),"",IF(ISERROR(MATCH($A14,Reference_Dropdown1!$B$30:$B$42,0)),T14+$H14,"N/A"))</f>
        <v/>
      </c>
      <c r="V14" s="195"/>
      <c r="W14" s="219" t="str">
        <f t="shared" si="2"/>
        <v/>
      </c>
      <c r="AB14" s="26" t="str">
        <f t="shared" si="3"/>
        <v>_8.</v>
      </c>
    </row>
    <row r="15" spans="1:28" s="26" customFormat="1" ht="27" customHeight="1" x14ac:dyDescent="0.25">
      <c r="A15" s="46" t="s">
        <v>427</v>
      </c>
      <c r="B15" s="182"/>
      <c r="C15" s="42"/>
      <c r="D15" s="29" t="str">
        <f>IFERROR(INDEX('Prix et modèle des ECF '!$A$3:$O$236,MATCH('Modèle spécifié d''ECF'!$C15,'Prix et modèle des ECF '!$E$3:$E$236,0),MATCH('Modèle spécifié d''ECF'!D$2,'Prix et modèle des ECF '!$A$3:$O$3,0)),"")</f>
        <v/>
      </c>
      <c r="E15" s="32" t="str">
        <f>IFERROR(INDEX('Prix et modèle des ECF '!$A$3:$O$236,MATCH('Modèle spécifié d''ECF'!$C15,'Prix et modèle des ECF '!$E$3:$E$236,0),MATCH('Modèle spécifié d''ECF'!E$2,'Prix et modèle des ECF '!$A$3:$O$3,0)),"")</f>
        <v/>
      </c>
      <c r="F15" s="32" t="str">
        <f>IFERROR(INDEX('Prix et modèle des ECF '!$A$3:$O$236,MATCH('Modèle spécifié d''ECF'!$C15,'Prix et modèle des ECF '!$E$3:$E$236,0),MATCH('Modèle spécifié d''ECF'!F$2,'Prix et modèle des ECF '!$A$3:$O$3,0)),"")</f>
        <v/>
      </c>
      <c r="G15" s="117" t="str">
        <f>IFERROR(INDEX('Prix et modèle des ECF '!$A$3:$O$236,MATCH('Modèle spécifié d''ECF'!$C15,'Prix et modèle des ECF '!$E$3:$E$236,0),MATCH('Modèle spécifié d''ECF'!G$2,'Prix et modèle des ECF '!$A$3:$O$3,0)),"")</f>
        <v/>
      </c>
      <c r="H15" s="54"/>
      <c r="I15" s="106" t="str">
        <f>IF(ISERROR(IF(ISERROR(MATCH($A15,Reference_Dropdown1!$B$30:$B$42,0)),G15+$H15,G15)),"",IF(ISERROR(MATCH($A15,Reference_Dropdown1!$B$30:$B$42,0)),G15+$H15,"N/A"))</f>
        <v/>
      </c>
      <c r="J15" s="195"/>
      <c r="K15" s="219" t="str">
        <f t="shared" si="0"/>
        <v/>
      </c>
      <c r="L15" s="208"/>
      <c r="M15" s="221" t="str">
        <f>IFERROR(INDEX('Prix et modèle des ECF '!$A$3:$O$236,MATCH('Modèle spécifié d''ECF'!$L15,'Prix et modèle des ECF '!$E$3:$E$236,0),MATCH('Modèle spécifié d''ECF'!M$2,'Prix et modèle des ECF '!$A$3:$O$3,0)),"")</f>
        <v/>
      </c>
      <c r="N15" s="169" t="str">
        <f>IFERROR(INDEX('Prix et modèle des ECF '!$A$3:$O$236,MATCH('Modèle spécifié d''ECF'!$L15,'Prix et modèle des ECF '!$E$3:$E$236,0),MATCH('Modèle spécifié d''ECF'!N$2,'Prix et modèle des ECF '!$A$3:$O$3,0)),"")</f>
        <v/>
      </c>
      <c r="O15" s="218" t="str">
        <f>IF(ISERROR(IF(ISERROR(MATCH($A15,Reference_Dropdown1!$B$30:$B$42,0)),N15+$H15,N15)),"",IF(ISERROR(MATCH($A15,Reference_Dropdown1!$B$30:$B$42,0)),N15+$H15,"N/A"))</f>
        <v/>
      </c>
      <c r="P15" s="195"/>
      <c r="Q15" s="219" t="str">
        <f t="shared" si="1"/>
        <v/>
      </c>
      <c r="R15" s="208"/>
      <c r="S15" s="220" t="str">
        <f>IFERROR(INDEX('Prix et modèle des ECF '!$A$3:$O$236,MATCH('Modèle spécifié d''ECF'!$R15,'Prix et modèle des ECF '!$E$3:$E$236,0),MATCH('Modèle spécifié d''ECF'!S$2,'Prix et modèle des ECF '!$A$3:$O$3,0)),"")</f>
        <v/>
      </c>
      <c r="T15" s="117" t="str">
        <f>IFERROR(INDEX('Prix et modèle des ECF '!$A$3:$O$236,MATCH('Modèle spécifié d''ECF'!$R15,'Prix et modèle des ECF '!$E$3:$E$236,0),MATCH('Modèle spécifié d''ECF'!T$2,'Prix et modèle des ECF '!$A$3:$O$3,0)),"")</f>
        <v/>
      </c>
      <c r="U15" s="218" t="str">
        <f>IF(ISERROR(IF(ISERROR(MATCH($A15,Reference_Dropdown1!$B$30:$B$42,0)),T15+$H15,T15)),"",IF(ISERROR(MATCH($A15,Reference_Dropdown1!$B$30:$B$42,0)),T15+$H15,"N/A"))</f>
        <v/>
      </c>
      <c r="V15" s="195"/>
      <c r="W15" s="219" t="str">
        <f t="shared" si="2"/>
        <v/>
      </c>
      <c r="AB15" s="26" t="str">
        <f t="shared" si="3"/>
        <v>_9.</v>
      </c>
    </row>
    <row r="16" spans="1:28" s="26" customFormat="1" ht="27" customHeight="1" x14ac:dyDescent="0.25">
      <c r="A16" s="46" t="s">
        <v>427</v>
      </c>
      <c r="B16" s="182"/>
      <c r="C16" s="42"/>
      <c r="D16" s="29" t="str">
        <f>IFERROR(INDEX('Prix et modèle des ECF '!$A$3:$O$236,MATCH('Modèle spécifié d''ECF'!$C16,'Prix et modèle des ECF '!$E$3:$E$236,0),MATCH('Modèle spécifié d''ECF'!D$2,'Prix et modèle des ECF '!$A$3:$O$3,0)),"")</f>
        <v/>
      </c>
      <c r="E16" s="32" t="str">
        <f>IFERROR(INDEX('Prix et modèle des ECF '!$A$3:$O$236,MATCH('Modèle spécifié d''ECF'!$C16,'Prix et modèle des ECF '!$E$3:$E$236,0),MATCH('Modèle spécifié d''ECF'!E$2,'Prix et modèle des ECF '!$A$3:$O$3,0)),"")</f>
        <v/>
      </c>
      <c r="F16" s="32" t="str">
        <f>IFERROR(INDEX('Prix et modèle des ECF '!$A$3:$O$236,MATCH('Modèle spécifié d''ECF'!$C16,'Prix et modèle des ECF '!$E$3:$E$236,0),MATCH('Modèle spécifié d''ECF'!F$2,'Prix et modèle des ECF '!$A$3:$O$3,0)),"")</f>
        <v/>
      </c>
      <c r="G16" s="117" t="str">
        <f>IFERROR(INDEX('Prix et modèle des ECF '!$A$3:$O$236,MATCH('Modèle spécifié d''ECF'!$C16,'Prix et modèle des ECF '!$E$3:$E$236,0),MATCH('Modèle spécifié d''ECF'!G$2,'Prix et modèle des ECF '!$A$3:$O$3,0)),"")</f>
        <v/>
      </c>
      <c r="H16" s="54"/>
      <c r="I16" s="106" t="str">
        <f>IF(ISERROR(IF(ISERROR(MATCH($A16,Reference_Dropdown1!$B$30:$B$42,0)),G16+$H16,G16)),"",IF(ISERROR(MATCH($A16,Reference_Dropdown1!$B$30:$B$42,0)),G16+$H16,"N/A"))</f>
        <v/>
      </c>
      <c r="J16" s="195"/>
      <c r="K16" s="219" t="str">
        <f t="shared" si="0"/>
        <v/>
      </c>
      <c r="L16" s="208"/>
      <c r="M16" s="221" t="str">
        <f>IFERROR(INDEX('Prix et modèle des ECF '!$A$3:$O$236,MATCH('Modèle spécifié d''ECF'!$L16,'Prix et modèle des ECF '!$E$3:$E$236,0),MATCH('Modèle spécifié d''ECF'!M$2,'Prix et modèle des ECF '!$A$3:$O$3,0)),"")</f>
        <v/>
      </c>
      <c r="N16" s="169" t="str">
        <f>IFERROR(INDEX('Prix et modèle des ECF '!$A$3:$O$236,MATCH('Modèle spécifié d''ECF'!$L16,'Prix et modèle des ECF '!$E$3:$E$236,0),MATCH('Modèle spécifié d''ECF'!N$2,'Prix et modèle des ECF '!$A$3:$O$3,0)),"")</f>
        <v/>
      </c>
      <c r="O16" s="218" t="str">
        <f>IF(ISERROR(IF(ISERROR(MATCH($A16,Reference_Dropdown1!$B$30:$B$42,0)),N16+$H16,N16)),"",IF(ISERROR(MATCH($A16,Reference_Dropdown1!$B$30:$B$42,0)),N16+$H16,"N/A"))</f>
        <v/>
      </c>
      <c r="P16" s="195"/>
      <c r="Q16" s="219" t="str">
        <f t="shared" si="1"/>
        <v/>
      </c>
      <c r="R16" s="208"/>
      <c r="S16" s="220" t="str">
        <f>IFERROR(INDEX('Prix et modèle des ECF '!$A$3:$O$236,MATCH('Modèle spécifié d''ECF'!$R16,'Prix et modèle des ECF '!$E$3:$E$236,0),MATCH('Modèle spécifié d''ECF'!S$2,'Prix et modèle des ECF '!$A$3:$O$3,0)),"")</f>
        <v/>
      </c>
      <c r="T16" s="117" t="str">
        <f>IFERROR(INDEX('Prix et modèle des ECF '!$A$3:$O$236,MATCH('Modèle spécifié d''ECF'!$R16,'Prix et modèle des ECF '!$E$3:$E$236,0),MATCH('Modèle spécifié d''ECF'!T$2,'Prix et modèle des ECF '!$A$3:$O$3,0)),"")</f>
        <v/>
      </c>
      <c r="U16" s="218" t="str">
        <f>IF(ISERROR(IF(ISERROR(MATCH($A16,Reference_Dropdown1!$B$30:$B$42,0)),T16+$H16,T16)),"",IF(ISERROR(MATCH($A16,Reference_Dropdown1!$B$30:$B$42,0)),T16+$H16,"N/A"))</f>
        <v/>
      </c>
      <c r="V16" s="195"/>
      <c r="W16" s="219" t="str">
        <f t="shared" si="2"/>
        <v/>
      </c>
      <c r="AB16" s="26" t="str">
        <f t="shared" si="3"/>
        <v>_9.</v>
      </c>
    </row>
    <row r="17" spans="1:28" s="26" customFormat="1" ht="27" customHeight="1" x14ac:dyDescent="0.25">
      <c r="A17" s="46" t="s">
        <v>428</v>
      </c>
      <c r="B17" s="182"/>
      <c r="C17" s="42"/>
      <c r="D17" s="29" t="str">
        <f>IFERROR(INDEX('Prix et modèle des ECF '!$A$3:$O$236,MATCH('Modèle spécifié d''ECF'!$C17,'Prix et modèle des ECF '!$E$3:$E$236,0),MATCH('Modèle spécifié d''ECF'!D$2,'Prix et modèle des ECF '!$A$3:$O$3,0)),"")</f>
        <v/>
      </c>
      <c r="E17" s="32" t="str">
        <f>IFERROR(INDEX('Prix et modèle des ECF '!$A$3:$O$236,MATCH('Modèle spécifié d''ECF'!$C17,'Prix et modèle des ECF '!$E$3:$E$236,0),MATCH('Modèle spécifié d''ECF'!E$2,'Prix et modèle des ECF '!$A$3:$O$3,0)),"")</f>
        <v/>
      </c>
      <c r="F17" s="32" t="str">
        <f>IFERROR(INDEX('Prix et modèle des ECF '!$A$3:$O$236,MATCH('Modèle spécifié d''ECF'!$C17,'Prix et modèle des ECF '!$E$3:$E$236,0),MATCH('Modèle spécifié d''ECF'!F$2,'Prix et modèle des ECF '!$A$3:$O$3,0)),"")</f>
        <v/>
      </c>
      <c r="G17" s="117" t="str">
        <f>IFERROR(INDEX('Prix et modèle des ECF '!$A$3:$O$236,MATCH('Modèle spécifié d''ECF'!$C17,'Prix et modèle des ECF '!$E$3:$E$236,0),MATCH('Modèle spécifié d''ECF'!G$2,'Prix et modèle des ECF '!$A$3:$O$3,0)),"")</f>
        <v/>
      </c>
      <c r="H17" s="54"/>
      <c r="I17" s="106" t="str">
        <f>IF(ISERROR(IF(ISERROR(MATCH($A17,Reference_Dropdown1!$B$30:$B$42,0)),G17+$H17,G17)),"",IF(ISERROR(MATCH($A17,Reference_Dropdown1!$B$30:$B$42,0)),G17+$H17,"N/A"))</f>
        <v/>
      </c>
      <c r="J17" s="195"/>
      <c r="K17" s="219" t="str">
        <f t="shared" si="0"/>
        <v/>
      </c>
      <c r="L17" s="208"/>
      <c r="M17" s="221" t="str">
        <f>IFERROR(INDEX('Prix et modèle des ECF '!$A$3:$O$236,MATCH('Modèle spécifié d''ECF'!$L17,'Prix et modèle des ECF '!$E$3:$E$236,0),MATCH('Modèle spécifié d''ECF'!M$2,'Prix et modèle des ECF '!$A$3:$O$3,0)),"")</f>
        <v/>
      </c>
      <c r="N17" s="169" t="str">
        <f>IFERROR(INDEX('Prix et modèle des ECF '!$A$3:$O$236,MATCH('Modèle spécifié d''ECF'!$L17,'Prix et modèle des ECF '!$E$3:$E$236,0),MATCH('Modèle spécifié d''ECF'!N$2,'Prix et modèle des ECF '!$A$3:$O$3,0)),"")</f>
        <v/>
      </c>
      <c r="O17" s="218" t="str">
        <f>IF(ISERROR(IF(ISERROR(MATCH($A17,Reference_Dropdown1!$B$30:$B$42,0)),N17+$H17,N17)),"",IF(ISERROR(MATCH($A17,Reference_Dropdown1!$B$30:$B$42,0)),N17+$H17,"N/A"))</f>
        <v/>
      </c>
      <c r="P17" s="195"/>
      <c r="Q17" s="219" t="str">
        <f t="shared" si="1"/>
        <v/>
      </c>
      <c r="R17" s="208"/>
      <c r="S17" s="220" t="str">
        <f>IFERROR(INDEX('Prix et modèle des ECF '!$A$3:$O$236,MATCH('Modèle spécifié d''ECF'!$R17,'Prix et modèle des ECF '!$E$3:$E$236,0),MATCH('Modèle spécifié d''ECF'!S$2,'Prix et modèle des ECF '!$A$3:$O$3,0)),"")</f>
        <v/>
      </c>
      <c r="T17" s="117" t="str">
        <f>IFERROR(INDEX('Prix et modèle des ECF '!$A$3:$O$236,MATCH('Modèle spécifié d''ECF'!$R17,'Prix et modèle des ECF '!$E$3:$E$236,0),MATCH('Modèle spécifié d''ECF'!T$2,'Prix et modèle des ECF '!$A$3:$O$3,0)),"")</f>
        <v/>
      </c>
      <c r="U17" s="218" t="str">
        <f>IF(ISERROR(IF(ISERROR(MATCH($A17,Reference_Dropdown1!$B$30:$B$42,0)),T17+$H17,T17)),"",IF(ISERROR(MATCH($A17,Reference_Dropdown1!$B$30:$B$42,0)),T17+$H17,"N/A"))</f>
        <v/>
      </c>
      <c r="V17" s="195"/>
      <c r="W17" s="219" t="str">
        <f t="shared" si="2"/>
        <v/>
      </c>
      <c r="AB17" s="26" t="str">
        <f t="shared" si="3"/>
        <v>_10</v>
      </c>
    </row>
    <row r="18" spans="1:28" s="26" customFormat="1" ht="27" customHeight="1" x14ac:dyDescent="0.25">
      <c r="A18" s="46" t="s">
        <v>428</v>
      </c>
      <c r="B18" s="182"/>
      <c r="C18" s="42"/>
      <c r="D18" s="29" t="str">
        <f>IFERROR(INDEX('Prix et modèle des ECF '!$A$3:$O$236,MATCH('Modèle spécifié d''ECF'!$C18,'Prix et modèle des ECF '!$E$3:$E$236,0),MATCH('Modèle spécifié d''ECF'!D$2,'Prix et modèle des ECF '!$A$3:$O$3,0)),"")</f>
        <v/>
      </c>
      <c r="E18" s="32" t="str">
        <f>IFERROR(INDEX('Prix et modèle des ECF '!$A$3:$O$236,MATCH('Modèle spécifié d''ECF'!$C18,'Prix et modèle des ECF '!$E$3:$E$236,0),MATCH('Modèle spécifié d''ECF'!E$2,'Prix et modèle des ECF '!$A$3:$O$3,0)),"")</f>
        <v/>
      </c>
      <c r="F18" s="32" t="str">
        <f>IFERROR(INDEX('Prix et modèle des ECF '!$A$3:$O$236,MATCH('Modèle spécifié d''ECF'!$C18,'Prix et modèle des ECF '!$E$3:$E$236,0),MATCH('Modèle spécifié d''ECF'!F$2,'Prix et modèle des ECF '!$A$3:$O$3,0)),"")</f>
        <v/>
      </c>
      <c r="G18" s="117" t="str">
        <f>IFERROR(INDEX('Prix et modèle des ECF '!$A$3:$O$236,MATCH('Modèle spécifié d''ECF'!$C18,'Prix et modèle des ECF '!$E$3:$E$236,0),MATCH('Modèle spécifié d''ECF'!G$2,'Prix et modèle des ECF '!$A$3:$O$3,0)),"")</f>
        <v/>
      </c>
      <c r="H18" s="54"/>
      <c r="I18" s="106" t="str">
        <f>IF(ISERROR(IF(ISERROR(MATCH($A18,Reference_Dropdown1!$B$30:$B$42,0)),G18+$H18,G18)),"",IF(ISERROR(MATCH($A18,Reference_Dropdown1!$B$30:$B$42,0)),G18+$H18,"N/A"))</f>
        <v/>
      </c>
      <c r="J18" s="195"/>
      <c r="K18" s="219" t="str">
        <f t="shared" si="0"/>
        <v/>
      </c>
      <c r="L18" s="208"/>
      <c r="M18" s="221" t="str">
        <f>IFERROR(INDEX('Prix et modèle des ECF '!$A$3:$O$236,MATCH('Modèle spécifié d''ECF'!$L18,'Prix et modèle des ECF '!$E$3:$E$236,0),MATCH('Modèle spécifié d''ECF'!M$2,'Prix et modèle des ECF '!$A$3:$O$3,0)),"")</f>
        <v/>
      </c>
      <c r="N18" s="169" t="str">
        <f>IFERROR(INDEX('Prix et modèle des ECF '!$A$3:$O$236,MATCH('Modèle spécifié d''ECF'!$L18,'Prix et modèle des ECF '!$E$3:$E$236,0),MATCH('Modèle spécifié d''ECF'!N$2,'Prix et modèle des ECF '!$A$3:$O$3,0)),"")</f>
        <v/>
      </c>
      <c r="O18" s="218" t="str">
        <f>IF(ISERROR(IF(ISERROR(MATCH($A18,Reference_Dropdown1!$B$30:$B$42,0)),N18+$H18,N18)),"",IF(ISERROR(MATCH($A18,Reference_Dropdown1!$B$30:$B$42,0)),N18+$H18,"N/A"))</f>
        <v/>
      </c>
      <c r="P18" s="195"/>
      <c r="Q18" s="219" t="str">
        <f t="shared" si="1"/>
        <v/>
      </c>
      <c r="R18" s="208"/>
      <c r="S18" s="220" t="str">
        <f>IFERROR(INDEX('Prix et modèle des ECF '!$A$3:$O$236,MATCH('Modèle spécifié d''ECF'!$R18,'Prix et modèle des ECF '!$E$3:$E$236,0),MATCH('Modèle spécifié d''ECF'!S$2,'Prix et modèle des ECF '!$A$3:$O$3,0)),"")</f>
        <v/>
      </c>
      <c r="T18" s="117" t="str">
        <f>IFERROR(INDEX('Prix et modèle des ECF '!$A$3:$O$236,MATCH('Modèle spécifié d''ECF'!$R18,'Prix et modèle des ECF '!$E$3:$E$236,0),MATCH('Modèle spécifié d''ECF'!T$2,'Prix et modèle des ECF '!$A$3:$O$3,0)),"")</f>
        <v/>
      </c>
      <c r="U18" s="218" t="str">
        <f>IF(ISERROR(IF(ISERROR(MATCH($A18,Reference_Dropdown1!$B$30:$B$42,0)),T18+$H18,T18)),"",IF(ISERROR(MATCH($A18,Reference_Dropdown1!$B$30:$B$42,0)),T18+$H18,"N/A"))</f>
        <v/>
      </c>
      <c r="V18" s="195"/>
      <c r="W18" s="219" t="str">
        <f t="shared" si="2"/>
        <v/>
      </c>
      <c r="AB18" s="26" t="str">
        <f t="shared" si="3"/>
        <v>_10</v>
      </c>
    </row>
    <row r="19" spans="1:28" s="26" customFormat="1" ht="27" customHeight="1" x14ac:dyDescent="0.25">
      <c r="A19" s="47" t="s">
        <v>429</v>
      </c>
      <c r="B19" s="182"/>
      <c r="C19" s="42"/>
      <c r="D19" s="29" t="str">
        <f>IFERROR(INDEX('Prix et modèle des ECF '!$A$3:$O$236,MATCH('Modèle spécifié d''ECF'!$C19,'Prix et modèle des ECF '!$E$3:$E$236,0),MATCH('Modèle spécifié d''ECF'!D$2,'Prix et modèle des ECF '!$A$3:$O$3,0)),"")</f>
        <v/>
      </c>
      <c r="E19" s="32" t="str">
        <f>IFERROR(INDEX('Prix et modèle des ECF '!$A$3:$O$236,MATCH('Modèle spécifié d''ECF'!$C19,'Prix et modèle des ECF '!$E$3:$E$236,0),MATCH('Modèle spécifié d''ECF'!E$2,'Prix et modèle des ECF '!$A$3:$O$3,0)),"")</f>
        <v/>
      </c>
      <c r="F19" s="32" t="str">
        <f>IFERROR(INDEX('Prix et modèle des ECF '!$A$3:$O$236,MATCH('Modèle spécifié d''ECF'!$C19,'Prix et modèle des ECF '!$E$3:$E$236,0),MATCH('Modèle spécifié d''ECF'!F$2,'Prix et modèle des ECF '!$A$3:$O$3,0)),"")</f>
        <v/>
      </c>
      <c r="G19" s="117" t="str">
        <f>IFERROR(INDEX('Prix et modèle des ECF '!$A$3:$O$236,MATCH('Modèle spécifié d''ECF'!$C19,'Prix et modèle des ECF '!$E$3:$E$236,0),MATCH('Modèle spécifié d''ECF'!G$2,'Prix et modèle des ECF '!$A$3:$O$3,0)),"")</f>
        <v/>
      </c>
      <c r="H19" s="54"/>
      <c r="I19" s="106" t="str">
        <f>IF(ISERROR(IF(ISERROR(MATCH($A19,Reference_Dropdown1!$B$30:$B$42,0)),G19+$H19,G19)),"",IF(ISERROR(MATCH($A19,Reference_Dropdown1!$B$30:$B$42,0)),G19+$H19,"N/A"))</f>
        <v/>
      </c>
      <c r="J19" s="195"/>
      <c r="K19" s="219" t="str">
        <f t="shared" si="0"/>
        <v/>
      </c>
      <c r="L19" s="208"/>
      <c r="M19" s="221" t="str">
        <f>IFERROR(INDEX('Prix et modèle des ECF '!$A$3:$O$236,MATCH('Modèle spécifié d''ECF'!$L19,'Prix et modèle des ECF '!$E$3:$E$236,0),MATCH('Modèle spécifié d''ECF'!M$2,'Prix et modèle des ECF '!$A$3:$O$3,0)),"")</f>
        <v/>
      </c>
      <c r="N19" s="169" t="str">
        <f>IFERROR(INDEX('Prix et modèle des ECF '!$A$3:$O$236,MATCH('Modèle spécifié d''ECF'!$L19,'Prix et modèle des ECF '!$E$3:$E$236,0),MATCH('Modèle spécifié d''ECF'!N$2,'Prix et modèle des ECF '!$A$3:$O$3,0)),"")</f>
        <v/>
      </c>
      <c r="O19" s="218" t="str">
        <f>IF(ISERROR(IF(ISERROR(MATCH($A19,Reference_Dropdown1!$B$30:$B$42,0)),N19+$H19,N19)),"",IF(ISERROR(MATCH($A19,Reference_Dropdown1!$B$30:$B$42,0)),N19+$H19,"N/A"))</f>
        <v/>
      </c>
      <c r="P19" s="195"/>
      <c r="Q19" s="219" t="str">
        <f t="shared" si="1"/>
        <v/>
      </c>
      <c r="R19" s="208"/>
      <c r="S19" s="220" t="str">
        <f>IFERROR(INDEX('Prix et modèle des ECF '!$A$3:$O$236,MATCH('Modèle spécifié d''ECF'!$R19,'Prix et modèle des ECF '!$E$3:$E$236,0),MATCH('Modèle spécifié d''ECF'!S$2,'Prix et modèle des ECF '!$A$3:$O$3,0)),"")</f>
        <v/>
      </c>
      <c r="T19" s="117" t="str">
        <f>IFERROR(INDEX('Prix et modèle des ECF '!$A$3:$O$236,MATCH('Modèle spécifié d''ECF'!$R19,'Prix et modèle des ECF '!$E$3:$E$236,0),MATCH('Modèle spécifié d''ECF'!T$2,'Prix et modèle des ECF '!$A$3:$O$3,0)),"")</f>
        <v/>
      </c>
      <c r="U19" s="218" t="str">
        <f>IF(ISERROR(IF(ISERROR(MATCH($A19,Reference_Dropdown1!$B$30:$B$42,0)),T19+$H19,T19)),"",IF(ISERROR(MATCH($A19,Reference_Dropdown1!$B$30:$B$42,0)),T19+$H19,"N/A"))</f>
        <v/>
      </c>
      <c r="V19" s="195"/>
      <c r="W19" s="219" t="str">
        <f t="shared" si="2"/>
        <v/>
      </c>
      <c r="AB19" s="26" t="str">
        <f t="shared" si="3"/>
        <v>_11</v>
      </c>
    </row>
    <row r="20" spans="1:28" s="26" customFormat="1" ht="27" customHeight="1" x14ac:dyDescent="0.25">
      <c r="A20" s="47" t="s">
        <v>429</v>
      </c>
      <c r="B20" s="182"/>
      <c r="C20" s="42"/>
      <c r="D20" s="29" t="str">
        <f>IFERROR(INDEX('Prix et modèle des ECF '!$A$3:$O$236,MATCH('Modèle spécifié d''ECF'!$C20,'Prix et modèle des ECF '!$E$3:$E$236,0),MATCH('Modèle spécifié d''ECF'!D$2,'Prix et modèle des ECF '!$A$3:$O$3,0)),"")</f>
        <v/>
      </c>
      <c r="E20" s="32" t="str">
        <f>IFERROR(INDEX('Prix et modèle des ECF '!$A$3:$O$236,MATCH('Modèle spécifié d''ECF'!$C20,'Prix et modèle des ECF '!$E$3:$E$236,0),MATCH('Modèle spécifié d''ECF'!E$2,'Prix et modèle des ECF '!$A$3:$O$3,0)),"")</f>
        <v/>
      </c>
      <c r="F20" s="32" t="str">
        <f>IFERROR(INDEX('Prix et modèle des ECF '!$A$3:$O$236,MATCH('Modèle spécifié d''ECF'!$C20,'Prix et modèle des ECF '!$E$3:$E$236,0),MATCH('Modèle spécifié d''ECF'!F$2,'Prix et modèle des ECF '!$A$3:$O$3,0)),"")</f>
        <v/>
      </c>
      <c r="G20" s="117" t="str">
        <f>IFERROR(INDEX('Prix et modèle des ECF '!$A$3:$O$236,MATCH('Modèle spécifié d''ECF'!$C20,'Prix et modèle des ECF '!$E$3:$E$236,0),MATCH('Modèle spécifié d''ECF'!G$2,'Prix et modèle des ECF '!$A$3:$O$3,0)),"")</f>
        <v/>
      </c>
      <c r="H20" s="54"/>
      <c r="I20" s="106" t="str">
        <f>IF(ISERROR(IF(ISERROR(MATCH($A20,Reference_Dropdown1!$B$30:$B$42,0)),G20+$H20,G20)),"",IF(ISERROR(MATCH($A20,Reference_Dropdown1!$B$30:$B$42,0)),G20+$H20,"N/A"))</f>
        <v/>
      </c>
      <c r="J20" s="195"/>
      <c r="K20" s="219" t="str">
        <f t="shared" si="0"/>
        <v/>
      </c>
      <c r="L20" s="208"/>
      <c r="M20" s="221" t="str">
        <f>IFERROR(INDEX('Prix et modèle des ECF '!$A$3:$O$236,MATCH('Modèle spécifié d''ECF'!$L20,'Prix et modèle des ECF '!$E$3:$E$236,0),MATCH('Modèle spécifié d''ECF'!M$2,'Prix et modèle des ECF '!$A$3:$O$3,0)),"")</f>
        <v/>
      </c>
      <c r="N20" s="169" t="str">
        <f>IFERROR(INDEX('Prix et modèle des ECF '!$A$3:$O$236,MATCH('Modèle spécifié d''ECF'!$L20,'Prix et modèle des ECF '!$E$3:$E$236,0),MATCH('Modèle spécifié d''ECF'!N$2,'Prix et modèle des ECF '!$A$3:$O$3,0)),"")</f>
        <v/>
      </c>
      <c r="O20" s="218" t="str">
        <f>IF(ISERROR(IF(ISERROR(MATCH($A20,Reference_Dropdown1!$B$30:$B$42,0)),N20+$H20,N20)),"",IF(ISERROR(MATCH($A20,Reference_Dropdown1!$B$30:$B$42,0)),N20+$H20,"N/A"))</f>
        <v/>
      </c>
      <c r="P20" s="195"/>
      <c r="Q20" s="219" t="str">
        <f t="shared" si="1"/>
        <v/>
      </c>
      <c r="R20" s="208"/>
      <c r="S20" s="220" t="str">
        <f>IFERROR(INDEX('Prix et modèle des ECF '!$A$3:$O$236,MATCH('Modèle spécifié d''ECF'!$R20,'Prix et modèle des ECF '!$E$3:$E$236,0),MATCH('Modèle spécifié d''ECF'!S$2,'Prix et modèle des ECF '!$A$3:$O$3,0)),"")</f>
        <v/>
      </c>
      <c r="T20" s="117" t="str">
        <f>IFERROR(INDEX('Prix et modèle des ECF '!$A$3:$O$236,MATCH('Modèle spécifié d''ECF'!$R20,'Prix et modèle des ECF '!$E$3:$E$236,0),MATCH('Modèle spécifié d''ECF'!T$2,'Prix et modèle des ECF '!$A$3:$O$3,0)),"")</f>
        <v/>
      </c>
      <c r="U20" s="218" t="str">
        <f>IF(ISERROR(IF(ISERROR(MATCH($A20,Reference_Dropdown1!$B$30:$B$42,0)),T20+$H20,T20)),"",IF(ISERROR(MATCH($A20,Reference_Dropdown1!$B$30:$B$42,0)),T20+$H20,"N/A"))</f>
        <v/>
      </c>
      <c r="V20" s="195"/>
      <c r="W20" s="219" t="str">
        <f t="shared" si="2"/>
        <v/>
      </c>
      <c r="AB20" s="26" t="str">
        <f t="shared" si="3"/>
        <v>_11</v>
      </c>
    </row>
    <row r="21" spans="1:28" s="26" customFormat="1" ht="27" customHeight="1" x14ac:dyDescent="0.25">
      <c r="A21" s="48" t="s">
        <v>366</v>
      </c>
      <c r="B21" s="182"/>
      <c r="C21" s="42"/>
      <c r="D21" s="29" t="str">
        <f>IFERROR(INDEX('Prix et modèle des ECF '!$A$3:$O$236,MATCH('Modèle spécifié d''ECF'!$C21,'Prix et modèle des ECF '!$E$3:$E$236,0),MATCH('Modèle spécifié d''ECF'!D$2,'Prix et modèle des ECF '!$A$3:$O$3,0)),"")</f>
        <v/>
      </c>
      <c r="E21" s="32" t="str">
        <f>IFERROR(INDEX('Prix et modèle des ECF '!$A$3:$O$236,MATCH('Modèle spécifié d''ECF'!$C21,'Prix et modèle des ECF '!$E$3:$E$236,0),MATCH('Modèle spécifié d''ECF'!E$2,'Prix et modèle des ECF '!$A$3:$O$3,0)),"")</f>
        <v/>
      </c>
      <c r="F21" s="32" t="str">
        <f>IFERROR(INDEX('Prix et modèle des ECF '!$A$3:$O$236,MATCH('Modèle spécifié d''ECF'!$C21,'Prix et modèle des ECF '!$E$3:$E$236,0),MATCH('Modèle spécifié d''ECF'!F$2,'Prix et modèle des ECF '!$A$3:$O$3,0)),"")</f>
        <v/>
      </c>
      <c r="G21" s="117" t="str">
        <f>IFERROR(INDEX('Prix et modèle des ECF '!$A$3:$O$236,MATCH('Modèle spécifié d''ECF'!$C21,'Prix et modèle des ECF '!$E$3:$E$236,0),MATCH('Modèle spécifié d''ECF'!G$2,'Prix et modèle des ECF '!$A$3:$O$3,0)),"")</f>
        <v/>
      </c>
      <c r="H21" s="157"/>
      <c r="I21" s="106" t="str">
        <f>IF(ISERROR(IF(ISERROR(MATCH($A21,Reference_Dropdown1!$B$30:$B$42,0)),G21+$H21,G21)),"",IF(ISERROR(MATCH($A21,Reference_Dropdown1!$B$30:$B$42,0)),G21+$H21,"N/A"))</f>
        <v>N/A</v>
      </c>
      <c r="J21" s="195"/>
      <c r="K21" s="219" t="str">
        <f t="shared" si="0"/>
        <v/>
      </c>
      <c r="L21" s="208"/>
      <c r="M21" s="221" t="str">
        <f>IFERROR(INDEX('Prix et modèle des ECF '!$A$3:$O$236,MATCH('Modèle spécifié d''ECF'!$L21,'Prix et modèle des ECF '!$E$3:$E$236,0),MATCH('Modèle spécifié d''ECF'!M$2,'Prix et modèle des ECF '!$A$3:$O$3,0)),"")</f>
        <v/>
      </c>
      <c r="N21" s="169" t="str">
        <f>IFERROR(INDEX('Prix et modèle des ECF '!$A$3:$O$236,MATCH('Modèle spécifié d''ECF'!$L21,'Prix et modèle des ECF '!$E$3:$E$236,0),MATCH('Modèle spécifié d''ECF'!N$2,'Prix et modèle des ECF '!$A$3:$O$3,0)),"")</f>
        <v/>
      </c>
      <c r="O21" s="218" t="str">
        <f>IF(ISERROR(IF(ISERROR(MATCH($A21,Reference_Dropdown1!$B$30:$B$42,0)),N21+$H21,N21)),"",IF(ISERROR(MATCH($A21,Reference_Dropdown1!$B$30:$B$42,0)),N21+$H21,"N/A"))</f>
        <v>N/A</v>
      </c>
      <c r="P21" s="195"/>
      <c r="Q21" s="219" t="str">
        <f t="shared" si="1"/>
        <v/>
      </c>
      <c r="R21" s="208"/>
      <c r="S21" s="220" t="str">
        <f>IFERROR(INDEX('Prix et modèle des ECF '!$A$3:$O$236,MATCH('Modèle spécifié d''ECF'!$R21,'Prix et modèle des ECF '!$E$3:$E$236,0),MATCH('Modèle spécifié d''ECF'!S$2,'Prix et modèle des ECF '!$A$3:$O$3,0)),"")</f>
        <v/>
      </c>
      <c r="T21" s="117" t="str">
        <f>IFERROR(INDEX('Prix et modèle des ECF '!$A$3:$O$236,MATCH('Modèle spécifié d''ECF'!$R21,'Prix et modèle des ECF '!$E$3:$E$236,0),MATCH('Modèle spécifié d''ECF'!T$2,'Prix et modèle des ECF '!$A$3:$O$3,0)),"")</f>
        <v/>
      </c>
      <c r="U21" s="218" t="str">
        <f>IF(ISERROR(IF(ISERROR(MATCH($A21,Reference_Dropdown1!$B$30:$B$42,0)),T21+$H21,T21)),"",IF(ISERROR(MATCH($A21,Reference_Dropdown1!$B$30:$B$42,0)),T21+$H21,"N/A"))</f>
        <v>N/A</v>
      </c>
      <c r="V21" s="195"/>
      <c r="W21" s="219" t="str">
        <f t="shared" si="2"/>
        <v/>
      </c>
      <c r="AB21" s="26" t="str">
        <f t="shared" si="3"/>
        <v>_12</v>
      </c>
    </row>
    <row r="22" spans="1:28" s="26" customFormat="1" ht="27" customHeight="1" x14ac:dyDescent="0.25">
      <c r="A22" s="49" t="s">
        <v>430</v>
      </c>
      <c r="B22" s="182"/>
      <c r="C22" s="42"/>
      <c r="D22" s="29" t="str">
        <f>IFERROR(INDEX('Prix et modèle des ECF '!$A$3:$O$236,MATCH('Modèle spécifié d''ECF'!$C22,'Prix et modèle des ECF '!$E$3:$E$236,0),MATCH('Modèle spécifié d''ECF'!D$2,'Prix et modèle des ECF '!$A$3:$O$3,0)),"")</f>
        <v/>
      </c>
      <c r="E22" s="32" t="str">
        <f>IFERROR(INDEX('Prix et modèle des ECF '!$A$3:$O$236,MATCH('Modèle spécifié d''ECF'!$C22,'Prix et modèle des ECF '!$E$3:$E$236,0),MATCH('Modèle spécifié d''ECF'!E$2,'Prix et modèle des ECF '!$A$3:$O$3,0)),"")</f>
        <v/>
      </c>
      <c r="F22" s="32" t="str">
        <f>IFERROR(INDEX('Prix et modèle des ECF '!$A$3:$O$236,MATCH('Modèle spécifié d''ECF'!$C22,'Prix et modèle des ECF '!$E$3:$E$236,0),MATCH('Modèle spécifié d''ECF'!F$2,'Prix et modèle des ECF '!$A$3:$O$3,0)),"")</f>
        <v/>
      </c>
      <c r="G22" s="117" t="str">
        <f>IFERROR(INDEX('Prix et modèle des ECF '!$A$3:$O$236,MATCH('Modèle spécifié d''ECF'!$C22,'Prix et modèle des ECF '!$E$3:$E$236,0),MATCH('Modèle spécifié d''ECF'!G$2,'Prix et modèle des ECF '!$A$3:$O$3,0)),"")</f>
        <v/>
      </c>
      <c r="H22" s="54"/>
      <c r="I22" s="106" t="str">
        <f>IF(ISERROR(IF(ISERROR(MATCH($A22,Reference_Dropdown1!$B$30:$B$42,0)),G22+$H22,G22)),"",IF(ISERROR(MATCH($A22,Reference_Dropdown1!$B$30:$B$42,0)),G22+$H22,"N/A"))</f>
        <v/>
      </c>
      <c r="J22" s="195"/>
      <c r="K22" s="219" t="str">
        <f t="shared" si="0"/>
        <v/>
      </c>
      <c r="L22" s="208"/>
      <c r="M22" s="221" t="str">
        <f>IFERROR(INDEX('Prix et modèle des ECF '!$A$3:$O$236,MATCH('Modèle spécifié d''ECF'!$L22,'Prix et modèle des ECF '!$E$3:$E$236,0),MATCH('Modèle spécifié d''ECF'!M$2,'Prix et modèle des ECF '!$A$3:$O$3,0)),"")</f>
        <v/>
      </c>
      <c r="N22" s="169" t="str">
        <f>IFERROR(INDEX('Prix et modèle des ECF '!$A$3:$O$236,MATCH('Modèle spécifié d''ECF'!$L22,'Prix et modèle des ECF '!$E$3:$E$236,0),MATCH('Modèle spécifié d''ECF'!N$2,'Prix et modèle des ECF '!$A$3:$O$3,0)),"")</f>
        <v/>
      </c>
      <c r="O22" s="218" t="str">
        <f>IF(ISERROR(IF(ISERROR(MATCH($A22,Reference_Dropdown1!$B$30:$B$42,0)),N22+$H22,N22)),"",IF(ISERROR(MATCH($A22,Reference_Dropdown1!$B$30:$B$42,0)),N22+$H22,"N/A"))</f>
        <v/>
      </c>
      <c r="P22" s="195"/>
      <c r="Q22" s="219" t="str">
        <f t="shared" si="1"/>
        <v/>
      </c>
      <c r="R22" s="208"/>
      <c r="S22" s="220" t="str">
        <f>IFERROR(INDEX('Prix et modèle des ECF '!$A$3:$O$236,MATCH('Modèle spécifié d''ECF'!$R22,'Prix et modèle des ECF '!$E$3:$E$236,0),MATCH('Modèle spécifié d''ECF'!S$2,'Prix et modèle des ECF '!$A$3:$O$3,0)),"")</f>
        <v/>
      </c>
      <c r="T22" s="117" t="str">
        <f>IFERROR(INDEX('Prix et modèle des ECF '!$A$3:$O$236,MATCH('Modèle spécifié d''ECF'!$R22,'Prix et modèle des ECF '!$E$3:$E$236,0),MATCH('Modèle spécifié d''ECF'!T$2,'Prix et modèle des ECF '!$A$3:$O$3,0)),"")</f>
        <v/>
      </c>
      <c r="U22" s="218" t="str">
        <f>IF(ISERROR(IF(ISERROR(MATCH($A22,Reference_Dropdown1!$B$30:$B$42,0)),T22+$H22,T22)),"",IF(ISERROR(MATCH($A22,Reference_Dropdown1!$B$30:$B$42,0)),T22+$H22,"N/A"))</f>
        <v/>
      </c>
      <c r="V22" s="195"/>
      <c r="W22" s="219" t="str">
        <f t="shared" si="2"/>
        <v/>
      </c>
      <c r="AB22" s="26" t="str">
        <f t="shared" si="3"/>
        <v>_13</v>
      </c>
    </row>
    <row r="23" spans="1:28" s="26" customFormat="1" ht="27" customHeight="1" x14ac:dyDescent="0.25">
      <c r="A23" s="49" t="s">
        <v>430</v>
      </c>
      <c r="B23" s="182"/>
      <c r="C23" s="42"/>
      <c r="D23" s="29" t="str">
        <f>IFERROR(INDEX('Prix et modèle des ECF '!$A$3:$O$236,MATCH('Modèle spécifié d''ECF'!$C23,'Prix et modèle des ECF '!$E$3:$E$236,0),MATCH('Modèle spécifié d''ECF'!D$2,'Prix et modèle des ECF '!$A$3:$O$3,0)),"")</f>
        <v/>
      </c>
      <c r="E23" s="32" t="str">
        <f>IFERROR(INDEX('Prix et modèle des ECF '!$A$3:$O$236,MATCH('Modèle spécifié d''ECF'!$C23,'Prix et modèle des ECF '!$E$3:$E$236,0),MATCH('Modèle spécifié d''ECF'!E$2,'Prix et modèle des ECF '!$A$3:$O$3,0)),"")</f>
        <v/>
      </c>
      <c r="F23" s="32" t="str">
        <f>IFERROR(INDEX('Prix et modèle des ECF '!$A$3:$O$236,MATCH('Modèle spécifié d''ECF'!$C23,'Prix et modèle des ECF '!$E$3:$E$236,0),MATCH('Modèle spécifié d''ECF'!F$2,'Prix et modèle des ECF '!$A$3:$O$3,0)),"")</f>
        <v/>
      </c>
      <c r="G23" s="117" t="str">
        <f>IFERROR(INDEX('Prix et modèle des ECF '!$A$3:$O$236,MATCH('Modèle spécifié d''ECF'!$C23,'Prix et modèle des ECF '!$E$3:$E$236,0),MATCH('Modèle spécifié d''ECF'!G$2,'Prix et modèle des ECF '!$A$3:$O$3,0)),"")</f>
        <v/>
      </c>
      <c r="H23" s="54"/>
      <c r="I23" s="106" t="str">
        <f>IF(ISERROR(IF(ISERROR(MATCH($A23,Reference_Dropdown1!$B$30:$B$42,0)),G23+$H23,G23)),"",IF(ISERROR(MATCH($A23,Reference_Dropdown1!$B$30:$B$42,0)),G23+$H23,"N/A"))</f>
        <v/>
      </c>
      <c r="J23" s="195"/>
      <c r="K23" s="219" t="str">
        <f t="shared" si="0"/>
        <v/>
      </c>
      <c r="L23" s="208"/>
      <c r="M23" s="221" t="str">
        <f>IFERROR(INDEX('Prix et modèle des ECF '!$A$3:$O$236,MATCH('Modèle spécifié d''ECF'!$L23,'Prix et modèle des ECF '!$E$3:$E$236,0),MATCH('Modèle spécifié d''ECF'!M$2,'Prix et modèle des ECF '!$A$3:$O$3,0)),"")</f>
        <v/>
      </c>
      <c r="N23" s="169" t="str">
        <f>IFERROR(INDEX('Prix et modèle des ECF '!$A$3:$O$236,MATCH('Modèle spécifié d''ECF'!$L23,'Prix et modèle des ECF '!$E$3:$E$236,0),MATCH('Modèle spécifié d''ECF'!N$2,'Prix et modèle des ECF '!$A$3:$O$3,0)),"")</f>
        <v/>
      </c>
      <c r="O23" s="218" t="str">
        <f>IF(ISERROR(IF(ISERROR(MATCH($A23,Reference_Dropdown1!$B$30:$B$42,0)),N23+$H23,N23)),"",IF(ISERROR(MATCH($A23,Reference_Dropdown1!$B$30:$B$42,0)),N23+$H23,"N/A"))</f>
        <v/>
      </c>
      <c r="P23" s="195"/>
      <c r="Q23" s="219" t="str">
        <f t="shared" si="1"/>
        <v/>
      </c>
      <c r="R23" s="208"/>
      <c r="S23" s="220" t="str">
        <f>IFERROR(INDEX('Prix et modèle des ECF '!$A$3:$O$236,MATCH('Modèle spécifié d''ECF'!$R23,'Prix et modèle des ECF '!$E$3:$E$236,0),MATCH('Modèle spécifié d''ECF'!S$2,'Prix et modèle des ECF '!$A$3:$O$3,0)),"")</f>
        <v/>
      </c>
      <c r="T23" s="117" t="str">
        <f>IFERROR(INDEX('Prix et modèle des ECF '!$A$3:$O$236,MATCH('Modèle spécifié d''ECF'!$R23,'Prix et modèle des ECF '!$E$3:$E$236,0),MATCH('Modèle spécifié d''ECF'!T$2,'Prix et modèle des ECF '!$A$3:$O$3,0)),"")</f>
        <v/>
      </c>
      <c r="U23" s="218" t="str">
        <f>IF(ISERROR(IF(ISERROR(MATCH($A23,Reference_Dropdown1!$B$30:$B$42,0)),T23+$H23,T23)),"",IF(ISERROR(MATCH($A23,Reference_Dropdown1!$B$30:$B$42,0)),T23+$H23,"N/A"))</f>
        <v/>
      </c>
      <c r="V23" s="195"/>
      <c r="W23" s="219" t="str">
        <f t="shared" si="2"/>
        <v/>
      </c>
      <c r="AB23" s="26" t="str">
        <f t="shared" si="3"/>
        <v>_13</v>
      </c>
    </row>
    <row r="24" spans="1:28" s="26" customFormat="1" ht="27" customHeight="1" x14ac:dyDescent="0.25">
      <c r="A24" s="49" t="s">
        <v>367</v>
      </c>
      <c r="B24" s="182"/>
      <c r="C24" s="42"/>
      <c r="D24" s="29" t="str">
        <f>IFERROR(INDEX('Prix et modèle des ECF '!$A$3:$O$236,MATCH('Modèle spécifié d''ECF'!$C24,'Prix et modèle des ECF '!$E$3:$E$236,0),MATCH('Modèle spécifié d''ECF'!D$2,'Prix et modèle des ECF '!$A$3:$O$3,0)),"")</f>
        <v/>
      </c>
      <c r="E24" s="143" t="str">
        <f>IFERROR(INDEX('Prix et modèle des ECF '!$A$3:$O$236,MATCH('Modèle spécifié d''ECF'!$C24,'Prix et modèle des ECF '!$E$3:$E$236,0),MATCH('Modèle spécifié d''ECF'!E$2,'Prix et modèle des ECF '!$A$3:$O$3,0)),"")</f>
        <v/>
      </c>
      <c r="F24" s="32" t="str">
        <f>IFERROR(INDEX('Prix et modèle des ECF '!$A$3:$O$236,MATCH('Modèle spécifié d''ECF'!$C24,'Prix et modèle des ECF '!$E$3:$E$236,0),MATCH('Modèle spécifié d''ECF'!F$2,'Prix et modèle des ECF '!$A$3:$O$3,0)),"")</f>
        <v/>
      </c>
      <c r="G24" s="117" t="str">
        <f>IFERROR(INDEX('Prix et modèle des ECF '!$A$3:$O$236,MATCH('Modèle spécifié d''ECF'!$C24,'Prix et modèle des ECF '!$E$3:$E$236,0),MATCH('Modèle spécifié d''ECF'!G$2,'Prix et modèle des ECF '!$A$3:$O$3,0)),"")</f>
        <v/>
      </c>
      <c r="H24" s="157"/>
      <c r="I24" s="106" t="str">
        <f>IF(ISERROR(IF(ISERROR(MATCH($A24,Reference_Dropdown1!$B$30:$B$42,0)),G24+$H24,G24)),"",IF(ISERROR(MATCH($A24,Reference_Dropdown1!$B$30:$B$42,0)),G24+$H24,"N/A"))</f>
        <v>N/A</v>
      </c>
      <c r="J24" s="195"/>
      <c r="K24" s="219" t="str">
        <f t="shared" si="0"/>
        <v/>
      </c>
      <c r="L24" s="208"/>
      <c r="M24" s="221" t="str">
        <f>IFERROR(INDEX('Prix et modèle des ECF '!$A$3:$O$236,MATCH('Modèle spécifié d''ECF'!$L24,'Prix et modèle des ECF '!$E$3:$E$236,0),MATCH('Modèle spécifié d''ECF'!M$2,'Prix et modèle des ECF '!$A$3:$O$3,0)),"")</f>
        <v/>
      </c>
      <c r="N24" s="169" t="str">
        <f>IFERROR(INDEX('Prix et modèle des ECF '!$A$3:$O$236,MATCH('Modèle spécifié d''ECF'!$L24,'Prix et modèle des ECF '!$E$3:$E$236,0),MATCH('Modèle spécifié d''ECF'!N$2,'Prix et modèle des ECF '!$A$3:$O$3,0)),"")</f>
        <v/>
      </c>
      <c r="O24" s="218" t="str">
        <f>IF(ISERROR(IF(ISERROR(MATCH($A24,Reference_Dropdown1!$B$30:$B$42,0)),N24+$H24,N24)),"",IF(ISERROR(MATCH($A24,Reference_Dropdown1!$B$30:$B$42,0)),N24+$H24,"N/A"))</f>
        <v>N/A</v>
      </c>
      <c r="P24" s="195"/>
      <c r="Q24" s="219" t="str">
        <f t="shared" si="1"/>
        <v/>
      </c>
      <c r="R24" s="208"/>
      <c r="S24" s="220" t="str">
        <f>IFERROR(INDEX('Prix et modèle des ECF '!$A$3:$O$236,MATCH('Modèle spécifié d''ECF'!$R24,'Prix et modèle des ECF '!$E$3:$E$236,0),MATCH('Modèle spécifié d''ECF'!S$2,'Prix et modèle des ECF '!$A$3:$O$3,0)),"")</f>
        <v/>
      </c>
      <c r="T24" s="117" t="str">
        <f>IFERROR(INDEX('Prix et modèle des ECF '!$A$3:$O$236,MATCH('Modèle spécifié d''ECF'!$R24,'Prix et modèle des ECF '!$E$3:$E$236,0),MATCH('Modèle spécifié d''ECF'!T$2,'Prix et modèle des ECF '!$A$3:$O$3,0)),"")</f>
        <v/>
      </c>
      <c r="U24" s="218" t="str">
        <f>IF(ISERROR(IF(ISERROR(MATCH($A24,Reference_Dropdown1!$B$30:$B$42,0)),T24+$H24,T24)),"",IF(ISERROR(MATCH($A24,Reference_Dropdown1!$B$30:$B$42,0)),T24+$H24,"N/A"))</f>
        <v>N/A</v>
      </c>
      <c r="V24" s="195"/>
      <c r="W24" s="219" t="str">
        <f t="shared" si="2"/>
        <v/>
      </c>
      <c r="AB24" s="26" t="str">
        <f t="shared" si="3"/>
        <v>_14</v>
      </c>
    </row>
    <row r="25" spans="1:28" s="26" customFormat="1" ht="27" customHeight="1" x14ac:dyDescent="0.25">
      <c r="A25" s="49" t="s">
        <v>367</v>
      </c>
      <c r="B25" s="182"/>
      <c r="C25" s="42"/>
      <c r="D25" s="29" t="str">
        <f>IFERROR(INDEX('Prix et modèle des ECF '!$A$3:$O$236,MATCH('Modèle spécifié d''ECF'!$C25,'Prix et modèle des ECF '!$E$3:$E$236,0),MATCH('Modèle spécifié d''ECF'!D$2,'Prix et modèle des ECF '!$A$3:$O$3,0)),"")</f>
        <v/>
      </c>
      <c r="E25" s="143" t="str">
        <f>IFERROR(INDEX('Prix et modèle des ECF '!$A$3:$O$236,MATCH('Modèle spécifié d''ECF'!$C25,'Prix et modèle des ECF '!$E$3:$E$236,0),MATCH('Modèle spécifié d''ECF'!E$2,'Prix et modèle des ECF '!$A$3:$O$3,0)),"")</f>
        <v/>
      </c>
      <c r="F25" s="32" t="str">
        <f>IFERROR(INDEX('Prix et modèle des ECF '!$A$3:$O$236,MATCH('Modèle spécifié d''ECF'!$C25,'Prix et modèle des ECF '!$E$3:$E$236,0),MATCH('Modèle spécifié d''ECF'!F$2,'Prix et modèle des ECF '!$A$3:$O$3,0)),"")</f>
        <v/>
      </c>
      <c r="G25" s="117" t="str">
        <f>IFERROR(INDEX('Prix et modèle des ECF '!$A$3:$O$236,MATCH('Modèle spécifié d''ECF'!$C25,'Prix et modèle des ECF '!$E$3:$E$236,0),MATCH('Modèle spécifié d''ECF'!G$2,'Prix et modèle des ECF '!$A$3:$O$3,0)),"")</f>
        <v/>
      </c>
      <c r="H25" s="157"/>
      <c r="I25" s="106" t="str">
        <f>IF(ISERROR(IF(ISERROR(MATCH($A25,Reference_Dropdown1!$B$30:$B$42,0)),G25+$H25,G25)),"",IF(ISERROR(MATCH($A25,Reference_Dropdown1!$B$30:$B$42,0)),G25+$H25,"N/A"))</f>
        <v>N/A</v>
      </c>
      <c r="J25" s="195"/>
      <c r="K25" s="219" t="str">
        <f t="shared" si="0"/>
        <v/>
      </c>
      <c r="L25" s="208"/>
      <c r="M25" s="221" t="str">
        <f>IFERROR(INDEX('Prix et modèle des ECF '!$A$3:$O$236,MATCH('Modèle spécifié d''ECF'!$L25,'Prix et modèle des ECF '!$E$3:$E$236,0),MATCH('Modèle spécifié d''ECF'!M$2,'Prix et modèle des ECF '!$A$3:$O$3,0)),"")</f>
        <v/>
      </c>
      <c r="N25" s="169" t="str">
        <f>IFERROR(INDEX('Prix et modèle des ECF '!$A$3:$O$236,MATCH('Modèle spécifié d''ECF'!$L25,'Prix et modèle des ECF '!$E$3:$E$236,0),MATCH('Modèle spécifié d''ECF'!N$2,'Prix et modèle des ECF '!$A$3:$O$3,0)),"")</f>
        <v/>
      </c>
      <c r="O25" s="218" t="str">
        <f>IF(ISERROR(IF(ISERROR(MATCH($A25,Reference_Dropdown1!$B$30:$B$42,0)),N25+$H25,N25)),"",IF(ISERROR(MATCH($A25,Reference_Dropdown1!$B$30:$B$42,0)),N25+$H25,"N/A"))</f>
        <v>N/A</v>
      </c>
      <c r="P25" s="195"/>
      <c r="Q25" s="219" t="str">
        <f t="shared" si="1"/>
        <v/>
      </c>
      <c r="R25" s="208"/>
      <c r="S25" s="220" t="str">
        <f>IFERROR(INDEX('Prix et modèle des ECF '!$A$3:$O$236,MATCH('Modèle spécifié d''ECF'!$R25,'Prix et modèle des ECF '!$E$3:$E$236,0),MATCH('Modèle spécifié d''ECF'!S$2,'Prix et modèle des ECF '!$A$3:$O$3,0)),"")</f>
        <v/>
      </c>
      <c r="T25" s="117" t="str">
        <f>IFERROR(INDEX('Prix et modèle des ECF '!$A$3:$O$236,MATCH('Modèle spécifié d''ECF'!$R25,'Prix et modèle des ECF '!$E$3:$E$236,0),MATCH('Modèle spécifié d''ECF'!T$2,'Prix et modèle des ECF '!$A$3:$O$3,0)),"")</f>
        <v/>
      </c>
      <c r="U25" s="218" t="str">
        <f>IF(ISERROR(IF(ISERROR(MATCH($A25,Reference_Dropdown1!$B$30:$B$42,0)),T25+$H25,T25)),"",IF(ISERROR(MATCH($A25,Reference_Dropdown1!$B$30:$B$42,0)),T25+$H25,"N/A"))</f>
        <v>N/A</v>
      </c>
      <c r="V25" s="195"/>
      <c r="W25" s="219" t="str">
        <f t="shared" si="2"/>
        <v/>
      </c>
      <c r="AB25" s="26" t="str">
        <f t="shared" si="3"/>
        <v>_14</v>
      </c>
    </row>
    <row r="26" spans="1:28" s="26" customFormat="1" ht="27" customHeight="1" x14ac:dyDescent="0.25">
      <c r="A26" s="50" t="s">
        <v>368</v>
      </c>
      <c r="B26" s="182"/>
      <c r="C26" s="42"/>
      <c r="D26" s="29" t="str">
        <f>IFERROR(INDEX('Prix et modèle des ECF '!$A$3:$O$236,MATCH('Modèle spécifié d''ECF'!$C26,'Prix et modèle des ECF '!$E$3:$E$236,0),MATCH('Modèle spécifié d''ECF'!D$2,'Prix et modèle des ECF '!$A$3:$O$3,0)),"")</f>
        <v/>
      </c>
      <c r="E26" s="143" t="str">
        <f>IFERROR(INDEX('Prix et modèle des ECF '!$A$3:$O$236,MATCH('Modèle spécifié d''ECF'!$C26,'Prix et modèle des ECF '!$E$3:$E$236,0),MATCH('Modèle spécifié d''ECF'!E$2,'Prix et modèle des ECF '!$A$3:$O$3,0)),"")</f>
        <v/>
      </c>
      <c r="F26" s="32" t="str">
        <f>IFERROR(INDEX('Prix et modèle des ECF '!$A$3:$O$236,MATCH('Modèle spécifié d''ECF'!$C26,'Prix et modèle des ECF '!$E$3:$E$236,0),MATCH('Modèle spécifié d''ECF'!F$2,'Prix et modèle des ECF '!$A$3:$O$3,0)),"")</f>
        <v/>
      </c>
      <c r="G26" s="117" t="str">
        <f>IFERROR(INDEX('Prix et modèle des ECF '!$A$3:$O$236,MATCH('Modèle spécifié d''ECF'!$C26,'Prix et modèle des ECF '!$E$3:$E$236,0),MATCH('Modèle spécifié d''ECF'!G$2,'Prix et modèle des ECF '!$A$3:$O$3,0)),"")</f>
        <v/>
      </c>
      <c r="H26" s="157"/>
      <c r="I26" s="106" t="str">
        <f>IF(ISERROR(IF(ISERROR(MATCH($A26,Reference_Dropdown1!$B$30:$B$42,0)),G26+$H26,G26)),"",IF(ISERROR(MATCH($A26,Reference_Dropdown1!$B$30:$B$42,0)),G26+$H26,"N/A"))</f>
        <v>N/A</v>
      </c>
      <c r="J26" s="195"/>
      <c r="K26" s="219" t="str">
        <f t="shared" si="0"/>
        <v/>
      </c>
      <c r="L26" s="208"/>
      <c r="M26" s="221" t="str">
        <f>IFERROR(INDEX('Prix et modèle des ECF '!$A$3:$O$236,MATCH('Modèle spécifié d''ECF'!$L26,'Prix et modèle des ECF '!$E$3:$E$236,0),MATCH('Modèle spécifié d''ECF'!M$2,'Prix et modèle des ECF '!$A$3:$O$3,0)),"")</f>
        <v/>
      </c>
      <c r="N26" s="169" t="str">
        <f>IFERROR(INDEX('Prix et modèle des ECF '!$A$3:$O$236,MATCH('Modèle spécifié d''ECF'!$L26,'Prix et modèle des ECF '!$E$3:$E$236,0),MATCH('Modèle spécifié d''ECF'!N$2,'Prix et modèle des ECF '!$A$3:$O$3,0)),"")</f>
        <v/>
      </c>
      <c r="O26" s="218" t="str">
        <f>IF(ISERROR(IF(ISERROR(MATCH($A26,Reference_Dropdown1!$B$30:$B$42,0)),N26+$H26,N26)),"",IF(ISERROR(MATCH($A26,Reference_Dropdown1!$B$30:$B$42,0)),N26+$H26,"N/A"))</f>
        <v>N/A</v>
      </c>
      <c r="P26" s="195"/>
      <c r="Q26" s="219" t="str">
        <f t="shared" si="1"/>
        <v/>
      </c>
      <c r="R26" s="208"/>
      <c r="S26" s="220" t="str">
        <f>IFERROR(INDEX('Prix et modèle des ECF '!$A$3:$O$236,MATCH('Modèle spécifié d''ECF'!$R26,'Prix et modèle des ECF '!$E$3:$E$236,0),MATCH('Modèle spécifié d''ECF'!S$2,'Prix et modèle des ECF '!$A$3:$O$3,0)),"")</f>
        <v/>
      </c>
      <c r="T26" s="117" t="str">
        <f>IFERROR(INDEX('Prix et modèle des ECF '!$A$3:$O$236,MATCH('Modèle spécifié d''ECF'!$R26,'Prix et modèle des ECF '!$E$3:$E$236,0),MATCH('Modèle spécifié d''ECF'!T$2,'Prix et modèle des ECF '!$A$3:$O$3,0)),"")</f>
        <v/>
      </c>
      <c r="U26" s="218" t="str">
        <f>IF(ISERROR(IF(ISERROR(MATCH($A26,Reference_Dropdown1!$B$30:$B$42,0)),T26+$H26,T26)),"",IF(ISERROR(MATCH($A26,Reference_Dropdown1!$B$30:$B$42,0)),T26+$H26,"N/A"))</f>
        <v>N/A</v>
      </c>
      <c r="V26" s="195"/>
      <c r="W26" s="219" t="str">
        <f t="shared" si="2"/>
        <v/>
      </c>
      <c r="AB26" s="26" t="str">
        <f t="shared" si="3"/>
        <v>_15</v>
      </c>
    </row>
    <row r="27" spans="1:28" s="26" customFormat="1" ht="27" customHeight="1" x14ac:dyDescent="0.25">
      <c r="A27" s="50" t="s">
        <v>369</v>
      </c>
      <c r="B27" s="182"/>
      <c r="C27" s="42"/>
      <c r="D27" s="29" t="str">
        <f>IFERROR(INDEX('Prix et modèle des ECF '!$A$3:$O$236,MATCH('Modèle spécifié d''ECF'!$C27,'Prix et modèle des ECF '!$E$3:$E$236,0),MATCH('Modèle spécifié d''ECF'!D$2,'Prix et modèle des ECF '!$A$3:$O$3,0)),"")</f>
        <v/>
      </c>
      <c r="E27" s="143" t="str">
        <f>IFERROR(INDEX('Prix et modèle des ECF '!$A$3:$O$236,MATCH('Modèle spécifié d''ECF'!$C27,'Prix et modèle des ECF '!$E$3:$E$236,0),MATCH('Modèle spécifié d''ECF'!E$2,'Prix et modèle des ECF '!$A$3:$O$3,0)),"")</f>
        <v/>
      </c>
      <c r="F27" s="32" t="str">
        <f>IFERROR(INDEX('Prix et modèle des ECF '!$A$3:$O$236,MATCH('Modèle spécifié d''ECF'!$C27,'Prix et modèle des ECF '!$E$3:$E$236,0),MATCH('Modèle spécifié d''ECF'!F$2,'Prix et modèle des ECF '!$A$3:$O$3,0)),"")</f>
        <v/>
      </c>
      <c r="G27" s="117" t="str">
        <f>IFERROR(INDEX('Prix et modèle des ECF '!$A$3:$O$236,MATCH('Modèle spécifié d''ECF'!$C27,'Prix et modèle des ECF '!$E$3:$E$236,0),MATCH('Modèle spécifié d''ECF'!G$2,'Prix et modèle des ECF '!$A$3:$O$3,0)),"")</f>
        <v/>
      </c>
      <c r="H27" s="157"/>
      <c r="I27" s="106" t="str">
        <f>IF(ISERROR(IF(ISERROR(MATCH($A27,Reference_Dropdown1!$B$30:$B$42,0)),G27+$H27,G27)),"",IF(ISERROR(MATCH($A27,Reference_Dropdown1!$B$30:$B$42,0)),G27+$H27,"N/A"))</f>
        <v>N/A</v>
      </c>
      <c r="J27" s="195"/>
      <c r="K27" s="219" t="str">
        <f t="shared" si="0"/>
        <v/>
      </c>
      <c r="L27" s="208"/>
      <c r="M27" s="221" t="str">
        <f>IFERROR(INDEX('Prix et modèle des ECF '!$A$3:$O$236,MATCH('Modèle spécifié d''ECF'!$L27,'Prix et modèle des ECF '!$E$3:$E$236,0),MATCH('Modèle spécifié d''ECF'!M$2,'Prix et modèle des ECF '!$A$3:$O$3,0)),"")</f>
        <v/>
      </c>
      <c r="N27" s="169" t="str">
        <f>IFERROR(INDEX('Prix et modèle des ECF '!$A$3:$O$236,MATCH('Modèle spécifié d''ECF'!$L27,'Prix et modèle des ECF '!$E$3:$E$236,0),MATCH('Modèle spécifié d''ECF'!N$2,'Prix et modèle des ECF '!$A$3:$O$3,0)),"")</f>
        <v/>
      </c>
      <c r="O27" s="218" t="str">
        <f>IF(ISERROR(IF(ISERROR(MATCH($A27,Reference_Dropdown1!$B$30:$B$42,0)),N27+$H27,N27)),"",IF(ISERROR(MATCH($A27,Reference_Dropdown1!$B$30:$B$42,0)),N27+$H27,"N/A"))</f>
        <v>N/A</v>
      </c>
      <c r="P27" s="195"/>
      <c r="Q27" s="219" t="str">
        <f t="shared" si="1"/>
        <v/>
      </c>
      <c r="R27" s="208"/>
      <c r="S27" s="220" t="str">
        <f>IFERROR(INDEX('Prix et modèle des ECF '!$A$3:$O$236,MATCH('Modèle spécifié d''ECF'!$R27,'Prix et modèle des ECF '!$E$3:$E$236,0),MATCH('Modèle spécifié d''ECF'!S$2,'Prix et modèle des ECF '!$A$3:$O$3,0)),"")</f>
        <v/>
      </c>
      <c r="T27" s="117" t="str">
        <f>IFERROR(INDEX('Prix et modèle des ECF '!$A$3:$O$236,MATCH('Modèle spécifié d''ECF'!$R27,'Prix et modèle des ECF '!$E$3:$E$236,0),MATCH('Modèle spécifié d''ECF'!T$2,'Prix et modèle des ECF '!$A$3:$O$3,0)),"")</f>
        <v/>
      </c>
      <c r="U27" s="218" t="str">
        <f>IF(ISERROR(IF(ISERROR(MATCH($A27,Reference_Dropdown1!$B$30:$B$42,0)),T27+$H27,T27)),"",IF(ISERROR(MATCH($A27,Reference_Dropdown1!$B$30:$B$42,0)),T27+$H27,"N/A"))</f>
        <v>N/A</v>
      </c>
      <c r="V27" s="195"/>
      <c r="W27" s="219" t="str">
        <f t="shared" si="2"/>
        <v/>
      </c>
      <c r="AB27" s="26" t="str">
        <f t="shared" si="3"/>
        <v>_16</v>
      </c>
    </row>
    <row r="28" spans="1:28" s="26" customFormat="1" ht="27" customHeight="1" x14ac:dyDescent="0.25">
      <c r="A28" s="51" t="s">
        <v>370</v>
      </c>
      <c r="B28" s="182"/>
      <c r="C28" s="42"/>
      <c r="D28" s="29" t="str">
        <f>IFERROR(INDEX('Prix et modèle des ECF '!$A$3:$O$236,MATCH('Modèle spécifié d''ECF'!$C28,'Prix et modèle des ECF '!$E$3:$E$236,0),MATCH('Modèle spécifié d''ECF'!D$2,'Prix et modèle des ECF '!$A$3:$O$3,0)),"")</f>
        <v/>
      </c>
      <c r="E28" s="32" t="str">
        <f>IFERROR(INDEX('Prix et modèle des ECF '!$A$3:$O$236,MATCH('Modèle spécifié d''ECF'!$C28,'Prix et modèle des ECF '!$E$3:$E$236,0),MATCH('Modèle spécifié d''ECF'!E$2,'Prix et modèle des ECF '!$A$3:$O$3,0)),"")</f>
        <v/>
      </c>
      <c r="F28" s="32" t="str">
        <f>IFERROR(INDEX('Prix et modèle des ECF '!$A$3:$O$236,MATCH('Modèle spécifié d''ECF'!$C28,'Prix et modèle des ECF '!$E$3:$E$236,0),MATCH('Modèle spécifié d''ECF'!F$2,'Prix et modèle des ECF '!$A$3:$O$3,0)),"")</f>
        <v/>
      </c>
      <c r="G28" s="117" t="str">
        <f>IFERROR(INDEX('Prix et modèle des ECF '!$A$3:$O$236,MATCH('Modèle spécifié d''ECF'!$C28,'Prix et modèle des ECF '!$E$3:$E$236,0),MATCH('Modèle spécifié d''ECF'!G$2,'Prix et modèle des ECF '!$A$3:$O$3,0)),"")</f>
        <v/>
      </c>
      <c r="H28" s="157"/>
      <c r="I28" s="106" t="str">
        <f>IF(ISERROR(IF(ISERROR(MATCH($A28,Reference_Dropdown1!$B$30:$B$42,0)),G28+$H28,G28)),"",IF(ISERROR(MATCH($A28,Reference_Dropdown1!$B$30:$B$42,0)),G28+$H28,"N/A"))</f>
        <v>N/A</v>
      </c>
      <c r="J28" s="195"/>
      <c r="K28" s="219" t="str">
        <f t="shared" si="0"/>
        <v/>
      </c>
      <c r="L28" s="208"/>
      <c r="M28" s="221" t="str">
        <f>IFERROR(INDEX('Prix et modèle des ECF '!$A$3:$O$236,MATCH('Modèle spécifié d''ECF'!$L28,'Prix et modèle des ECF '!$E$3:$E$236,0),MATCH('Modèle spécifié d''ECF'!M$2,'Prix et modèle des ECF '!$A$3:$O$3,0)),"")</f>
        <v/>
      </c>
      <c r="N28" s="169" t="str">
        <f>IFERROR(INDEX('Prix et modèle des ECF '!$A$3:$O$236,MATCH('Modèle spécifié d''ECF'!$L28,'Prix et modèle des ECF '!$E$3:$E$236,0),MATCH('Modèle spécifié d''ECF'!N$2,'Prix et modèle des ECF '!$A$3:$O$3,0)),"")</f>
        <v/>
      </c>
      <c r="O28" s="218" t="str">
        <f>IF(ISERROR(IF(ISERROR(MATCH($A28,Reference_Dropdown1!$B$30:$B$42,0)),N28+$H28,N28)),"",IF(ISERROR(MATCH($A28,Reference_Dropdown1!$B$30:$B$42,0)),N28+$H28,"N/A"))</f>
        <v>N/A</v>
      </c>
      <c r="P28" s="195"/>
      <c r="Q28" s="219" t="str">
        <f t="shared" si="1"/>
        <v/>
      </c>
      <c r="R28" s="208"/>
      <c r="S28" s="220" t="str">
        <f>IFERROR(INDEX('Prix et modèle des ECF '!$A$3:$O$236,MATCH('Modèle spécifié d''ECF'!$R28,'Prix et modèle des ECF '!$E$3:$E$236,0),MATCH('Modèle spécifié d''ECF'!S$2,'Prix et modèle des ECF '!$A$3:$O$3,0)),"")</f>
        <v/>
      </c>
      <c r="T28" s="117" t="str">
        <f>IFERROR(INDEX('Prix et modèle des ECF '!$A$3:$O$236,MATCH('Modèle spécifié d''ECF'!$R28,'Prix et modèle des ECF '!$E$3:$E$236,0),MATCH('Modèle spécifié d''ECF'!T$2,'Prix et modèle des ECF '!$A$3:$O$3,0)),"")</f>
        <v/>
      </c>
      <c r="U28" s="218" t="str">
        <f>IF(ISERROR(IF(ISERROR(MATCH($A28,Reference_Dropdown1!$B$30:$B$42,0)),T28+$H28,T28)),"",IF(ISERROR(MATCH($A28,Reference_Dropdown1!$B$30:$B$42,0)),T28+$H28,"N/A"))</f>
        <v>N/A</v>
      </c>
      <c r="V28" s="195"/>
      <c r="W28" s="219" t="str">
        <f t="shared" si="2"/>
        <v/>
      </c>
      <c r="AB28" s="26" t="str">
        <f t="shared" si="3"/>
        <v>_17</v>
      </c>
    </row>
    <row r="29" spans="1:28" s="26" customFormat="1" ht="27" customHeight="1" x14ac:dyDescent="0.25">
      <c r="A29" s="52" t="s">
        <v>371</v>
      </c>
      <c r="B29" s="182"/>
      <c r="C29" s="42"/>
      <c r="D29" s="29" t="str">
        <f>IFERROR(INDEX('Prix et modèle des ECF '!$A$3:$O$236,MATCH('Modèle spécifié d''ECF'!$C29,'Prix et modèle des ECF '!$E$3:$E$236,0),MATCH('Modèle spécifié d''ECF'!D$2,'Prix et modèle des ECF '!$A$3:$O$3,0)),"")</f>
        <v/>
      </c>
      <c r="E29" s="32" t="str">
        <f>IFERROR(INDEX('Prix et modèle des ECF '!$A$3:$O$236,MATCH('Modèle spécifié d''ECF'!$C29,'Prix et modèle des ECF '!$E$3:$E$236,0),MATCH('Modèle spécifié d''ECF'!E$2,'Prix et modèle des ECF '!$A$3:$O$3,0)),"")</f>
        <v/>
      </c>
      <c r="F29" s="32" t="str">
        <f>IFERROR(INDEX('Prix et modèle des ECF '!$A$3:$O$236,MATCH('Modèle spécifié d''ECF'!$C29,'Prix et modèle des ECF '!$E$3:$E$236,0),MATCH('Modèle spécifié d''ECF'!F$2,'Prix et modèle des ECF '!$A$3:$O$3,0)),"")</f>
        <v/>
      </c>
      <c r="G29" s="169" t="str">
        <f>IFERROR(INDEX('Prix et modèle des ECF '!$A$3:$O$236,MATCH('Modèle spécifié d''ECF'!$C29,'Prix et modèle des ECF '!$E$3:$E$236,0),MATCH('Modèle spécifié d''ECF'!G$2,'Prix et modèle des ECF '!$A$3:$O$3,0)),"")</f>
        <v/>
      </c>
      <c r="H29" s="157"/>
      <c r="I29" s="106" t="str">
        <f>IF(ISERROR(IF(ISERROR(MATCH($A29,Reference_Dropdown1!$B$30:$B$42,0)),G29+$H29,G29)),"",IF(ISERROR(MATCH($A29,Reference_Dropdown1!$B$30:$B$42,0)),G29+$H29,"N/A"))</f>
        <v>N/A</v>
      </c>
      <c r="J29" s="195"/>
      <c r="K29" s="219" t="str">
        <f t="shared" si="0"/>
        <v/>
      </c>
      <c r="L29" s="208"/>
      <c r="M29" s="221" t="str">
        <f>IFERROR(INDEX('Prix et modèle des ECF '!$A$3:$O$236,MATCH('Modèle spécifié d''ECF'!$L29,'Prix et modèle des ECF '!$E$3:$E$236,0),MATCH('Modèle spécifié d''ECF'!M$2,'Prix et modèle des ECF '!$A$3:$O$3,0)),"")</f>
        <v/>
      </c>
      <c r="N29" s="169" t="str">
        <f>IFERROR(INDEX('Prix et modèle des ECF '!$A$3:$O$236,MATCH('Modèle spécifié d''ECF'!$L29,'Prix et modèle des ECF '!$E$3:$E$236,0),MATCH('Modèle spécifié d''ECF'!N$2,'Prix et modèle des ECF '!$A$3:$O$3,0)),"")</f>
        <v/>
      </c>
      <c r="O29" s="218" t="str">
        <f>IF(ISERROR(IF(ISERROR(MATCH($A29,Reference_Dropdown1!$B$30:$B$42,0)),N29+$H29,N29)),"",IF(ISERROR(MATCH($A29,Reference_Dropdown1!$B$30:$B$42,0)),N29+$H29,"N/A"))</f>
        <v>N/A</v>
      </c>
      <c r="P29" s="195"/>
      <c r="Q29" s="219" t="str">
        <f t="shared" si="1"/>
        <v/>
      </c>
      <c r="R29" s="208"/>
      <c r="S29" s="220" t="str">
        <f>IFERROR(INDEX('Prix et modèle des ECF '!$A$3:$O$236,MATCH('Modèle spécifié d''ECF'!$R29,'Prix et modèle des ECF '!$E$3:$E$236,0),MATCH('Modèle spécifié d''ECF'!S$2,'Prix et modèle des ECF '!$A$3:$O$3,0)),"")</f>
        <v/>
      </c>
      <c r="T29" s="117" t="str">
        <f>IFERROR(INDEX('Prix et modèle des ECF '!$A$3:$O$236,MATCH('Modèle spécifié d''ECF'!$R29,'Prix et modèle des ECF '!$E$3:$E$236,0),MATCH('Modèle spécifié d''ECF'!T$2,'Prix et modèle des ECF '!$A$3:$O$3,0)),"")</f>
        <v/>
      </c>
      <c r="U29" s="218" t="str">
        <f>IF(ISERROR(IF(ISERROR(MATCH($A29,Reference_Dropdown1!$B$30:$B$42,0)),T29+$H29,T29)),"",IF(ISERROR(MATCH($A29,Reference_Dropdown1!$B$30:$B$42,0)),T29+$H29,"N/A"))</f>
        <v>N/A</v>
      </c>
      <c r="V29" s="195"/>
      <c r="W29" s="219" t="str">
        <f t="shared" si="2"/>
        <v/>
      </c>
      <c r="AB29" s="26" t="str">
        <f t="shared" si="3"/>
        <v>_18</v>
      </c>
    </row>
    <row r="30" spans="1:28" s="26" customFormat="1" ht="27" customHeight="1" x14ac:dyDescent="0.25">
      <c r="A30" s="53" t="s">
        <v>372</v>
      </c>
      <c r="B30" s="182"/>
      <c r="C30" s="42"/>
      <c r="D30" s="29" t="str">
        <f>IFERROR(INDEX('Prix et modèle des ECF '!$A$3:$O$236,MATCH('Modèle spécifié d''ECF'!$C30,'Prix et modèle des ECF '!$E$3:$E$236,0),MATCH('Modèle spécifié d''ECF'!D$2,'Prix et modèle des ECF '!$A$3:$O$3,0)),"")</f>
        <v/>
      </c>
      <c r="E30" s="32" t="str">
        <f>IFERROR(INDEX('Prix et modèle des ECF '!$A$3:$O$236,MATCH('Modèle spécifié d''ECF'!$C30,'Prix et modèle des ECF '!$E$3:$E$236,0),MATCH('Modèle spécifié d''ECF'!E$2,'Prix et modèle des ECF '!$A$3:$O$3,0)),"")</f>
        <v/>
      </c>
      <c r="F30" s="32" t="str">
        <f>IFERROR(INDEX('Prix et modèle des ECF '!$A$3:$O$236,MATCH('Modèle spécifié d''ECF'!$C30,'Prix et modèle des ECF '!$E$3:$E$236,0),MATCH('Modèle spécifié d''ECF'!F$2,'Prix et modèle des ECF '!$A$3:$O$3,0)),"")</f>
        <v/>
      </c>
      <c r="G30" s="207" t="str">
        <f>IFERROR(INDEX('Prix et modèle des ECF '!$A$3:$O$236,MATCH('Modèle spécifié d''ECF'!$C30,'Prix et modèle des ECF '!$E$3:$E$236,0),MATCH('Modèle spécifié d''ECF'!G$2,'Prix et modèle des ECF '!$A$3:$O$3,0)),"")</f>
        <v/>
      </c>
      <c r="H30" s="157"/>
      <c r="I30" s="106" t="str">
        <f>IF(ISERROR(IF(ISERROR(MATCH($A30,Reference_Dropdown1!$B$30:$B$42,0)),G30+$H30,G30)),"",IF(ISERROR(MATCH($A30,Reference_Dropdown1!$B$30:$B$42,0)),G30+$H30,"N/A"))</f>
        <v>N/A</v>
      </c>
      <c r="J30" s="195"/>
      <c r="K30" s="219" t="str">
        <f t="shared" si="0"/>
        <v/>
      </c>
      <c r="L30" s="208"/>
      <c r="M30" s="221" t="str">
        <f>IFERROR(INDEX('Prix et modèle des ECF '!$A$3:$O$236,MATCH('Modèle spécifié d''ECF'!$L30,'Prix et modèle des ECF '!$E$3:$E$236,0),MATCH('Modèle spécifié d''ECF'!M$2,'Prix et modèle des ECF '!$A$3:$O$3,0)),"")</f>
        <v/>
      </c>
      <c r="N30" s="207" t="str">
        <f>IFERROR(INDEX('Prix et modèle des ECF '!$A$3:$O$236,MATCH('Modèle spécifié d''ECF'!$L30,'Prix et modèle des ECF '!$E$3:$E$236,0),MATCH('Modèle spécifié d''ECF'!N$2,'Prix et modèle des ECF '!$A$3:$O$3,0)),"")</f>
        <v/>
      </c>
      <c r="O30" s="218" t="str">
        <f>IF(ISERROR(IF(ISERROR(MATCH($A30,Reference_Dropdown1!$B$30:$B$42,0)),N30+$H30,N30)),"",IF(ISERROR(MATCH($A30,Reference_Dropdown1!$B$30:$B$42,0)),N30+$H30,"N/A"))</f>
        <v>N/A</v>
      </c>
      <c r="P30" s="195"/>
      <c r="Q30" s="219" t="str">
        <f t="shared" si="1"/>
        <v/>
      </c>
      <c r="R30" s="208"/>
      <c r="S30" s="220" t="str">
        <f>IFERROR(INDEX('Prix et modèle des ECF '!$A$3:$O$236,MATCH('Modèle spécifié d''ECF'!$R30,'Prix et modèle des ECF '!$E$3:$E$236,0),MATCH('Modèle spécifié d''ECF'!S$2,'Prix et modèle des ECF '!$A$3:$O$3,0)),"")</f>
        <v/>
      </c>
      <c r="T30" s="209" t="str">
        <f>IFERROR(INDEX('Prix et modèle des ECF '!$A$3:$O$236,MATCH('Modèle spécifié d''ECF'!$R30,'Prix et modèle des ECF '!$E$3:$E$236,0),MATCH('Modèle spécifié d''ECF'!T$2,'Prix et modèle des ECF '!$A$3:$O$3,0)),"")</f>
        <v/>
      </c>
      <c r="U30" s="218" t="str">
        <f>IF(ISERROR(IF(ISERROR(MATCH($A30,Reference_Dropdown1!$B$30:$B$42,0)),T30+$H30,T30)),"",IF(ISERROR(MATCH($A30,Reference_Dropdown1!$B$30:$B$42,0)),T30+$H30,"N/A"))</f>
        <v>N/A</v>
      </c>
      <c r="V30" s="195"/>
      <c r="W30" s="219" t="str">
        <f t="shared" si="2"/>
        <v/>
      </c>
      <c r="AB30" s="26" t="str">
        <f t="shared" si="3"/>
        <v>_19</v>
      </c>
    </row>
    <row r="31" spans="1:28" s="26" customFormat="1" ht="27" customHeight="1" x14ac:dyDescent="0.25">
      <c r="A31" s="53" t="s">
        <v>373</v>
      </c>
      <c r="B31" s="182"/>
      <c r="C31" s="42"/>
      <c r="D31" s="29"/>
      <c r="E31" s="32"/>
      <c r="F31" s="32"/>
      <c r="G31" s="169" t="str">
        <f>IFERROR(INDEX('Prix et modèle des ECF '!$A$3:$O$236,MATCH('Modèle spécifié d''ECF'!$C31,'Prix et modèle des ECF '!$E$3:$E$236,0),MATCH('Modèle spécifié d''ECF'!G$2,'Prix et modèle des ECF '!$A$3:$O$3,0)),"")</f>
        <v/>
      </c>
      <c r="H31" s="157"/>
      <c r="I31" s="106" t="str">
        <f>IF(ISERROR(IF(ISERROR(MATCH($A31,Reference_Dropdown1!$B$30:$B$42,0)),G31+$H31,G31)),"",IF(ISERROR(MATCH($A31,Reference_Dropdown1!$B$30:$B$42,0)),G31+$H31,"N/A"))</f>
        <v>N/A</v>
      </c>
      <c r="J31" s="195"/>
      <c r="K31" s="219" t="str">
        <f t="shared" si="0"/>
        <v/>
      </c>
      <c r="L31" s="208"/>
      <c r="M31" s="221" t="str">
        <f>IFERROR(INDEX('Prix et modèle des ECF '!$A$3:$O$236,MATCH('Modèle spécifié d''ECF'!$L31,'Prix et modèle des ECF '!$E$3:$E$236,0),MATCH('Modèle spécifié d''ECF'!M$2,'Prix et modèle des ECF '!$A$3:$O$3,0)),"")</f>
        <v/>
      </c>
      <c r="N31" s="169" t="str">
        <f>IFERROR(INDEX('Prix et modèle des ECF '!$A$3:$O$236,MATCH('Modèle spécifié d''ECF'!$L31,'Prix et modèle des ECF '!$E$3:$E$236,0),MATCH('Modèle spécifié d''ECF'!N$2,'Prix et modèle des ECF '!$A$3:$O$3,0)),"")</f>
        <v/>
      </c>
      <c r="O31" s="218" t="str">
        <f>IF(ISERROR(IF(ISERROR(MATCH($A31,Reference_Dropdown1!$B$30:$B$42,0)),N31+$H31,N31)),"",IF(ISERROR(MATCH($A31,Reference_Dropdown1!$B$30:$B$42,0)),N31+$H31,"N/A"))</f>
        <v>N/A</v>
      </c>
      <c r="P31" s="195"/>
      <c r="Q31" s="219" t="str">
        <f t="shared" si="1"/>
        <v/>
      </c>
      <c r="R31" s="208"/>
      <c r="S31" s="220" t="str">
        <f>IFERROR(INDEX('Prix et modèle des ECF '!$A$3:$O$236,MATCH('Modèle spécifié d''ECF'!$R31,'Prix et modèle des ECF '!$E$3:$E$236,0),MATCH('Modèle spécifié d''ECF'!S$2,'Prix et modèle des ECF '!$A$3:$O$3,0)),"")</f>
        <v/>
      </c>
      <c r="T31" s="117" t="str">
        <f>IFERROR(INDEX('Prix et modèle des ECF '!$A$3:$O$236,MATCH('Modèle spécifié d''ECF'!$R31,'Prix et modèle des ECF '!$E$3:$E$236,0),MATCH('Modèle spécifié d''ECF'!T$2,'Prix et modèle des ECF '!$A$3:$O$3,0)),"")</f>
        <v/>
      </c>
      <c r="U31" s="218" t="str">
        <f>IF(ISERROR(IF(ISERROR(MATCH($A31,Reference_Dropdown1!$B$30:$B$42,0)),T31+$H31,T31)),"",IF(ISERROR(MATCH($A31,Reference_Dropdown1!$B$30:$B$42,0)),T31+$H31,"N/A"))</f>
        <v>N/A</v>
      </c>
      <c r="V31" s="195"/>
      <c r="W31" s="219" t="str">
        <f t="shared" si="2"/>
        <v/>
      </c>
      <c r="AB31" s="26" t="str">
        <f t="shared" si="3"/>
        <v>_20</v>
      </c>
    </row>
    <row r="32" spans="1:28" s="26" customFormat="1" ht="27" customHeight="1" x14ac:dyDescent="0.25">
      <c r="A32" s="109" t="s">
        <v>374</v>
      </c>
      <c r="B32" s="182"/>
      <c r="C32" s="42"/>
      <c r="D32" s="29" t="str">
        <f>IFERROR(INDEX('Prix et modèle des ECF '!$A$3:$O$236,MATCH('Modèle spécifié d''ECF'!$C32,'Prix et modèle des ECF '!$E$3:$E$236,0),MATCH('Modèle spécifié d''ECF'!D$2,'Prix et modèle des ECF '!$A$3:$O$3,0)),"")</f>
        <v/>
      </c>
      <c r="E32" s="32" t="str">
        <f>IFERROR(INDEX('Prix et modèle des ECF '!$A$3:$O$236,MATCH('Modèle spécifié d''ECF'!$C32,'Prix et modèle des ECF '!$E$3:$E$236,0),MATCH('Modèle spécifié d''ECF'!E$2,'Prix et modèle des ECF '!$A$3:$O$3,0)),"")</f>
        <v/>
      </c>
      <c r="F32" s="32" t="str">
        <f>IFERROR(INDEX('Prix et modèle des ECF '!$A$3:$O$236,MATCH('Modèle spécifié d''ECF'!$C32,'Prix et modèle des ECF '!$E$3:$E$236,0),MATCH('Modèle spécifié d''ECF'!F$2,'Prix et modèle des ECF '!$A$3:$O$3,0)),"")</f>
        <v/>
      </c>
      <c r="G32" s="169" t="str">
        <f>IFERROR(INDEX('Prix et modèle des ECF '!$A$3:$O$236,MATCH('Modèle spécifié d''ECF'!$C32,'Prix et modèle des ECF '!$E$3:$E$236,0),MATCH('Modèle spécifié d''ECF'!G$2,'Prix et modèle des ECF '!$A$3:$O$3,0)),"")</f>
        <v/>
      </c>
      <c r="H32" s="157"/>
      <c r="I32" s="106" t="str">
        <f>IF(ISERROR(IF(ISERROR(MATCH($A32,Reference_Dropdown1!$B$30:$B$42,0)),G32+$H32,G32)),"",IF(ISERROR(MATCH($A32,Reference_Dropdown1!$B$30:$B$42,0)),G32+$H32,"N/A"))</f>
        <v>N/A</v>
      </c>
      <c r="J32" s="195"/>
      <c r="K32" s="219" t="str">
        <f t="shared" si="0"/>
        <v/>
      </c>
      <c r="L32" s="208"/>
      <c r="M32" s="221" t="str">
        <f>IFERROR(INDEX('Prix et modèle des ECF '!$A$3:$O$236,MATCH('Modèle spécifié d''ECF'!$L32,'Prix et modèle des ECF '!$E$3:$E$236,0),MATCH('Modèle spécifié d''ECF'!M$2,'Prix et modèle des ECF '!$A$3:$O$3,0)),"")</f>
        <v/>
      </c>
      <c r="N32" s="169" t="str">
        <f>IFERROR(INDEX('Prix et modèle des ECF '!$A$3:$O$236,MATCH('Modèle spécifié d''ECF'!$L32,'Prix et modèle des ECF '!$E$3:$E$236,0),MATCH('Modèle spécifié d''ECF'!N$2,'Prix et modèle des ECF '!$A$3:$O$3,0)),"")</f>
        <v/>
      </c>
      <c r="O32" s="218" t="str">
        <f>IF(ISERROR(IF(ISERROR(MATCH($A32,Reference_Dropdown1!$B$30:$B$42,0)),N32+$H32,N32)),"",IF(ISERROR(MATCH($A32,Reference_Dropdown1!$B$30:$B$42,0)),N32+$H32,"N/A"))</f>
        <v>N/A</v>
      </c>
      <c r="P32" s="195"/>
      <c r="Q32" s="219" t="str">
        <f t="shared" si="1"/>
        <v/>
      </c>
      <c r="R32" s="208"/>
      <c r="S32" s="220" t="str">
        <f>IFERROR(INDEX('Prix et modèle des ECF '!$A$3:$O$236,MATCH('Modèle spécifié d''ECF'!$R32,'Prix et modèle des ECF '!$E$3:$E$236,0),MATCH('Modèle spécifié d''ECF'!S$2,'Prix et modèle des ECF '!$A$3:$O$3,0)),"")</f>
        <v/>
      </c>
      <c r="T32" s="117" t="str">
        <f>IFERROR(INDEX('Prix et modèle des ECF '!$A$3:$O$236,MATCH('Modèle spécifié d''ECF'!$R32,'Prix et modèle des ECF '!$E$3:$E$236,0),MATCH('Modèle spécifié d''ECF'!T$2,'Prix et modèle des ECF '!$A$3:$O$3,0)),"")</f>
        <v/>
      </c>
      <c r="U32" s="218" t="str">
        <f>IF(ISERROR(IF(ISERROR(MATCH($A32,Reference_Dropdown1!$B$30:$B$42,0)),T32+$H32,T32)),"",IF(ISERROR(MATCH($A32,Reference_Dropdown1!$B$30:$B$42,0)),T32+$H32,"N/A"))</f>
        <v>N/A</v>
      </c>
      <c r="V32" s="195"/>
      <c r="W32" s="219" t="str">
        <f t="shared" si="2"/>
        <v/>
      </c>
      <c r="AB32" s="26" t="str">
        <f t="shared" si="3"/>
        <v>_21</v>
      </c>
    </row>
    <row r="33" spans="1:86" s="26" customFormat="1" ht="27" customHeight="1" x14ac:dyDescent="0.25">
      <c r="A33" s="109" t="s">
        <v>375</v>
      </c>
      <c r="B33" s="182"/>
      <c r="C33" s="42"/>
      <c r="D33" s="29" t="str">
        <f>IFERROR(INDEX('Prix et modèle des ECF '!$A$3:$O$236,MATCH('Modèle spécifié d''ECF'!$C33,'Prix et modèle des ECF '!$E$3:$E$236,0),MATCH('Modèle spécifié d''ECF'!D$2,'Prix et modèle des ECF '!$A$3:$O$3,0)),"")</f>
        <v/>
      </c>
      <c r="E33" s="32" t="str">
        <f>IF(OR(LEFT($A33,3)="_15",LEFT($A33,3)="_16",LEFT($A33,3)="_17",LEFT($A33,3)="_18",LEFT($A33,3)="_19",LEFT($A33,3)="_20",LEFT($A33,3)="_21"),"N/A",IFERROR(INDEX('Prix et modèle des ECF '!$A$3:$O$236,MATCH('Modèle spécifié d''ECF'!$C33,'Prix et modèle des ECF '!$E$3:$E$236,0),MATCH('Modèle spécifié d''ECF'!E$2,'Prix et modèle des ECF '!$A$3:$O$3,0)),""))</f>
        <v/>
      </c>
      <c r="F33" s="32" t="str">
        <f>IFERROR(INDEX('Prix et modèle des ECF '!$A$3:$O$236,MATCH('Modèle spécifié d''ECF'!$C33,'Prix et modèle des ECF '!$E$3:$E$236,0),MATCH('Modèle spécifié d''ECF'!F$2,'Prix et modèle des ECF '!$A$3:$O$3,0)),"")</f>
        <v/>
      </c>
      <c r="G33" s="169" t="str">
        <f>IFERROR(INDEX('Prix et modèle des ECF '!$A$3:$O$236,MATCH('Modèle spécifié d''ECF'!$C33,'Prix et modèle des ECF '!$E$3:$E$236,0),MATCH('Modèle spécifié d''ECF'!G$2,'Prix et modèle des ECF '!$A$3:$O$3,0)),"")</f>
        <v/>
      </c>
      <c r="H33" s="157"/>
      <c r="I33" s="106" t="str">
        <f>IF(ISERROR(IF(ISERROR(MATCH($A33,Reference_Dropdown1!$B$30:$B$42,0)),G33+$H33,G33)),"",IF(ISERROR(MATCH($A33,Reference_Dropdown1!$B$30:$B$42,0)),G33+$H33,"N/A"))</f>
        <v>N/A</v>
      </c>
      <c r="J33" s="195"/>
      <c r="K33" s="219" t="str">
        <f t="shared" si="0"/>
        <v/>
      </c>
      <c r="L33" s="208"/>
      <c r="M33" s="221" t="str">
        <f>IFERROR(INDEX('Prix et modèle des ECF '!$A$3:$O$236,MATCH('Modèle spécifié d''ECF'!$L33,'Prix et modèle des ECF '!$E$3:$E$236,0),MATCH('Modèle spécifié d''ECF'!M$2,'Prix et modèle des ECF '!$A$3:$O$3,0)),"")</f>
        <v/>
      </c>
      <c r="N33" s="169" t="str">
        <f>IFERROR(INDEX('Prix et modèle des ECF '!$A$3:$O$236,MATCH('Modèle spécifié d''ECF'!$L33,'Prix et modèle des ECF '!$E$3:$E$236,0),MATCH('Modèle spécifié d''ECF'!N$2,'Prix et modèle des ECF '!$A$3:$O$3,0)),"")</f>
        <v/>
      </c>
      <c r="O33" s="218" t="str">
        <f>IF(ISERROR(IF(ISERROR(MATCH($A33,Reference_Dropdown1!$B$30:$B$42,0)),N33+$H33,N33)),"",IF(ISERROR(MATCH($A33,Reference_Dropdown1!$B$30:$B$42,0)),N33+$H33,"N/A"))</f>
        <v>N/A</v>
      </c>
      <c r="P33" s="195"/>
      <c r="Q33" s="219" t="str">
        <f t="shared" si="1"/>
        <v/>
      </c>
      <c r="R33" s="208"/>
      <c r="S33" s="220" t="str">
        <f>IFERROR(INDEX('Prix et modèle des ECF '!$A$3:$O$236,MATCH('Modèle spécifié d''ECF'!$R33,'Prix et modèle des ECF '!$E$3:$E$236,0),MATCH('Modèle spécifié d''ECF'!S$2,'Prix et modèle des ECF '!$A$3:$O$3,0)),"")</f>
        <v/>
      </c>
      <c r="T33" s="117" t="str">
        <f>IFERROR(INDEX('Prix et modèle des ECF '!$A$3:$O$236,MATCH('Modèle spécifié d''ECF'!$R33,'Prix et modèle des ECF '!$E$3:$E$236,0),MATCH('Modèle spécifié d''ECF'!T$2,'Prix et modèle des ECF '!$A$3:$O$3,0)),"")</f>
        <v/>
      </c>
      <c r="U33" s="218" t="str">
        <f>IF(ISERROR(IF(ISERROR(MATCH($A33,Reference_Dropdown1!$B$30:$B$42,0)),T33+$H33,T33)),"",IF(ISERROR(MATCH($A33,Reference_Dropdown1!$B$30:$B$42,0)),T33+$H33,"N/A"))</f>
        <v>N/A</v>
      </c>
      <c r="V33" s="195"/>
      <c r="W33" s="219" t="str">
        <f t="shared" si="2"/>
        <v/>
      </c>
      <c r="AB33" s="26" t="str">
        <f t="shared" si="3"/>
        <v>_22</v>
      </c>
    </row>
    <row r="34" spans="1:86" s="26" customFormat="1" ht="27" customHeight="1" x14ac:dyDescent="0.25">
      <c r="A34" s="109" t="s">
        <v>376</v>
      </c>
      <c r="B34" s="182"/>
      <c r="C34" s="42"/>
      <c r="D34" s="29" t="str">
        <f>IFERROR(INDEX('Prix et modèle des ECF '!$A$3:$O$236,MATCH('Modèle spécifié d''ECF'!$C34,'Prix et modèle des ECF '!$E$3:$E$236,0),MATCH('Modèle spécifié d''ECF'!D$2,'Prix et modèle des ECF '!$A$3:$O$3,0)),"")</f>
        <v/>
      </c>
      <c r="E34" s="32" t="str">
        <f>IF(OR(LEFT($A34,3)="_15",LEFT($A34,3)="_16",LEFT($A34,3)="_17",LEFT($A34,3)="_18",LEFT($A34,3)="_19",LEFT($A34,3)="_20",LEFT($A34,3)="_21"),"N/A",IFERROR(INDEX('Prix et modèle des ECF '!$A$3:$O$236,MATCH('Modèle spécifié d''ECF'!$C34,'Prix et modèle des ECF '!$E$3:$E$236,0),MATCH('Modèle spécifié d''ECF'!E$2,'Prix et modèle des ECF '!$A$3:$O$3,0)),""))</f>
        <v/>
      </c>
      <c r="F34" s="32" t="str">
        <f>IFERROR(INDEX('Prix et modèle des ECF '!$A$3:$O$236,MATCH('Modèle spécifié d''ECF'!$C34,'Prix et modèle des ECF '!$E$3:$E$236,0),MATCH('Modèle spécifié d''ECF'!F$2,'Prix et modèle des ECF '!$A$3:$O$3,0)),"")</f>
        <v/>
      </c>
      <c r="G34" s="169" t="str">
        <f>IFERROR(INDEX('Prix et modèle des ECF '!$A$3:$O$236,MATCH('Modèle spécifié d''ECF'!$C34,'Prix et modèle des ECF '!$E$3:$E$236,0),MATCH('Modèle spécifié d''ECF'!G$2,'Prix et modèle des ECF '!$A$3:$O$3,0)),"")</f>
        <v/>
      </c>
      <c r="H34" s="157"/>
      <c r="I34" s="106" t="str">
        <f>IF(ISERROR(IF(ISERROR(MATCH($A34,Reference_Dropdown1!$B$30:$B$42,0)),G34+$H34,G34)),"",IF(ISERROR(MATCH($A34,Reference_Dropdown1!$B$30:$B$42,0)),G34+$H34,"N/A"))</f>
        <v>N/A</v>
      </c>
      <c r="J34" s="195"/>
      <c r="K34" s="219" t="str">
        <f t="shared" si="0"/>
        <v/>
      </c>
      <c r="L34" s="208"/>
      <c r="M34" s="221" t="str">
        <f>IFERROR(INDEX('Prix et modèle des ECF '!$A$3:$O$236,MATCH('Modèle spécifié d''ECF'!$L34,'Prix et modèle des ECF '!$E$3:$E$236,0),MATCH('Modèle spécifié d''ECF'!M$2,'Prix et modèle des ECF '!$A$3:$O$3,0)),"")</f>
        <v/>
      </c>
      <c r="N34" s="169" t="str">
        <f>IFERROR(INDEX('Prix et modèle des ECF '!$A$3:$O$236,MATCH('Modèle spécifié d''ECF'!$L34,'Prix et modèle des ECF '!$E$3:$E$236,0),MATCH('Modèle spécifié d''ECF'!N$2,'Prix et modèle des ECF '!$A$3:$O$3,0)),"")</f>
        <v/>
      </c>
      <c r="O34" s="218" t="str">
        <f>IF(ISERROR(IF(ISERROR(MATCH($A34,Reference_Dropdown1!$B$30:$B$42,0)),N34+$H34,N34)),"",IF(ISERROR(MATCH($A34,Reference_Dropdown1!$B$30:$B$42,0)),N34+$H34,"N/A"))</f>
        <v>N/A</v>
      </c>
      <c r="P34" s="195"/>
      <c r="Q34" s="219" t="str">
        <f t="shared" si="1"/>
        <v/>
      </c>
      <c r="R34" s="208"/>
      <c r="S34" s="220" t="str">
        <f>IFERROR(INDEX('Prix et modèle des ECF '!$A$3:$O$236,MATCH('Modèle spécifié d''ECF'!$R34,'Prix et modèle des ECF '!$E$3:$E$236,0),MATCH('Modèle spécifié d''ECF'!S$2,'Prix et modèle des ECF '!$A$3:$O$3,0)),"")</f>
        <v/>
      </c>
      <c r="T34" s="117" t="str">
        <f>IFERROR(INDEX('Prix et modèle des ECF '!$A$3:$O$236,MATCH('Modèle spécifié d''ECF'!$R34,'Prix et modèle des ECF '!$E$3:$E$236,0),MATCH('Modèle spécifié d''ECF'!T$2,'Prix et modèle des ECF '!$A$3:$O$3,0)),"")</f>
        <v/>
      </c>
      <c r="U34" s="218" t="str">
        <f>IF(ISERROR(IF(ISERROR(MATCH($A34,Reference_Dropdown1!$B$30:$B$42,0)),T34+$H34,T34)),"",IF(ISERROR(MATCH($A34,Reference_Dropdown1!$B$30:$B$42,0)),T34+$H34,"N/A"))</f>
        <v>N/A</v>
      </c>
      <c r="V34" s="195"/>
      <c r="W34" s="219" t="str">
        <f t="shared" si="2"/>
        <v/>
      </c>
      <c r="AB34" s="26" t="str">
        <f t="shared" si="3"/>
        <v>_23</v>
      </c>
    </row>
    <row r="35" spans="1:86" s="26" customFormat="1" ht="27" customHeight="1" x14ac:dyDescent="0.25">
      <c r="A35" s="109" t="s">
        <v>377</v>
      </c>
      <c r="B35" s="182"/>
      <c r="C35" s="42"/>
      <c r="D35" s="29" t="str">
        <f>IFERROR(INDEX('Prix et modèle des ECF '!$A$3:$O$236,MATCH('Modèle spécifié d''ECF'!$C35,'Prix et modèle des ECF '!$E$3:$E$236,0),MATCH('Modèle spécifié d''ECF'!D$2,'Prix et modèle des ECF '!$A$3:$O$3,0)),"")</f>
        <v/>
      </c>
      <c r="E35" s="32" t="str">
        <f>IF(OR(LEFT($A35,3)="_15",LEFT($A35,3)="_16",LEFT($A35,3)="_17",LEFT($A35,3)="_18",LEFT($A35,3)="_19",LEFT($A35,3)="_20",LEFT($A35,3)="_21"),"N/A",IFERROR(INDEX('Prix et modèle des ECF '!$A$3:$O$236,MATCH('Modèle spécifié d''ECF'!$C35,'Prix et modèle des ECF '!$E$3:$E$236,0),MATCH('Modèle spécifié d''ECF'!E$2,'Prix et modèle des ECF '!$A$3:$O$3,0)),""))</f>
        <v/>
      </c>
      <c r="F35" s="32" t="str">
        <f>IFERROR(INDEX('Prix et modèle des ECF '!$A$3:$O$236,MATCH('Modèle spécifié d''ECF'!$C35,'Prix et modèle des ECF '!$E$3:$E$236,0),MATCH('Modèle spécifié d''ECF'!F$2,'Prix et modèle des ECF '!$A$3:$O$3,0)),"")</f>
        <v/>
      </c>
      <c r="G35" s="169" t="str">
        <f>IFERROR(INDEX('Prix et modèle des ECF '!$A$3:$O$236,MATCH('Modèle spécifié d''ECF'!$C35,'Prix et modèle des ECF '!$E$3:$E$236,0),MATCH('Modèle spécifié d''ECF'!G$2,'Prix et modèle des ECF '!$A$3:$O$3,0)),"")</f>
        <v/>
      </c>
      <c r="H35" s="157"/>
      <c r="I35" s="106" t="str">
        <f>IF(ISERROR(IF(ISERROR(MATCH($A35,Reference_Dropdown1!$B$30:$B$42,0)),G35+$H35,G35)),"",IF(ISERROR(MATCH($A35,Reference_Dropdown1!$B$30:$B$42,0)),G35+$H35,"N/A"))</f>
        <v>N/A</v>
      </c>
      <c r="J35" s="195"/>
      <c r="K35" s="219" t="str">
        <f t="shared" si="0"/>
        <v/>
      </c>
      <c r="L35" s="208"/>
      <c r="M35" s="221" t="str">
        <f>IFERROR(INDEX('Prix et modèle des ECF '!$A$3:$O$236,MATCH('Modèle spécifié d''ECF'!$L35,'Prix et modèle des ECF '!$E$3:$E$236,0),MATCH('Modèle spécifié d''ECF'!M$2,'Prix et modèle des ECF '!$A$3:$O$3,0)),"")</f>
        <v/>
      </c>
      <c r="N35" s="169" t="str">
        <f>IFERROR(INDEX('Prix et modèle des ECF '!$A$3:$O$236,MATCH('Modèle spécifié d''ECF'!$L35,'Prix et modèle des ECF '!$E$3:$E$236,0),MATCH('Modèle spécifié d''ECF'!N$2,'Prix et modèle des ECF '!$A$3:$O$3,0)),"")</f>
        <v/>
      </c>
      <c r="O35" s="218" t="str">
        <f>IF(ISERROR(IF(ISERROR(MATCH($A35,Reference_Dropdown1!$B$30:$B$42,0)),N35+$H35,N35)),"",IF(ISERROR(MATCH($A35,Reference_Dropdown1!$B$30:$B$42,0)),N35+$H35,"N/A"))</f>
        <v>N/A</v>
      </c>
      <c r="P35" s="195"/>
      <c r="Q35" s="219" t="str">
        <f t="shared" si="1"/>
        <v/>
      </c>
      <c r="R35" s="208"/>
      <c r="S35" s="220" t="str">
        <f>IFERROR(INDEX('Prix et modèle des ECF '!$A$3:$O$236,MATCH('Modèle spécifié d''ECF'!$R35,'Prix et modèle des ECF '!$E$3:$E$236,0),MATCH('Modèle spécifié d''ECF'!S$2,'Prix et modèle des ECF '!$A$3:$O$3,0)),"")</f>
        <v/>
      </c>
      <c r="T35" s="117" t="str">
        <f>IFERROR(INDEX('Prix et modèle des ECF '!$A$3:$O$236,MATCH('Modèle spécifié d''ECF'!$R35,'Prix et modèle des ECF '!$E$3:$E$236,0),MATCH('Modèle spécifié d''ECF'!T$2,'Prix et modèle des ECF '!$A$3:$O$3,0)),"")</f>
        <v/>
      </c>
      <c r="U35" s="218" t="str">
        <f>IF(ISERROR(IF(ISERROR(MATCH($A35,Reference_Dropdown1!$B$30:$B$42,0)),T35+$H35,T35)),"",IF(ISERROR(MATCH($A35,Reference_Dropdown1!$B$30:$B$42,0)),T35+$H35,"N/A"))</f>
        <v>N/A</v>
      </c>
      <c r="V35" s="195"/>
      <c r="W35" s="219" t="str">
        <f t="shared" si="2"/>
        <v/>
      </c>
      <c r="AB35" s="26" t="str">
        <f t="shared" si="3"/>
        <v>_24</v>
      </c>
    </row>
    <row r="36" spans="1:86" s="26" customFormat="1" ht="27" customHeight="1" x14ac:dyDescent="0.25">
      <c r="A36" s="109" t="s">
        <v>378</v>
      </c>
      <c r="B36" s="182"/>
      <c r="C36" s="42"/>
      <c r="D36" s="29" t="str">
        <f>IFERROR(INDEX('Prix et modèle des ECF '!$A$3:$O$236,MATCH('Modèle spécifié d''ECF'!$C36,'Prix et modèle des ECF '!$E$3:$E$236,0),MATCH('Modèle spécifié d''ECF'!D$2,'Prix et modèle des ECF '!$A$3:$O$3,0)),"")</f>
        <v/>
      </c>
      <c r="E36" s="32" t="str">
        <f>IF(OR(LEFT($A36,3)="_15",LEFT($A36,3)="_16",LEFT($A36,3)="_17",LEFT($A36,3)="_18",LEFT($A36,3)="_19",LEFT($A36,3)="_20",LEFT($A36,3)="_21"),"N/A",IFERROR(INDEX('Prix et modèle des ECF '!$A$3:$O$236,MATCH('Modèle spécifié d''ECF'!$C36,'Prix et modèle des ECF '!$E$3:$E$236,0),MATCH('Modèle spécifié d''ECF'!E$2,'Prix et modèle des ECF '!$A$3:$O$3,0)),""))</f>
        <v/>
      </c>
      <c r="F36" s="32" t="str">
        <f>IFERROR(INDEX('Prix et modèle des ECF '!$A$3:$O$236,MATCH('Modèle spécifié d''ECF'!$C36,'Prix et modèle des ECF '!$E$3:$E$236,0),MATCH('Modèle spécifié d''ECF'!F$2,'Prix et modèle des ECF '!$A$3:$O$3,0)),"")</f>
        <v/>
      </c>
      <c r="G36" s="169" t="str">
        <f>IFERROR(INDEX('Prix et modèle des ECF '!$A$3:$O$236,MATCH('Modèle spécifié d''ECF'!$C36,'Prix et modèle des ECF '!$E$3:$E$236,0),MATCH('Modèle spécifié d''ECF'!G$2,'Prix et modèle des ECF '!$A$3:$O$3,0)),"")</f>
        <v/>
      </c>
      <c r="H36" s="157"/>
      <c r="I36" s="106" t="str">
        <f>IF(ISERROR(IF(ISERROR(MATCH($A36,Reference_Dropdown1!$B$30:$B$42,0)),G36+$H36,G36)),"",IF(ISERROR(MATCH($A36,Reference_Dropdown1!$B$30:$B$42,0)),G36+$H36,"N/A"))</f>
        <v>N/A</v>
      </c>
      <c r="J36" s="195"/>
      <c r="K36" s="219" t="str">
        <f t="shared" si="0"/>
        <v/>
      </c>
      <c r="L36" s="208"/>
      <c r="M36" s="221" t="str">
        <f>IFERROR(INDEX('Prix et modèle des ECF '!$A$3:$O$236,MATCH('Modèle spécifié d''ECF'!$L36,'Prix et modèle des ECF '!$E$3:$E$236,0),MATCH('Modèle spécifié d''ECF'!M$2,'Prix et modèle des ECF '!$A$3:$O$3,0)),"")</f>
        <v/>
      </c>
      <c r="N36" s="169" t="str">
        <f>IFERROR(INDEX('Prix et modèle des ECF '!$A$3:$O$236,MATCH('Modèle spécifié d''ECF'!$L36,'Prix et modèle des ECF '!$E$3:$E$236,0),MATCH('Modèle spécifié d''ECF'!N$2,'Prix et modèle des ECF '!$A$3:$O$3,0)),"")</f>
        <v/>
      </c>
      <c r="O36" s="218" t="str">
        <f>IF(ISERROR(IF(ISERROR(MATCH($A36,Reference_Dropdown1!$B$30:$B$42,0)),N36+$H36,N36)),"",IF(ISERROR(MATCH($A36,Reference_Dropdown1!$B$30:$B$42,0)),N36+$H36,"N/A"))</f>
        <v>N/A</v>
      </c>
      <c r="P36" s="195"/>
      <c r="Q36" s="219" t="str">
        <f t="shared" si="1"/>
        <v/>
      </c>
      <c r="R36" s="208"/>
      <c r="S36" s="220" t="str">
        <f>IFERROR(INDEX('Prix et modèle des ECF '!$A$3:$O$236,MATCH('Modèle spécifié d''ECF'!$R36,'Prix et modèle des ECF '!$E$3:$E$236,0),MATCH('Modèle spécifié d''ECF'!S$2,'Prix et modèle des ECF '!$A$3:$O$3,0)),"")</f>
        <v/>
      </c>
      <c r="T36" s="117" t="str">
        <f>IFERROR(INDEX('Prix et modèle des ECF '!$A$3:$O$236,MATCH('Modèle spécifié d''ECF'!$R36,'Prix et modèle des ECF '!$E$3:$E$236,0),MATCH('Modèle spécifié d''ECF'!T$2,'Prix et modèle des ECF '!$A$3:$O$3,0)),"")</f>
        <v/>
      </c>
      <c r="U36" s="218" t="str">
        <f>IF(ISERROR(IF(ISERROR(MATCH($A36,Reference_Dropdown1!$B$30:$B$42,0)),T36+$H36,T36)),"",IF(ISERROR(MATCH($A36,Reference_Dropdown1!$B$30:$B$42,0)),T36+$H36,"N/A"))</f>
        <v>N/A</v>
      </c>
      <c r="V36" s="195"/>
      <c r="W36" s="219" t="str">
        <f t="shared" si="2"/>
        <v/>
      </c>
      <c r="AB36" s="26" t="str">
        <f t="shared" si="3"/>
        <v>_25</v>
      </c>
    </row>
    <row r="37" spans="1:86" s="26" customFormat="1" ht="15.75" thickBot="1" x14ac:dyDescent="0.3">
      <c r="A37" s="314" t="s">
        <v>431</v>
      </c>
      <c r="B37" s="315"/>
      <c r="C37" s="315"/>
      <c r="D37" s="315"/>
      <c r="E37" s="315"/>
      <c r="F37" s="315"/>
      <c r="G37" s="315"/>
      <c r="H37" s="315"/>
      <c r="I37" s="315"/>
      <c r="J37" s="318">
        <f>SUM(K4:K36)-SUMIF($AB$4:$AB$36,"_4.",K4:K36)-SUMIF($AB$4:$AB$36,"_5.",K4:K36)</f>
        <v>0</v>
      </c>
      <c r="K37" s="319"/>
      <c r="L37" s="210"/>
      <c r="M37" s="211"/>
      <c r="N37" s="212"/>
      <c r="O37" s="213"/>
      <c r="P37" s="318">
        <f>SUM(Q4:Q36)-SUMIF($AB$4:$AB$36,"_4.",Q4:Q36)-SUMIF($AB$4:$AB$36,"_5.",Q4:Q36)</f>
        <v>0</v>
      </c>
      <c r="Q37" s="319"/>
      <c r="R37" s="214"/>
      <c r="S37" s="215"/>
      <c r="T37" s="216"/>
      <c r="U37" s="217"/>
      <c r="V37" s="318">
        <f>SUM(W4:W36)-SUMIF($AB$4:$AB$36,"_4.",W4:W36)-SUMIF($AB$4:$AB$36,"_5.",W4:W36)</f>
        <v>0</v>
      </c>
      <c r="W37" s="319"/>
      <c r="AB37" s="26" t="str">
        <f t="shared" ref="AB37" si="4">LEFT(A37,3)</f>
        <v>Bud</v>
      </c>
    </row>
    <row r="38" spans="1:86" ht="15" x14ac:dyDescent="0.25">
      <c r="E38"/>
      <c r="F38"/>
      <c r="G38"/>
      <c r="H38"/>
      <c r="I38"/>
      <c r="J38"/>
      <c r="K38"/>
      <c r="L38"/>
      <c r="M38"/>
      <c r="N38"/>
      <c r="O38"/>
      <c r="P38"/>
      <c r="Q38"/>
      <c r="R38"/>
      <c r="S38"/>
      <c r="T38"/>
      <c r="U38"/>
      <c r="V38"/>
      <c r="W38"/>
    </row>
    <row r="39" spans="1:86" s="26" customFormat="1" ht="15" customHeight="1" x14ac:dyDescent="0.25">
      <c r="A39" s="309" t="s">
        <v>432</v>
      </c>
      <c r="B39" s="310"/>
      <c r="C39" s="310"/>
      <c r="D39" s="310"/>
      <c r="E39" s="310"/>
      <c r="F39" s="310"/>
      <c r="G39" s="310"/>
      <c r="H39" s="310"/>
      <c r="I39" s="311"/>
      <c r="J39" s="312">
        <v>3000</v>
      </c>
      <c r="K39" s="313"/>
      <c r="L39" s="171"/>
      <c r="M39" s="171"/>
      <c r="N39" s="171"/>
      <c r="O39"/>
      <c r="P39"/>
      <c r="Q39"/>
      <c r="R39" s="171"/>
      <c r="S39" s="171"/>
      <c r="T39" s="171"/>
      <c r="U39" s="59"/>
      <c r="V39" s="59"/>
      <c r="W39" s="57"/>
    </row>
    <row r="40" spans="1:86" s="26" customFormat="1" ht="15" x14ac:dyDescent="0.25">
      <c r="A40" s="309" t="s">
        <v>433</v>
      </c>
      <c r="B40" s="310"/>
      <c r="C40" s="310"/>
      <c r="D40" s="310"/>
      <c r="E40" s="310"/>
      <c r="F40" s="310"/>
      <c r="G40" s="310"/>
      <c r="H40" s="310"/>
      <c r="I40" s="311"/>
      <c r="J40" s="312">
        <v>150</v>
      </c>
      <c r="K40" s="313"/>
      <c r="L40" s="171"/>
      <c r="M40" s="171"/>
      <c r="N40" s="171"/>
      <c r="O40"/>
      <c r="P40"/>
      <c r="Q40"/>
      <c r="R40" s="171"/>
      <c r="S40" s="171"/>
      <c r="T40" s="171"/>
      <c r="U40" s="59"/>
      <c r="V40" s="59"/>
      <c r="W40" s="57"/>
    </row>
    <row r="41" spans="1:86" s="26" customFormat="1" ht="15" x14ac:dyDescent="0.25">
      <c r="A41" s="309" t="s">
        <v>434</v>
      </c>
      <c r="B41" s="310"/>
      <c r="C41" s="310"/>
      <c r="D41" s="310"/>
      <c r="E41" s="310"/>
      <c r="F41" s="310"/>
      <c r="G41" s="310"/>
      <c r="H41" s="310"/>
      <c r="I41" s="311"/>
      <c r="J41" s="312">
        <v>1500</v>
      </c>
      <c r="K41" s="313"/>
      <c r="L41" s="171"/>
      <c r="M41" s="171"/>
      <c r="N41" s="171"/>
      <c r="O41"/>
      <c r="P41"/>
      <c r="Q41"/>
      <c r="R41" s="171"/>
      <c r="S41" s="171"/>
      <c r="T41" s="171"/>
      <c r="U41" s="59"/>
      <c r="V41" s="59"/>
      <c r="W41" s="57"/>
    </row>
    <row r="42" spans="1:86" s="26" customFormat="1" ht="15" x14ac:dyDescent="0.25">
      <c r="A42" s="309" t="s">
        <v>446</v>
      </c>
      <c r="B42" s="310"/>
      <c r="C42" s="310"/>
      <c r="D42" s="310"/>
      <c r="E42" s="310"/>
      <c r="F42" s="310"/>
      <c r="G42" s="310"/>
      <c r="H42" s="310"/>
      <c r="I42" s="311"/>
      <c r="J42" s="312">
        <v>600</v>
      </c>
      <c r="K42" s="313"/>
      <c r="L42" s="171"/>
      <c r="M42" s="171"/>
      <c r="N42" s="171"/>
      <c r="O42"/>
      <c r="P42"/>
      <c r="Q42"/>
      <c r="R42" s="171"/>
      <c r="S42" s="171"/>
      <c r="T42" s="171"/>
      <c r="U42" s="59"/>
      <c r="V42" s="59"/>
      <c r="W42" s="57"/>
    </row>
    <row r="43" spans="1:86" s="26" customFormat="1" ht="15" x14ac:dyDescent="0.25">
      <c r="A43" s="309" t="s">
        <v>435</v>
      </c>
      <c r="B43" s="310"/>
      <c r="C43" s="310"/>
      <c r="D43" s="310"/>
      <c r="E43" s="310"/>
      <c r="F43" s="310"/>
      <c r="G43" s="310"/>
      <c r="H43" s="310"/>
      <c r="I43" s="311"/>
      <c r="J43" s="312">
        <v>2</v>
      </c>
      <c r="K43" s="313"/>
      <c r="L43" s="171"/>
      <c r="M43" s="171"/>
      <c r="N43" s="171"/>
      <c r="O43"/>
      <c r="P43"/>
      <c r="Q43"/>
      <c r="R43" s="171"/>
      <c r="S43" s="171"/>
      <c r="T43" s="171"/>
      <c r="U43" s="59"/>
      <c r="V43" s="59"/>
      <c r="W43" s="57"/>
    </row>
    <row r="44" spans="1:86" s="26" customFormat="1" ht="15" x14ac:dyDescent="0.25">
      <c r="A44" s="309" t="s">
        <v>436</v>
      </c>
      <c r="B44" s="310"/>
      <c r="C44" s="310"/>
      <c r="D44" s="310"/>
      <c r="E44" s="310"/>
      <c r="F44" s="310"/>
      <c r="G44" s="310"/>
      <c r="H44" s="310"/>
      <c r="I44" s="311"/>
      <c r="J44" s="312">
        <v>10</v>
      </c>
      <c r="K44" s="313"/>
      <c r="L44" s="171"/>
      <c r="M44" s="171"/>
      <c r="N44" s="171"/>
      <c r="O44"/>
      <c r="P44"/>
      <c r="Q44"/>
      <c r="R44" s="171"/>
      <c r="S44" s="171"/>
      <c r="T44" s="171"/>
      <c r="U44" s="59"/>
      <c r="V44" s="59"/>
      <c r="W44" s="57"/>
    </row>
    <row r="45" spans="1:86" s="26" customFormat="1" ht="15" x14ac:dyDescent="0.25">
      <c r="A45" s="309" t="s">
        <v>447</v>
      </c>
      <c r="B45" s="310"/>
      <c r="C45" s="310"/>
      <c r="D45" s="310"/>
      <c r="E45" s="310"/>
      <c r="F45" s="310"/>
      <c r="G45" s="310"/>
      <c r="H45" s="310"/>
      <c r="I45" s="311"/>
      <c r="J45" s="312">
        <v>2000</v>
      </c>
      <c r="K45" s="313"/>
      <c r="L45" s="171"/>
      <c r="M45" s="171"/>
      <c r="N45" s="171"/>
      <c r="O45"/>
      <c r="P45"/>
      <c r="Q45"/>
      <c r="R45" s="171"/>
      <c r="S45" s="171"/>
      <c r="T45" s="171"/>
      <c r="U45" s="59"/>
      <c r="V45" s="59"/>
      <c r="W45" s="57"/>
    </row>
    <row r="46" spans="1:86" s="26" customFormat="1" ht="15" x14ac:dyDescent="0.25">
      <c r="A46" s="309" t="s">
        <v>437</v>
      </c>
      <c r="B46" s="310"/>
      <c r="C46" s="310"/>
      <c r="D46" s="310"/>
      <c r="E46" s="310"/>
      <c r="F46" s="310"/>
      <c r="G46" s="310"/>
      <c r="H46" s="310"/>
      <c r="I46" s="311"/>
      <c r="J46" s="352">
        <v>0.1</v>
      </c>
      <c r="K46" s="353"/>
      <c r="L46" s="172"/>
      <c r="M46" s="172"/>
      <c r="N46" s="172"/>
      <c r="O46"/>
      <c r="P46"/>
      <c r="Q46"/>
      <c r="R46" s="172"/>
      <c r="S46" s="172"/>
      <c r="T46" s="172"/>
      <c r="U46" s="59"/>
      <c r="V46" s="59"/>
      <c r="W46" s="57"/>
    </row>
    <row r="47" spans="1:86" ht="15" customHeight="1" x14ac:dyDescent="0.25">
      <c r="A47" s="349" t="s">
        <v>438</v>
      </c>
      <c r="B47" s="350"/>
      <c r="C47" s="350"/>
      <c r="D47" s="350"/>
      <c r="E47" s="350"/>
      <c r="F47" s="350"/>
      <c r="G47" s="350"/>
      <c r="H47" s="350"/>
      <c r="I47" s="351"/>
      <c r="J47" s="338">
        <f>($J39*(SUMIFS(J$4:J$36,$AB$4:$AB$36,"_1.")+SUMIFS(J$4:J$36,$AB$4:$AB$36,"_2.")+SUMIFS(J$4:J$36,$AB$4:$AB$36,"_3.")))+($J40*(SUMIFS(J$4:J$36,$AB$4:$AB$36,"_6.")+SUMIFS(J$4:J$36,$AB$4:$AB$36,"_7.")+SUMIFS(J$4:J$36,$AB$4:$AB$36,"_8.")+SUMIFS(J$4:J$36,$AB$4:$AB$36,"_9.")+SUMIFS(J$4:J$36,$AB$4:$AB$36,"_10")+SUMIFS(J$4:J$36,$AB$4:$AB$36,"_11")))+($J43*(SUMIFS(J$4:J$36,$AB$4:$AB$36,"_14")+SUMIFS(J$4:J$36,$AB$4:$AB$36,"_15")))+($J44*(SUMIFS(J$4:J$36,$AB$4:$AB$36,"_16")+SUMIFS(J$4:J$36,$AB$4:$AB$36,"_17")))+($J46*SUMIF($AB$4:$AB$36,"_19",J$4:J$36))+(IF(SUMIF($AB$4:$AB$36,"_12",J$4:J$36)&gt;0,$J41,0))+(IF(SUMIF($AB$4:$AB$36,"_13",J$4:J$36)&gt;0,$J42,0))+(IF(SUMIF($AB$4:$AB$36,"_18",J$4:J$36)&gt;0, $J45,0))</f>
        <v>0</v>
      </c>
      <c r="K47" s="339"/>
      <c r="L47" s="173"/>
      <c r="M47" s="173"/>
      <c r="N47" s="173"/>
      <c r="O47"/>
      <c r="P47" s="338">
        <f>($J39*(SUMIFS(P$4:P$36,$AB$4:$AB$36,"_1.")+SUMIFS(P$4:P$36,$AB$4:$AB$36,"_2.")+SUMIFS(P$4:P$36,$AB$4:$AB$36,"_3.")))+($J40*(SUMIFS(P$4:P$36,$AB$4:$AB$36,"_6.")+SUMIFS(P$4:P$36,$AB$4:$AB$36,"_7.")+SUMIFS(P$4:P$36,$AB$4:$AB$36,"_8.")+SUMIFS(P$4:P$36,$AB$4:$AB$36,"_9.")+SUMIFS(P$4:P$36,$AB$4:$AB$36,"_10")+SUMIFS(P$4:P$36,$AB$4:$AB$36,"_11")))+($J43*(SUMIFS(P$4:P$36,$AB$4:$AB$36,"_14")+SUMIFS(P$4:P$36,$AB$4:$AB$36,"_15")))+($J44*(SUMIFS(P$4:P$36,$AB$4:$AB$36,"_16")+SUMIFS(P$4:P$36,$AB$4:$AB$36,"_17")))+($J46*SUMIF($AB$4:$AB$36,"_19",P$4:P$36))+(IF(SUMIF($AB$4:$AB$36,"_12",P$4:P$36)&gt;0,$J41,0))+(IF(SUMIF($AB$4:$AB$36,"_13",P$4:P$36)&gt;0,$J42,0))+(IF(SUMIF($AB$4:$AB$36,"_18",P$4:P$36)&gt;0, $J45,0))</f>
        <v>0</v>
      </c>
      <c r="Q47" s="339"/>
      <c r="R47" s="173"/>
      <c r="S47" s="173"/>
      <c r="T47" s="173"/>
      <c r="U47" s="59"/>
      <c r="V47" s="338">
        <f>($J39*(SUMIFS(V$4:V$36,$AB$4:$AB$36,"_1.")+SUMIFS(V$4:V$36,$AB$4:$AB$36,"_2.")+SUMIFS(V$4:V$36,$AB$4:$AB$36,"_3.")))+($J40*(SUMIFS(V$4:V$36,$AB$4:$AB$36,"_6.")+SUMIFS(V$4:V$36,$AB$4:$AB$36,"_7.")+SUMIFS(V$4:V$36,$AB$4:$AB$36,"_8.")+SUMIFS(V$4:V$36,$AB$4:$AB$36,"_9.")+SUMIFS(V$4:V$36,$AB$4:$AB$36,"_10")+SUMIFS(V$4:V$36,$AB$4:$AB$36,"_11")))+($J43*(SUMIFS(V$4:V$36,$AB$4:$AB$36,"_14")+SUMIFS(V$4:V$36,$AB$4:$AB$36,"_15")))+($J44*(SUMIFS(V$4:V$36,$AB$4:$AB$36,"_16")+SUMIFS(V$4:V$36,$AB$4:$AB$36,"_17")))+($J46*SUMIF($AB$4:$AB$36,"_19",V$4:V$36))+(IF(SUMIF($AB$4:$AB$36,"_12",V$4:V$36)&gt;0,$J41,0))+(IF(SUMIF($AB$4:$AB$36,"_13",V$4:V$36)&gt;0,$J42,0))+(IF(SUMIF($AB$4:$AB$36,"_18",V$4:V$36)&gt;0, $J45,0))</f>
        <v>0</v>
      </c>
      <c r="W47" s="339"/>
    </row>
    <row r="48" spans="1:86" s="37" customFormat="1" ht="15" x14ac:dyDescent="0.25">
      <c r="A48" s="59"/>
      <c r="B48" s="59"/>
      <c r="C48" s="59"/>
      <c r="D48" s="59"/>
      <c r="E48" s="58"/>
      <c r="F48" s="58"/>
      <c r="G48" s="58"/>
      <c r="H48" s="58"/>
      <c r="I48" s="58"/>
      <c r="J48" s="58"/>
      <c r="K48" s="58"/>
      <c r="L48" s="58"/>
      <c r="M48" s="58"/>
      <c r="N48" s="58"/>
      <c r="O48" s="58"/>
      <c r="P48" s="58"/>
      <c r="Q48" s="58"/>
      <c r="R48" s="58"/>
      <c r="S48" s="58"/>
      <c r="T48" s="58"/>
      <c r="U48" s="59"/>
      <c r="V48" s="58"/>
      <c r="W48" s="58"/>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row>
    <row r="49" spans="1:23" s="26" customFormat="1" ht="15" x14ac:dyDescent="0.25">
      <c r="A49" s="333" t="s">
        <v>439</v>
      </c>
      <c r="B49" s="334"/>
      <c r="C49" s="334"/>
      <c r="D49" s="334"/>
      <c r="E49" s="334"/>
      <c r="F49" s="334"/>
      <c r="G49" s="334"/>
      <c r="H49" s="334"/>
      <c r="I49" s="334"/>
      <c r="J49" s="331">
        <f>J37*1.06+J47</f>
        <v>0</v>
      </c>
      <c r="K49" s="332"/>
      <c r="L49" s="170"/>
      <c r="M49" s="170"/>
      <c r="N49" s="170"/>
      <c r="P49" s="331">
        <f>P37*1.06+P47</f>
        <v>0</v>
      </c>
      <c r="Q49" s="332"/>
      <c r="R49" s="170"/>
      <c r="S49" s="170"/>
      <c r="T49" s="170"/>
      <c r="U49" s="59"/>
      <c r="V49" s="331">
        <f>V37*1.06+V47</f>
        <v>0</v>
      </c>
      <c r="W49" s="332"/>
    </row>
    <row r="50" spans="1:23" ht="15" x14ac:dyDescent="0.25">
      <c r="U50" s="59"/>
      <c r="V50" s="33"/>
      <c r="W50" s="33"/>
    </row>
    <row r="51" spans="1:23" ht="15" x14ac:dyDescent="0.25">
      <c r="A51" s="325" t="s">
        <v>440</v>
      </c>
      <c r="B51" s="326"/>
      <c r="C51" s="326"/>
      <c r="D51" s="326"/>
      <c r="E51" s="326"/>
      <c r="F51" s="326"/>
      <c r="G51" s="326"/>
      <c r="H51" s="326"/>
      <c r="I51" s="327"/>
      <c r="J51" s="347">
        <v>0.05</v>
      </c>
      <c r="K51" s="348"/>
      <c r="L51" s="174"/>
      <c r="M51" s="174"/>
      <c r="N51" s="174"/>
      <c r="Q51"/>
      <c r="R51" s="174"/>
      <c r="S51" s="174"/>
      <c r="T51" s="174"/>
      <c r="U51" s="59"/>
      <c r="V51" s="33"/>
      <c r="W51"/>
    </row>
    <row r="52" spans="1:23" ht="15" x14ac:dyDescent="0.25">
      <c r="A52" s="328" t="s">
        <v>441</v>
      </c>
      <c r="B52" s="329"/>
      <c r="C52" s="329"/>
      <c r="D52" s="329"/>
      <c r="E52" s="329"/>
      <c r="F52" s="329"/>
      <c r="G52" s="329"/>
      <c r="H52" s="329"/>
      <c r="I52" s="330"/>
      <c r="J52" s="338">
        <f>J37*$J$51</f>
        <v>0</v>
      </c>
      <c r="K52" s="339"/>
      <c r="L52" s="173"/>
      <c r="M52" s="173"/>
      <c r="N52" s="173"/>
      <c r="P52" s="338">
        <f>P37*$J$51</f>
        <v>0</v>
      </c>
      <c r="Q52" s="339"/>
      <c r="R52" s="173"/>
      <c r="S52" s="173"/>
      <c r="T52" s="173"/>
      <c r="U52" s="59"/>
      <c r="V52" s="338">
        <f>V37*J$51</f>
        <v>0</v>
      </c>
      <c r="W52" s="339"/>
    </row>
    <row r="53" spans="1:23" ht="15" x14ac:dyDescent="0.25">
      <c r="E53"/>
      <c r="F53"/>
      <c r="G53"/>
      <c r="H53"/>
      <c r="I53"/>
      <c r="J53"/>
      <c r="K53"/>
      <c r="L53"/>
      <c r="M53"/>
      <c r="N53"/>
      <c r="Q53"/>
      <c r="R53"/>
      <c r="S53"/>
      <c r="T53"/>
      <c r="U53"/>
      <c r="V53" s="33"/>
      <c r="W53"/>
    </row>
    <row r="54" spans="1:23" ht="15" x14ac:dyDescent="0.25">
      <c r="A54" s="340" t="s">
        <v>442</v>
      </c>
      <c r="B54" s="341"/>
      <c r="C54" s="341"/>
      <c r="D54" s="341"/>
      <c r="E54" s="341"/>
      <c r="F54" s="341"/>
      <c r="G54" s="341"/>
      <c r="H54" s="341"/>
      <c r="I54" s="341"/>
      <c r="J54" s="343">
        <f>SUMIF($AB$4:$AB$36,"_4.",K$4:K$36)+SUMIF($AB$4:$AB$36,"_5.",K$4:K$36)</f>
        <v>0</v>
      </c>
      <c r="K54" s="344"/>
      <c r="L54" s="175"/>
      <c r="M54" s="175"/>
      <c r="N54" s="175"/>
      <c r="P54" s="343">
        <f>SUMIF($AB$4:$AB$36,"_4.",Q$4:Q$36)+SUMIF($AB$4:$AB$36,"_5.",Q$4:Q$36)</f>
        <v>0</v>
      </c>
      <c r="Q54" s="344"/>
      <c r="R54" s="175"/>
      <c r="S54" s="175"/>
      <c r="T54" s="175"/>
      <c r="U54"/>
      <c r="V54" s="343">
        <f>SUMIF($AB$4:$AB$36,"_4.",W$4:W$36)+SUMIF($AB$4:$AB$36,"_5.",W$4:W$36)</f>
        <v>0</v>
      </c>
      <c r="W54" s="344"/>
    </row>
    <row r="55" spans="1:23" ht="15" x14ac:dyDescent="0.25">
      <c r="A55" s="342" t="s">
        <v>443</v>
      </c>
      <c r="B55" s="342"/>
      <c r="C55" s="342"/>
      <c r="D55" s="342"/>
      <c r="E55" s="342"/>
      <c r="F55" s="342"/>
      <c r="G55" s="342"/>
      <c r="H55" s="342"/>
      <c r="I55" s="342"/>
      <c r="J55" s="345">
        <v>0.08</v>
      </c>
      <c r="K55" s="346"/>
      <c r="L55" s="174"/>
      <c r="M55" s="174"/>
      <c r="N55" s="174"/>
      <c r="P55" s="229"/>
      <c r="Q55" s="230"/>
      <c r="R55" s="174"/>
      <c r="S55" s="174"/>
      <c r="T55" s="174"/>
      <c r="U55"/>
      <c r="V55" s="229"/>
      <c r="W55" s="230"/>
    </row>
    <row r="56" spans="1:23" ht="15" x14ac:dyDescent="0.25">
      <c r="A56" s="335" t="s">
        <v>444</v>
      </c>
      <c r="B56" s="336"/>
      <c r="C56" s="336"/>
      <c r="D56" s="336"/>
      <c r="E56" s="336"/>
      <c r="F56" s="336"/>
      <c r="G56" s="336"/>
      <c r="H56" s="336"/>
      <c r="I56" s="337"/>
      <c r="J56" s="338">
        <f>J54*$J$55</f>
        <v>0</v>
      </c>
      <c r="K56" s="339"/>
      <c r="L56" s="173"/>
      <c r="M56" s="173"/>
      <c r="N56" s="173"/>
      <c r="P56" s="338">
        <f>P54*$J$55</f>
        <v>0</v>
      </c>
      <c r="Q56" s="339"/>
      <c r="R56" s="173"/>
      <c r="S56" s="173"/>
      <c r="T56" s="173"/>
      <c r="U56"/>
      <c r="V56" s="338">
        <f>V54*$J$55</f>
        <v>0</v>
      </c>
      <c r="W56" s="339"/>
    </row>
    <row r="57" spans="1:23" ht="15.75" thickBot="1" x14ac:dyDescent="0.3">
      <c r="E57"/>
      <c r="F57"/>
      <c r="G57"/>
      <c r="H57"/>
      <c r="I57"/>
      <c r="J57"/>
      <c r="K57"/>
      <c r="L57"/>
      <c r="M57"/>
      <c r="N57"/>
      <c r="Q57"/>
      <c r="R57"/>
      <c r="S57"/>
      <c r="T57"/>
      <c r="U57"/>
      <c r="V57" s="33"/>
      <c r="W57"/>
    </row>
    <row r="58" spans="1:23" ht="15.75" thickBot="1" x14ac:dyDescent="0.3">
      <c r="A58" s="320" t="s">
        <v>445</v>
      </c>
      <c r="B58" s="321"/>
      <c r="C58" s="321"/>
      <c r="D58" s="321"/>
      <c r="E58" s="321"/>
      <c r="F58" s="321"/>
      <c r="G58" s="321"/>
      <c r="H58" s="321"/>
      <c r="I58" s="322"/>
      <c r="J58" s="323">
        <f>J49+J52+J54+J56</f>
        <v>0</v>
      </c>
      <c r="K58" s="324"/>
      <c r="L58" s="173"/>
      <c r="M58" s="173"/>
      <c r="N58" s="173"/>
      <c r="P58" s="323">
        <f>P49+P52+P54+P56</f>
        <v>0</v>
      </c>
      <c r="Q58" s="324"/>
      <c r="R58" s="173"/>
      <c r="S58" s="173"/>
      <c r="T58" s="173"/>
      <c r="U58" s="59"/>
      <c r="V58" s="323">
        <f>V49+V52+V54+V56</f>
        <v>0</v>
      </c>
      <c r="W58" s="324"/>
    </row>
  </sheetData>
  <sheetProtection algorithmName="SHA-512" hashValue="T9iIJ+yWEog3gOTeSh8Zh5AvV/JDVinXW1nqE/PZ9cjTWDCmBfjJwlC6I6ffT9gqN2n2loGg3dpyFnWkTS2jyA==" saltValue="PFp50Fq3PPyoKBSkaUz3Tg==" spinCount="100000" sheet="1" sort="0" autoFilter="0" pivotTables="0"/>
  <dataConsolidate link="1"/>
  <mergeCells count="51">
    <mergeCell ref="P52:Q52"/>
    <mergeCell ref="P54:Q54"/>
    <mergeCell ref="P56:Q56"/>
    <mergeCell ref="P58:Q58"/>
    <mergeCell ref="V49:W49"/>
    <mergeCell ref="V52:W52"/>
    <mergeCell ref="V54:W54"/>
    <mergeCell ref="V56:W56"/>
    <mergeCell ref="V58:W58"/>
    <mergeCell ref="P47:Q47"/>
    <mergeCell ref="V47:W47"/>
    <mergeCell ref="P49:Q49"/>
    <mergeCell ref="P37:Q37"/>
    <mergeCell ref="V37:W37"/>
    <mergeCell ref="J47:K47"/>
    <mergeCell ref="J39:K39"/>
    <mergeCell ref="A47:I47"/>
    <mergeCell ref="A39:I39"/>
    <mergeCell ref="A40:I40"/>
    <mergeCell ref="J40:K40"/>
    <mergeCell ref="A41:I41"/>
    <mergeCell ref="A46:I46"/>
    <mergeCell ref="J46:K46"/>
    <mergeCell ref="J41:K41"/>
    <mergeCell ref="A42:I42"/>
    <mergeCell ref="J42:K42"/>
    <mergeCell ref="A43:I43"/>
    <mergeCell ref="J43:K43"/>
    <mergeCell ref="A58:I58"/>
    <mergeCell ref="J58:K58"/>
    <mergeCell ref="A51:I51"/>
    <mergeCell ref="A52:I52"/>
    <mergeCell ref="J49:K49"/>
    <mergeCell ref="A49:I49"/>
    <mergeCell ref="A56:I56"/>
    <mergeCell ref="J56:K56"/>
    <mergeCell ref="A54:I54"/>
    <mergeCell ref="A55:I55"/>
    <mergeCell ref="J54:K54"/>
    <mergeCell ref="J55:K55"/>
    <mergeCell ref="J52:K52"/>
    <mergeCell ref="J51:K51"/>
    <mergeCell ref="L1:Q1"/>
    <mergeCell ref="R1:W1"/>
    <mergeCell ref="A44:I44"/>
    <mergeCell ref="J44:K44"/>
    <mergeCell ref="A45:I45"/>
    <mergeCell ref="J45:K45"/>
    <mergeCell ref="A37:I37"/>
    <mergeCell ref="J1:K1"/>
    <mergeCell ref="J37:K37"/>
  </mergeCells>
  <phoneticPr fontId="27" type="noConversion"/>
  <conditionalFormatting sqref="D4:G4 O4:O36 U4:U36 I4:I36 D5:D36 F8:F36 E8:E32 E5:F7">
    <cfRule type="cellIs" dxfId="167" priority="4406" operator="equal">
      <formula>"N/A"</formula>
    </cfRule>
  </conditionalFormatting>
  <conditionalFormatting sqref="E33:E36 G5:G36">
    <cfRule type="cellIs" dxfId="166" priority="56" operator="equal">
      <formula>"N/A"</formula>
    </cfRule>
  </conditionalFormatting>
  <conditionalFormatting sqref="M4:M37">
    <cfRule type="cellIs" dxfId="165" priority="4" operator="equal">
      <formula>"N/A"</formula>
    </cfRule>
  </conditionalFormatting>
  <conditionalFormatting sqref="S4:S37">
    <cfRule type="cellIs" dxfId="164" priority="3" operator="equal">
      <formula>"N/A"</formula>
    </cfRule>
  </conditionalFormatting>
  <conditionalFormatting sqref="N4:N37">
    <cfRule type="cellIs" dxfId="163" priority="2" operator="equal">
      <formula>"N/A"</formula>
    </cfRule>
  </conditionalFormatting>
  <conditionalFormatting sqref="T4:T37">
    <cfRule type="cellIs" dxfId="162" priority="1" operator="equal">
      <formula>"N/A"</formula>
    </cfRule>
  </conditionalFormatting>
  <dataValidations xWindow="801" yWindow="354" count="5">
    <dataValidation type="list" allowBlank="1" showInputMessage="1" showErrorMessage="1" sqref="A4:A36" xr:uid="{00000000-0002-0000-0200-000000000000}">
      <formula1>typeofequipment</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H4:H36" xr:uid="{B76ED9AE-FF68-41F3-B2CD-19322B4D54F3}">
      <formula1>200</formula1>
      <formula2>38000</formula2>
    </dataValidation>
    <dataValidation type="list" allowBlank="1" showInputMessage="1" showErrorMessage="1" sqref="B4:B36" xr:uid="{398E074E-878D-41A0-88C7-AF960A7E0941}">
      <formula1>INDIRECT(SUBSTITUTE(A4," ",""))</formula1>
    </dataValidation>
    <dataValidation type="list" allowBlank="1" showInputMessage="1" showErrorMessage="1" sqref="C4:C36" xr:uid="{4ED45D17-A68B-4074-A369-4DA5E8CACCA4}">
      <formula1>INDIRECT(SUBSTITUTE(A4," ","")&amp;SUBSTITUTE(SUBSTITUTE(SUBSTITUTE(SUBSTITUTE(B4,"&lt;","_ "),"- ","_"),"&gt;","_")," ",""))</formula1>
    </dataValidation>
    <dataValidation type="list" allowBlank="1" showInputMessage="1" showErrorMessage="1" sqref="L4:L37 R4:R37" xr:uid="{362E5F80-815D-416E-BF7D-7F66E842EAE0}">
      <formula1>INDIRECT(SUBSTITUTE($A4," ","")&amp;SUBSTITUTE(SUBSTITUTE(SUBSTITUTE(SUBSTITUTE($B4,"&lt;","_ "),"- ","_"),"&gt;","_")," ",""))</formula1>
    </dataValidation>
  </dataValidations>
  <pageMargins left="0.7" right="0.7" top="0.75" bottom="0.75" header="0.3" footer="0.3"/>
  <pageSetup scale="36"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5" operator="equal" id="{540875B6-2C0A-4D86-BAF2-FCFC8E0A985A}">
            <xm:f>Reference_Dropdown1!$C$26</xm:f>
            <x14:dxf>
              <font>
                <color theme="0"/>
              </font>
              <fill>
                <patternFill>
                  <bgColor theme="9" tint="-0.24994659260841701"/>
                </patternFill>
              </fill>
            </x14:dxf>
          </x14:cfRule>
          <x14:cfRule type="cellIs" priority="60" operator="equal" id="{5D1AC6B5-906B-4F59-B421-0A2B5A1D1376}">
            <xm:f>Reference_Dropdown1!$C$2</xm:f>
            <x14:dxf>
              <fill>
                <patternFill>
                  <bgColor theme="5" tint="0.79998168889431442"/>
                </patternFill>
              </fill>
            </x14:dxf>
          </x14:cfRule>
          <x14:cfRule type="cellIs" priority="61" operator="equal" id="{1D05A4FD-6A51-4F39-B058-85517EC34C4D}">
            <xm:f>Reference_Dropdown1!$C$3</xm:f>
            <x14:dxf>
              <fill>
                <patternFill>
                  <bgColor theme="4" tint="0.79998168889431442"/>
                </patternFill>
              </fill>
            </x14:dxf>
          </x14:cfRule>
          <x14:cfRule type="cellIs" priority="4833" operator="equal" id="{3F290A70-3721-4576-9D08-D99A72816976}">
            <xm:f>Reference_Dropdown1!$C$4</xm:f>
            <x14:dxf>
              <fill>
                <patternFill>
                  <bgColor theme="3" tint="0.59996337778862885"/>
                </patternFill>
              </fill>
            </x14:dxf>
          </x14:cfRule>
          <x14:cfRule type="cellIs" priority="4834" operator="equal" id="{CD37CF2A-BF7E-437B-903E-911F33EBE440}">
            <xm:f>Reference_Dropdown1!$C$5</xm:f>
            <x14:dxf>
              <font>
                <color theme="0"/>
              </font>
              <fill>
                <patternFill>
                  <bgColor theme="5" tint="-0.24994659260841701"/>
                </patternFill>
              </fill>
            </x14:dxf>
          </x14:cfRule>
          <xm:sqref>A4:A36</xm:sqref>
        </x14:conditionalFormatting>
        <x14:conditionalFormatting xmlns:xm="http://schemas.microsoft.com/office/excel/2006/main">
          <x14:cfRule type="expression" priority="4967" id="{64FB30DF-D54E-4674-8940-C14668C4771C}">
            <xm:f>OR(A1='Prix et modèle des ECF '!$AB$14,A1='Prix et modèle des ECF '!$AB$17,A1='Prix et modèle des ECF '!$AB$19,A1='Prix et modèle des ECF '!#REF!,A1='Prix et modèle des ECF '!$AB$22)</xm:f>
            <x14:dxf>
              <font>
                <color theme="1"/>
              </font>
              <fill>
                <patternFill>
                  <bgColor theme="1" tint="0.499984740745262"/>
                </patternFill>
              </fill>
            </x14:dxf>
          </x14:cfRule>
          <xm:sqref>H1</xm:sqref>
        </x14:conditionalFormatting>
        <x14:conditionalFormatting xmlns:xm="http://schemas.microsoft.com/office/excel/2006/main">
          <x14:cfRule type="cellIs" priority="4968" operator="equal" id="{EF0C2FC3-71C1-498D-82D4-4384C80533A9}">
            <xm:f>Reference_Dropdown1!$C$6</xm:f>
            <x14:dxf>
              <font>
                <color theme="1"/>
              </font>
              <fill>
                <patternFill>
                  <bgColor theme="7" tint="0.79998168889431442"/>
                </patternFill>
              </fill>
            </x14:dxf>
          </x14:cfRule>
          <x14:cfRule type="cellIs" priority="4969" operator="equal" id="{7805AE09-6D20-463C-904A-F947F374BF38}">
            <xm:f>Reference_Dropdown1!$C$7</xm:f>
            <x14:dxf>
              <font>
                <color theme="1"/>
              </font>
              <fill>
                <patternFill>
                  <bgColor rgb="FFCCCCFF"/>
                </patternFill>
              </fill>
            </x14:dxf>
          </x14:cfRule>
          <x14:cfRule type="cellIs" priority="4970" operator="equal" id="{531C31B6-89DC-49BD-8893-8E88A5A3FD1B}">
            <xm:f>Reference_Dropdown1!$C$8</xm:f>
            <x14:dxf>
              <font>
                <color auto="1"/>
              </font>
              <fill>
                <patternFill>
                  <bgColor rgb="FFFFC000"/>
                </patternFill>
              </fill>
            </x14:dxf>
          </x14:cfRule>
          <x14:cfRule type="cellIs" priority="4971" operator="equal" id="{7B19207F-DC4B-4B46-A536-83EA14BA2DC0}">
            <xm:f>Reference_Dropdown1!$C$9</xm:f>
            <x14:dxf>
              <fill>
                <patternFill>
                  <bgColor rgb="FFFFFF00"/>
                </patternFill>
              </fill>
            </x14:dxf>
          </x14:cfRule>
          <x14:cfRule type="cellIs" priority="4972" operator="equal" id="{D2E0F579-F172-43B1-B84B-62616AD11EB7}">
            <xm:f>Reference_Dropdown1!$C$10</xm:f>
            <x14:dxf>
              <font>
                <color theme="0"/>
              </font>
              <fill>
                <patternFill>
                  <bgColor rgb="FF9900CC"/>
                </patternFill>
              </fill>
            </x14:dxf>
          </x14:cfRule>
          <x14:cfRule type="cellIs" priority="4973" operator="equal" id="{C438BA75-8296-48B6-A193-A061E3F307FB}">
            <xm:f>Reference_Dropdown1!$C$11</xm:f>
            <x14:dxf>
              <fill>
                <patternFill>
                  <bgColor rgb="FFFF99FF"/>
                </patternFill>
              </fill>
            </x14:dxf>
          </x14:cfRule>
          <x14:cfRule type="cellIs" priority="4974" operator="equal" id="{857F621D-4A0C-4C79-A44A-34699A023276}">
            <xm:f>Reference_Dropdown1!$C$12</xm:f>
            <x14:dxf>
              <font>
                <color theme="0"/>
              </font>
              <fill>
                <patternFill>
                  <bgColor theme="4" tint="-0.24994659260841701"/>
                </patternFill>
              </fill>
            </x14:dxf>
          </x14:cfRule>
          <x14:cfRule type="cellIs" priority="4975" operator="equal" id="{E1F5554C-8493-4E05-AEE2-EAC5317C92DB}">
            <xm:f>Reference_Dropdown1!$C$13</xm:f>
            <x14:dxf>
              <font>
                <color theme="0"/>
              </font>
              <fill>
                <patternFill>
                  <bgColor theme="9" tint="-0.24994659260841701"/>
                </patternFill>
              </fill>
            </x14:dxf>
          </x14:cfRule>
          <x14:cfRule type="cellIs" priority="4976" operator="equal" id="{9549B3B1-C7EF-44E6-900B-E3C3186DA3BE}">
            <xm:f>Reference_Dropdown1!$C$14</xm:f>
            <x14:dxf>
              <font>
                <color theme="0"/>
              </font>
              <fill>
                <patternFill>
                  <bgColor rgb="FF7030A0"/>
                </patternFill>
              </fill>
            </x14:dxf>
          </x14:cfRule>
          <x14:cfRule type="cellIs" priority="4977" operator="equal" id="{F60DA419-B917-4BFC-BE25-3DE27161B14B}">
            <xm:f>Reference_Dropdown1!$C$15</xm:f>
            <x14:dxf>
              <font>
                <color theme="1"/>
              </font>
              <fill>
                <patternFill>
                  <bgColor theme="4" tint="0.79998168889431442"/>
                </patternFill>
              </fill>
            </x14:dxf>
          </x14:cfRule>
          <x14:cfRule type="cellIs" priority="4978" operator="equal" id="{3BBF486D-9B34-48AA-B04B-525179B8535D}">
            <xm:f>Reference_Dropdown1!$C$16</xm:f>
            <x14:dxf>
              <font>
                <color theme="1"/>
              </font>
              <fill>
                <patternFill>
                  <bgColor theme="4" tint="0.39994506668294322"/>
                </patternFill>
              </fill>
            </x14:dxf>
          </x14:cfRule>
          <x14:cfRule type="cellIs" priority="4979" operator="equal" id="{2B374E64-8E9A-444D-A981-0F4DBED863BC}">
            <xm:f>Reference_Dropdown1!$C$17</xm:f>
            <x14:dxf>
              <font>
                <color theme="0"/>
              </font>
              <fill>
                <patternFill>
                  <bgColor theme="4" tint="-0.24994659260841701"/>
                </patternFill>
              </fill>
            </x14:dxf>
          </x14:cfRule>
          <x14:cfRule type="cellIs" priority="4980" operator="equal" id="{8F24A7F0-D8FB-4F2B-A8D0-A6FD94A708C6}">
            <xm:f>Reference_Dropdown1!$C$18</xm:f>
            <x14:dxf>
              <font>
                <color theme="1"/>
              </font>
              <fill>
                <patternFill>
                  <bgColor theme="0" tint="-0.14996795556505021"/>
                </patternFill>
              </fill>
            </x14:dxf>
          </x14:cfRule>
          <x14:cfRule type="cellIs" priority="4981" operator="equal" id="{CD9A748B-C681-4CF9-98FD-0C9FDCE32EF0}">
            <xm:f>Reference_Dropdown1!$C$19</xm:f>
            <x14:dxf>
              <font>
                <color theme="0"/>
              </font>
              <fill>
                <patternFill>
                  <bgColor theme="0" tint="-0.499984740745262"/>
                </patternFill>
              </fill>
            </x14:dxf>
          </x14:cfRule>
          <x14:cfRule type="cellIs" priority="4982" operator="equal" id="{E3A09092-B7F9-4E04-93BA-5A2C582288E2}">
            <xm:f>Reference_Dropdown1!$C$20</xm:f>
            <x14:dxf>
              <font>
                <color theme="0"/>
              </font>
              <fill>
                <patternFill>
                  <bgColor theme="1" tint="0.24994659260841701"/>
                </patternFill>
              </fill>
            </x14:dxf>
          </x14:cfRule>
          <x14:cfRule type="cellIs" priority="4983" operator="equal" id="{0982DCE9-BBD1-43F9-8F01-D20B473F5567}">
            <xm:f>Reference_Dropdown1!$C$21</xm:f>
            <x14:dxf>
              <font>
                <color theme="1"/>
              </font>
              <fill>
                <patternFill>
                  <bgColor theme="9" tint="0.79998168889431442"/>
                </patternFill>
              </fill>
            </x14:dxf>
          </x14:cfRule>
          <x14:cfRule type="cellIs" priority="4984" operator="equal" id="{2556DECC-9904-408F-93A5-20A4105CEA3C}">
            <xm:f>Reference_Dropdown1!$C$22</xm:f>
            <x14:dxf>
              <font>
                <color theme="1"/>
              </font>
              <fill>
                <patternFill>
                  <bgColor theme="9" tint="0.59996337778862885"/>
                </patternFill>
              </fill>
            </x14:dxf>
          </x14:cfRule>
          <x14:cfRule type="cellIs" priority="4985" operator="equal" id="{A09D1914-3AB3-4D43-A94F-9BB18D4EA9A5}">
            <xm:f>Reference_Dropdown1!$C$23</xm:f>
            <x14:dxf>
              <font>
                <color theme="1"/>
              </font>
              <fill>
                <patternFill>
                  <bgColor theme="5" tint="0.79998168889431442"/>
                </patternFill>
              </fill>
            </x14:dxf>
          </x14:cfRule>
          <x14:cfRule type="cellIs" priority="4986" operator="equal" id="{7D06A7FB-0EEE-4E93-A219-29B79CDE390C}">
            <xm:f>Reference_Dropdown1!$C$24</xm:f>
            <x14:dxf>
              <font>
                <color theme="1"/>
              </font>
              <fill>
                <patternFill>
                  <bgColor theme="5" tint="0.59996337778862885"/>
                </patternFill>
              </fill>
            </x14:dxf>
          </x14:cfRule>
          <x14:cfRule type="cellIs" priority="4987" operator="equal" id="{CDC739F4-E6F4-44C1-8856-10494192D876}">
            <xm:f>Reference_Dropdown1!$C$25</xm:f>
            <x14:dxf>
              <font>
                <color theme="1"/>
              </font>
              <fill>
                <patternFill>
                  <bgColor rgb="FF9999FF"/>
                </patternFill>
              </fill>
            </x14:dxf>
          </x14:cfRule>
          <xm:sqref>A1:B1 A4:A36</xm:sqref>
        </x14:conditionalFormatting>
        <x14:conditionalFormatting xmlns:xm="http://schemas.microsoft.com/office/excel/2006/main">
          <x14:cfRule type="cellIs" priority="5008" operator="equal" id="{40194035-514E-4E3C-B941-8BFE8D23ABFB}">
            <xm:f>'Prix et modèle des ECF '!$AB$22</xm:f>
            <x14:dxf>
              <fill>
                <patternFill>
                  <bgColor rgb="FFFFFF00"/>
                </patternFill>
              </fill>
            </x14:dxf>
          </x14:cfRule>
          <x14:cfRule type="cellIs" priority="5009" operator="equal" id="{C984F952-6052-460F-A962-25FA7431B731}">
            <xm:f>'Prix et modèle des ECF '!$AB$27</xm:f>
            <x14:dxf>
              <font>
                <color theme="0"/>
              </font>
              <fill>
                <patternFill>
                  <bgColor rgb="FF7030A0"/>
                </patternFill>
              </fill>
            </x14:dxf>
          </x14:cfRule>
          <x14:cfRule type="cellIs" priority="5010" operator="equal" id="{1097636C-14FF-4A64-BC6D-E33F69937A5E}">
            <xm:f>'Prix et modèle des ECF '!$AB$26</xm:f>
            <x14:dxf>
              <font>
                <color theme="0"/>
              </font>
              <fill>
                <patternFill>
                  <bgColor theme="9" tint="-0.24994659260841701"/>
                </patternFill>
              </fill>
            </x14:dxf>
          </x14:cfRule>
          <x14:cfRule type="cellIs" priority="5011" operator="equal" id="{3B251711-67FD-4396-BDE4-8855BA9501B4}">
            <xm:f>'Prix et modèle des ECF '!$AB$25</xm:f>
            <x14:dxf>
              <font>
                <color theme="0"/>
              </font>
              <fill>
                <patternFill>
                  <bgColor theme="4" tint="-0.24994659260841701"/>
                </patternFill>
              </fill>
            </x14:dxf>
          </x14:cfRule>
          <x14:cfRule type="cellIs" priority="5012" operator="equal" id="{11D180B7-F0EE-4FB2-ABBB-174D38E8A405}">
            <xm:f>'Prix et modèle des ECF '!$AB$24</xm:f>
            <x14:dxf>
              <fill>
                <patternFill>
                  <bgColor rgb="FFFF99FF"/>
                </patternFill>
              </fill>
            </x14:dxf>
          </x14:cfRule>
          <x14:cfRule type="cellIs" priority="5013" operator="equal" id="{35DB5A15-6D21-4505-982F-E659F9C30492}">
            <xm:f>'Prix et modèle des ECF '!$AB$23</xm:f>
            <x14:dxf>
              <font>
                <color theme="0"/>
              </font>
              <fill>
                <patternFill>
                  <bgColor rgb="FF9900CC"/>
                </patternFill>
              </fill>
            </x14:dxf>
          </x14:cfRule>
          <x14:cfRule type="cellIs" priority="5014" operator="equal" id="{46360C6E-4039-4EC1-ABF9-BCB5740E08AF}">
            <xm:f>'Prix et modèle des ECF '!$AB$22</xm:f>
            <x14:dxf>
              <fill>
                <patternFill>
                  <bgColor rgb="FFFFC000"/>
                </patternFill>
              </fill>
            </x14:dxf>
          </x14:cfRule>
          <x14:cfRule type="cellIs" priority="5015" operator="equal" id="{60318092-4BA8-4431-A1B7-C7ECAFF6DA93}">
            <xm:f>'Prix et modèle des ECF '!$AB$22</xm:f>
            <x14:dxf>
              <font>
                <color theme="1"/>
              </font>
              <fill>
                <patternFill>
                  <bgColor rgb="FFCCCCFF"/>
                </patternFill>
              </fill>
            </x14:dxf>
          </x14:cfRule>
          <x14:cfRule type="cellIs" priority="5016" operator="equal" id="{FDF44A30-81EB-4AD5-AD4C-39806864FFFB}">
            <xm:f>'Prix et modèle des ECF '!#REF!</xm:f>
            <x14:dxf>
              <font>
                <color theme="1"/>
              </font>
              <fill>
                <patternFill>
                  <bgColor rgb="FFCCCCFF"/>
                </patternFill>
              </fill>
            </x14:dxf>
          </x14:cfRule>
          <x14:cfRule type="cellIs" priority="5017" operator="equal" id="{851A3D18-CF7E-457F-A38D-E70423411E30}">
            <xm:f>'Prix et modèle des ECF '!$AB$19</xm:f>
            <x14:dxf>
              <font>
                <color theme="1"/>
              </font>
              <fill>
                <patternFill>
                  <bgColor theme="5" tint="0.59996337778862885"/>
                </patternFill>
              </fill>
            </x14:dxf>
          </x14:cfRule>
          <x14:cfRule type="cellIs" priority="5018" operator="equal" id="{5CB73EB2-288D-4109-A54C-C3045933A240}">
            <xm:f>'Prix et modèle des ECF '!$AB$17</xm:f>
            <x14:dxf>
              <font>
                <color theme="1"/>
              </font>
              <fill>
                <patternFill>
                  <bgColor theme="5" tint="0.79998168889431442"/>
                </patternFill>
              </fill>
            </x14:dxf>
          </x14:cfRule>
          <x14:cfRule type="cellIs" priority="5019" operator="equal" id="{06C29BEF-F69C-47AB-80AB-95255E887FFE}">
            <xm:f>'Prix et modèle des ECF '!$AB$15</xm:f>
            <x14:dxf>
              <font>
                <color theme="1"/>
              </font>
              <fill>
                <patternFill>
                  <bgColor theme="9" tint="0.59996337778862885"/>
                </patternFill>
              </fill>
            </x14:dxf>
          </x14:cfRule>
          <x14:cfRule type="cellIs" priority="5020" operator="equal" id="{5808F185-541C-4F2C-9E92-1E802444F315}">
            <xm:f>'Prix et modèle des ECF '!$AB$14</xm:f>
            <x14:dxf>
              <font>
                <color theme="1"/>
              </font>
              <fill>
                <patternFill>
                  <bgColor theme="9" tint="0.79998168889431442"/>
                </patternFill>
              </fill>
            </x14:dxf>
          </x14:cfRule>
          <x14:cfRule type="cellIs" priority="5021" operator="equal" id="{CCF79960-71DD-4DD7-9A80-E0A5545C08BA}">
            <xm:f>'Prix et modèle des ECF '!$AB$13</xm:f>
            <x14:dxf>
              <font>
                <color theme="0"/>
              </font>
              <fill>
                <patternFill>
                  <bgColor theme="1" tint="0.24994659260841701"/>
                </patternFill>
              </fill>
            </x14:dxf>
          </x14:cfRule>
          <x14:cfRule type="cellIs" priority="5022" operator="equal" id="{E4A658CF-4F53-4B8B-B416-CD6ADB26C830}">
            <xm:f>'Prix et modèle des ECF '!$AB$12</xm:f>
            <x14:dxf>
              <font>
                <color theme="0"/>
              </font>
              <fill>
                <patternFill>
                  <bgColor theme="0" tint="-0.499984740745262"/>
                </patternFill>
              </fill>
            </x14:dxf>
          </x14:cfRule>
          <x14:cfRule type="cellIs" priority="5023" operator="equal" id="{DBA9E264-5FAA-442B-AFBA-10D0B7F5919E}">
            <xm:f>'Prix et modèle des ECF '!$AB$11</xm:f>
            <x14:dxf>
              <font>
                <color theme="1"/>
              </font>
              <fill>
                <patternFill>
                  <bgColor theme="0" tint="-0.14996795556505021"/>
                </patternFill>
              </fill>
            </x14:dxf>
          </x14:cfRule>
          <x14:cfRule type="cellIs" priority="5024" operator="equal" id="{D8F097F0-EE41-4A87-8600-10F5FDCF1CBD}">
            <xm:f>'Prix et modèle des ECF '!#REF!</xm:f>
            <x14:dxf>
              <font>
                <color theme="1"/>
              </font>
              <fill>
                <patternFill>
                  <bgColor theme="7" tint="0.79998168889431442"/>
                </patternFill>
              </fill>
            </x14:dxf>
          </x14:cfRule>
          <x14:cfRule type="cellIs" priority="5025" operator="equal" id="{8B563C4E-C448-4289-81D5-69ECCC131A8C}">
            <xm:f>'Prix et modèle des ECF '!$AB$10</xm:f>
            <x14:dxf>
              <font>
                <color theme="0"/>
              </font>
              <fill>
                <patternFill>
                  <bgColor theme="4" tint="-0.24994659260841701"/>
                </patternFill>
              </fill>
            </x14:dxf>
          </x14:cfRule>
          <x14:cfRule type="cellIs" priority="5026" operator="equal" id="{995B5785-ED94-47EB-96A1-56CE764E5BBB}">
            <xm:f>'Prix et modèle des ECF '!$AB$9</xm:f>
            <x14:dxf>
              <font>
                <color theme="1"/>
              </font>
              <fill>
                <patternFill>
                  <bgColor theme="4" tint="0.39994506668294322"/>
                </patternFill>
              </fill>
            </x14:dxf>
          </x14:cfRule>
          <x14:cfRule type="cellIs" priority="5027" operator="equal" id="{68B258F2-830E-47A5-8FFC-0343B1DFF23A}">
            <xm:f>'Prix et modèle des ECF '!$AB$8</xm:f>
            <x14:dxf>
              <font>
                <color theme="1"/>
              </font>
              <fill>
                <patternFill>
                  <bgColor theme="4" tint="0.79998168889431442"/>
                </patternFill>
              </fill>
            </x14:dxf>
          </x14:cfRule>
          <xm:sqref>A3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5AFC-909B-4A15-BECD-250E08522EA7}">
  <sheetPr codeName="Sheet4">
    <tabColor theme="3" tint="-0.249977111117893"/>
    <pageSetUpPr fitToPage="1"/>
  </sheetPr>
  <dimension ref="A1:BW56"/>
  <sheetViews>
    <sheetView showGridLines="0" zoomScaleNormal="100" zoomScaleSheetLayoutView="100" workbookViewId="0">
      <selection activeCell="I46" sqref="I46"/>
    </sheetView>
  </sheetViews>
  <sheetFormatPr defaultColWidth="0" defaultRowHeight="27" customHeight="1" x14ac:dyDescent="0.25"/>
  <cols>
    <col min="1" max="1" width="30.42578125" customWidth="1"/>
    <col min="2"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28515625" style="33" bestFit="1" customWidth="1"/>
    <col min="9" max="10" width="12.42578125" style="33" customWidth="1"/>
    <col min="11" max="12" width="9.140625" style="59" customWidth="1"/>
    <col min="13" max="75" width="0" hidden="1" customWidth="1"/>
    <col min="76" max="16384" width="9.140625" hidden="1"/>
  </cols>
  <sheetData>
    <row r="1" spans="1:12" s="68" customFormat="1" ht="16.5" customHeight="1" thickTop="1" thickBot="1" x14ac:dyDescent="0.3">
      <c r="A1" s="65"/>
      <c r="B1" s="66"/>
      <c r="C1" s="66"/>
      <c r="D1" s="66"/>
      <c r="E1" s="69"/>
      <c r="F1" s="69"/>
      <c r="G1" s="69"/>
      <c r="H1" s="69"/>
      <c r="I1" s="354" t="s">
        <v>4</v>
      </c>
      <c r="J1" s="355"/>
      <c r="K1" s="67"/>
      <c r="L1" s="67"/>
    </row>
    <row r="2" spans="1:12" s="6" customFormat="1" ht="60.75" customHeight="1" thickTop="1" x14ac:dyDescent="0.25">
      <c r="A2" s="7" t="s">
        <v>5</v>
      </c>
      <c r="B2" s="7" t="s">
        <v>6</v>
      </c>
      <c r="C2" s="7" t="s">
        <v>7</v>
      </c>
      <c r="D2" s="30" t="s">
        <v>8</v>
      </c>
      <c r="E2" s="75" t="s">
        <v>9</v>
      </c>
      <c r="F2" s="75" t="s">
        <v>10</v>
      </c>
      <c r="G2" s="75" t="s">
        <v>11</v>
      </c>
      <c r="H2" s="76" t="s">
        <v>12</v>
      </c>
      <c r="I2" s="77" t="s">
        <v>13</v>
      </c>
      <c r="J2" s="78" t="s">
        <v>14</v>
      </c>
      <c r="K2" s="55"/>
      <c r="L2" s="55"/>
    </row>
    <row r="3" spans="1:12" s="11" customFormat="1" ht="45" customHeight="1" x14ac:dyDescent="0.25">
      <c r="A3" s="9"/>
      <c r="B3" s="10" t="s">
        <v>15</v>
      </c>
      <c r="C3" s="9"/>
      <c r="D3" s="31"/>
      <c r="E3" s="31"/>
      <c r="F3" s="31"/>
      <c r="G3" s="79" t="s">
        <v>16</v>
      </c>
      <c r="H3" s="80"/>
      <c r="I3" s="81" t="s">
        <v>17</v>
      </c>
      <c r="J3" s="82"/>
      <c r="K3" s="56"/>
      <c r="L3" s="56"/>
    </row>
    <row r="4" spans="1:12" s="26" customFormat="1" ht="27" customHeight="1" x14ac:dyDescent="0.25">
      <c r="A4" s="41" t="s">
        <v>18</v>
      </c>
      <c r="B4" s="42"/>
      <c r="C4" s="29" t="str">
        <f>IFERROR(INDEX('Prix et modèle des ECF '!$A$3:$O$236,MATCH('Option B_CCE Model selection'!$B4,'Prix et modèle des ECF '!$E$3:$E$236,0),MATCH('Option B_CCE Model selection'!C$2,'Prix et modèle des ECF '!$A$3:$O$3,0)),"")</f>
        <v/>
      </c>
      <c r="D4" s="32" t="str">
        <f>IFERROR(INDEX('Prix et modèle des ECF '!$A$3:$O$236,MATCH('Option B_CCE Model selection'!$B4,'Prix et modèle des ECF '!$E$3:$E$236,0),MATCH('Option B_CCE Model selection'!D$2,'Prix et modèle des ECF '!$A$3:$O$3,0)),"")</f>
        <v/>
      </c>
      <c r="E4" s="32" t="str">
        <f>IFERROR(INDEX('Prix et modèle des ECF '!$A$3:$O$236,MATCH('Option B_CCE Model selection'!$B4,'Prix et modèle des ECF '!$E$3:$E$236,0),MATCH('Option B_CCE Model selection'!E$2,'Prix et modèle des ECF '!$A$3:$O$3,0)),"")</f>
        <v/>
      </c>
      <c r="F4" s="117" t="str">
        <f>IFERROR(INDEX('Prix et modèle des ECF '!$A$3:$O$236,MATCH('Option B_CCE Model selection'!$B4,'Prix et modèle des ECF '!$E$3:$E$236,0),MATCH('Option B_CCE Model selection'!F$2,'Prix et modèle des ECF '!$A$3:$O$3,0)),"")</f>
        <v/>
      </c>
      <c r="G4" s="54"/>
      <c r="H4" s="106" t="str">
        <f>IFERROR(IF(OR(EXACT(A4,'Prix et modèle des ECF '!$AB$14),EXACT(A4,'Prix et modèle des ECF '!$AB$16),EXACT(A4,'Prix et modèle des ECF '!$AB$17),EXACT(A4,'Prix et modèle des ECF '!$AB$18),EXACT(A4,'Prix et modèle des ECF '!$AB$19),EXACT(A4,'Prix et modèle des ECF '!$AB$20),EXACT(A4,'Prix et modèle des ECF '!$AB$21),EXACT(A4,'Prix et modèle des ECF '!$AB$22),EXACT(A4,'Prix et modèle des ECF '!$AB$23),EXACT(A4,'Prix et modèle des ECF '!$AB$24),EXACT(A4,'Prix et modèle des ECF '!$AB$25),EXACT(A4,'Prix et modèle des ECF '!$AB$26),EXACT(A4,'Prix et modèle des ECF '!$AB$27)),"N/A",G4+F4),"")</f>
        <v/>
      </c>
      <c r="I4" s="73"/>
      <c r="J4" s="74" t="str">
        <f t="shared" ref="J4:J34" si="0">IFERROR(IF(H4="N/A",F4*I4,H4*I4),"")</f>
        <v/>
      </c>
      <c r="K4" s="57"/>
      <c r="L4" s="144" t="str">
        <f>LEFT(A4,3)</f>
        <v>_1.</v>
      </c>
    </row>
    <row r="5" spans="1:12" s="26" customFormat="1" ht="27" customHeight="1" x14ac:dyDescent="0.25">
      <c r="A5" s="41" t="s">
        <v>18</v>
      </c>
      <c r="B5" s="42"/>
      <c r="C5" s="29" t="str">
        <f>IFERROR(INDEX('Prix et modèle des ECF '!$A$3:$O$236,MATCH('Option B_CCE Model selection'!$B5,'Prix et modèle des ECF '!$E$3:$E$236,0),MATCH('Option B_CCE Model selection'!C$2,'Prix et modèle des ECF '!$A$3:$O$3,0)),"")</f>
        <v/>
      </c>
      <c r="D5" s="32" t="str">
        <f>IFERROR(INDEX('Prix et modèle des ECF '!$A$3:$O$236,MATCH('Option B_CCE Model selection'!$B5,'Prix et modèle des ECF '!$E$3:$E$236,0),MATCH('Option B_CCE Model selection'!D$2,'Prix et modèle des ECF '!$A$3:$O$3,0)),"")</f>
        <v/>
      </c>
      <c r="E5" s="32" t="str">
        <f>IFERROR(INDEX('Prix et modèle des ECF '!$A$3:$O$236,MATCH('Option B_CCE Model selection'!$B5,'Prix et modèle des ECF '!$E$3:$E$236,0),MATCH('Option B_CCE Model selection'!E$2,'Prix et modèle des ECF '!$A$3:$O$3,0)),"")</f>
        <v/>
      </c>
      <c r="F5" s="117" t="str">
        <f>IFERROR(INDEX('Prix et modèle des ECF '!$A$3:$O$236,MATCH('Option B_CCE Model selection'!$B5,'Prix et modèle des ECF '!$E$3:$E$236,0),MATCH('Option B_CCE Model selection'!F$2,'Prix et modèle des ECF '!$A$3:$O$3,0)),"")</f>
        <v/>
      </c>
      <c r="G5" s="54"/>
      <c r="H5" s="106" t="str">
        <f>IFERROR(IF(OR(EXACT(A5,'Prix et modèle des ECF '!$AB$14),EXACT(A5,'Prix et modèle des ECF '!$AB$16),EXACT(A5,'Prix et modèle des ECF '!$AB$17),EXACT(A5,'Prix et modèle des ECF '!$AB$18),EXACT(A5,'Prix et modèle des ECF '!$AB$19),EXACT(A5,'Prix et modèle des ECF '!$AB$20),EXACT(A5,'Prix et modèle des ECF '!$AB$21),EXACT(A5,'Prix et modèle des ECF '!$AB$22),EXACT(A5,'Prix et modèle des ECF '!$AB$23),EXACT(A5,'Prix et modèle des ECF '!$AB$24),EXACT(A5,'Prix et modèle des ECF '!$AB$25),EXACT(A5,'Prix et modèle des ECF '!$AB$26),EXACT(A5,'Prix et modèle des ECF '!$AB$27)),"N/A",G5+F5),"")</f>
        <v/>
      </c>
      <c r="I5" s="73"/>
      <c r="J5" s="74" t="str">
        <f t="shared" si="0"/>
        <v/>
      </c>
      <c r="K5" s="57"/>
      <c r="L5" s="144" t="str">
        <f t="shared" ref="L5:L34" si="1">LEFT(A5,3)</f>
        <v>_1.</v>
      </c>
    </row>
    <row r="6" spans="1:12" s="26" customFormat="1" ht="27" customHeight="1" x14ac:dyDescent="0.25">
      <c r="A6" s="41" t="s">
        <v>19</v>
      </c>
      <c r="B6" s="42"/>
      <c r="C6" s="29" t="str">
        <f>IFERROR(INDEX('Prix et modèle des ECF '!$A$3:$O$236,MATCH('Option B_CCE Model selection'!$B6,'Prix et modèle des ECF '!$E$3:$E$236,0),MATCH('Option B_CCE Model selection'!C$2,'Prix et modèle des ECF '!$A$3:$O$3,0)),"")</f>
        <v/>
      </c>
      <c r="D6" s="32" t="str">
        <f>IFERROR(INDEX('Prix et modèle des ECF '!$A$3:$O$236,MATCH('Option B_CCE Model selection'!$B6,'Prix et modèle des ECF '!$E$3:$E$236,0),MATCH('Option B_CCE Model selection'!D$2,'Prix et modèle des ECF '!$A$3:$O$3,0)),"")</f>
        <v/>
      </c>
      <c r="E6" s="32" t="str">
        <f>IFERROR(INDEX('Prix et modèle des ECF '!$A$3:$O$236,MATCH('Option B_CCE Model selection'!$B6,'Prix et modèle des ECF '!$E$3:$E$236,0),MATCH('Option B_CCE Model selection'!E$2,'Prix et modèle des ECF '!$A$3:$O$3,0)),"")</f>
        <v/>
      </c>
      <c r="F6" s="117" t="str">
        <f>IFERROR(INDEX('Prix et modèle des ECF '!$A$3:$O$236,MATCH('Option B_CCE Model selection'!$B6,'Prix et modèle des ECF '!$E$3:$E$236,0),MATCH('Option B_CCE Model selection'!F$2,'Prix et modèle des ECF '!$A$3:$O$3,0)),"")</f>
        <v/>
      </c>
      <c r="G6" s="54"/>
      <c r="H6" s="106" t="str">
        <f>IFERROR(IF(OR(EXACT(A6,'Prix et modèle des ECF '!$AB$14),EXACT(A6,'Prix et modèle des ECF '!$AB$16),EXACT(A6,'Prix et modèle des ECF '!$AB$17),EXACT(A6,'Prix et modèle des ECF '!$AB$18),EXACT(A6,'Prix et modèle des ECF '!$AB$19),EXACT(A6,'Prix et modèle des ECF '!$AB$20),EXACT(A6,'Prix et modèle des ECF '!$AB$21),EXACT(A6,'Prix et modèle des ECF '!$AB$22),EXACT(A6,'Prix et modèle des ECF '!$AB$23),EXACT(A6,'Prix et modèle des ECF '!$AB$24),EXACT(A6,'Prix et modèle des ECF '!$AB$25),EXACT(A6,'Prix et modèle des ECF '!$AB$26),EXACT(A6,'Prix et modèle des ECF '!$AB$27)),"N/A",G6+F6),"")</f>
        <v/>
      </c>
      <c r="I6" s="73"/>
      <c r="J6" s="74" t="str">
        <f t="shared" si="0"/>
        <v/>
      </c>
      <c r="K6" s="57"/>
      <c r="L6" s="144" t="str">
        <f t="shared" si="1"/>
        <v>_2.</v>
      </c>
    </row>
    <row r="7" spans="1:12" s="26" customFormat="1" ht="27" customHeight="1" x14ac:dyDescent="0.25">
      <c r="A7" s="41" t="s">
        <v>20</v>
      </c>
      <c r="B7" s="42"/>
      <c r="C7" s="29" t="str">
        <f>IFERROR(INDEX('Prix et modèle des ECF '!$A$3:$O$236,MATCH('Option B_CCE Model selection'!$B7,'Prix et modèle des ECF '!$E$3:$E$236,0),MATCH('Option B_CCE Model selection'!C$2,'Prix et modèle des ECF '!$A$3:$O$3,0)),"")</f>
        <v/>
      </c>
      <c r="D7" s="32" t="str">
        <f>IFERROR(INDEX('Prix et modèle des ECF '!$A$3:$O$236,MATCH('Option B_CCE Model selection'!$B7,'Prix et modèle des ECF '!$E$3:$E$236,0),MATCH('Option B_CCE Model selection'!D$2,'Prix et modèle des ECF '!$A$3:$O$3,0)),"")</f>
        <v/>
      </c>
      <c r="E7" s="32" t="str">
        <f>IFERROR(INDEX('Prix et modèle des ECF '!$A$3:$O$236,MATCH('Option B_CCE Model selection'!$B7,'Prix et modèle des ECF '!$E$3:$E$236,0),MATCH('Option B_CCE Model selection'!E$2,'Prix et modèle des ECF '!$A$3:$O$3,0)),"")</f>
        <v/>
      </c>
      <c r="F7" s="117" t="str">
        <f>IFERROR(INDEX('Prix et modèle des ECF '!$A$3:$O$236,MATCH('Option B_CCE Model selection'!$B7,'Prix et modèle des ECF '!$E$3:$E$236,0),MATCH('Option B_CCE Model selection'!F$2,'Prix et modèle des ECF '!$A$3:$O$3,0)),"")</f>
        <v/>
      </c>
      <c r="G7" s="54"/>
      <c r="H7" s="106" t="str">
        <f>IFERROR(IF(OR(EXACT(A7,'Prix et modèle des ECF '!$AB$14),EXACT(A7,'Prix et modèle des ECF '!$AB$16),EXACT(A7,'Prix et modèle des ECF '!$AB$17),EXACT(A7,'Prix et modèle des ECF '!$AB$18),EXACT(A7,'Prix et modèle des ECF '!$AB$19),EXACT(A7,'Prix et modèle des ECF '!$AB$20),EXACT(A7,'Prix et modèle des ECF '!$AB$21),EXACT(A7,'Prix et modèle des ECF '!$AB$22),EXACT(A7,'Prix et modèle des ECF '!$AB$23),EXACT(A7,'Prix et modèle des ECF '!$AB$24),EXACT(A7,'Prix et modèle des ECF '!$AB$25),EXACT(A7,'Prix et modèle des ECF '!$AB$26),EXACT(A7,'Prix et modèle des ECF '!$AB$27)),"N/A",G7+F7),"")</f>
        <v/>
      </c>
      <c r="I7" s="73"/>
      <c r="J7" s="74" t="str">
        <f t="shared" si="0"/>
        <v/>
      </c>
      <c r="K7" s="57"/>
      <c r="L7" s="144" t="str">
        <f t="shared" si="1"/>
        <v>_3.</v>
      </c>
    </row>
    <row r="8" spans="1:12" s="26" customFormat="1" ht="27" customHeight="1" x14ac:dyDescent="0.25">
      <c r="A8" s="41" t="s">
        <v>22</v>
      </c>
      <c r="B8" s="42"/>
      <c r="C8" s="29" t="str">
        <f>IFERROR(INDEX('Prix et modèle des ECF '!$A$3:$O$236,MATCH('Option B_CCE Model selection'!$B8,'Prix et modèle des ECF '!$E$3:$E$236,0),MATCH('Option B_CCE Model selection'!C$2,'Prix et modèle des ECF '!$A$3:$O$3,0)),"")</f>
        <v/>
      </c>
      <c r="D8" s="32" t="str">
        <f>IFERROR(INDEX('Prix et modèle des ECF '!$A$3:$O$236,MATCH('Option B_CCE Model selection'!$B8,'Prix et modèle des ECF '!$E$3:$E$236,0),MATCH('Option B_CCE Model selection'!D$2,'Prix et modèle des ECF '!$A$3:$O$3,0)),"")</f>
        <v/>
      </c>
      <c r="E8" s="32" t="str">
        <f>IFERROR(INDEX('Prix et modèle des ECF '!$A$3:$O$236,MATCH('Option B_CCE Model selection'!$B8,'Prix et modèle des ECF '!$E$3:$E$236,0),MATCH('Option B_CCE Model selection'!E$2,'Prix et modèle des ECF '!$A$3:$O$3,0)),"")</f>
        <v/>
      </c>
      <c r="F8" s="117" t="str">
        <f>IFERROR(INDEX('Prix et modèle des ECF '!$A$3:$O$236,MATCH('Option B_CCE Model selection'!$B8,'Prix et modèle des ECF '!$E$3:$E$236,0),MATCH('Option B_CCE Model selection'!F$2,'Prix et modèle des ECF '!$A$3:$O$3,0)),"")</f>
        <v/>
      </c>
      <c r="G8" s="54"/>
      <c r="H8" s="106" t="str">
        <f>IFERROR(IF(OR(EXACT(A8,'Prix et modèle des ECF '!$AB$14),EXACT(A8,'Prix et modèle des ECF '!$AB$16),EXACT(A8,'Prix et modèle des ECF '!$AB$17),EXACT(A8,'Prix et modèle des ECF '!$AB$18),EXACT(A8,'Prix et modèle des ECF '!$AB$19),EXACT(A8,'Prix et modèle des ECF '!$AB$20),EXACT(A8,'Prix et modèle des ECF '!$AB$21),EXACT(A8,'Prix et modèle des ECF '!$AB$22),EXACT(A8,'Prix et modèle des ECF '!$AB$23),EXACT(A8,'Prix et modèle des ECF '!$AB$24),EXACT(A8,'Prix et modèle des ECF '!$AB$25),EXACT(A8,'Prix et modèle des ECF '!$AB$26),EXACT(A8,'Prix et modèle des ECF '!$AB$27)),"N/A",G8+F8),"")</f>
        <v/>
      </c>
      <c r="I8" s="73"/>
      <c r="J8" s="74" t="str">
        <f t="shared" si="0"/>
        <v/>
      </c>
      <c r="K8" s="57"/>
      <c r="L8" s="144" t="str">
        <f t="shared" si="1"/>
        <v>_4.</v>
      </c>
    </row>
    <row r="9" spans="1:12" s="26" customFormat="1" ht="27" customHeight="1" x14ac:dyDescent="0.25">
      <c r="A9" s="43" t="s">
        <v>24</v>
      </c>
      <c r="B9" s="42"/>
      <c r="C9" s="29" t="str">
        <f>IFERROR(INDEX('Prix et modèle des ECF '!$A$3:$O$236,MATCH('Option B_CCE Model selection'!$B9,'Prix et modèle des ECF '!$E$3:$E$236,0),MATCH('Option B_CCE Model selection'!C$2,'Prix et modèle des ECF '!$A$3:$O$3,0)),"")</f>
        <v/>
      </c>
      <c r="D9" s="32" t="str">
        <f>IFERROR(INDEX('Prix et modèle des ECF '!$A$3:$O$236,MATCH('Option B_CCE Model selection'!$B9,'Prix et modèle des ECF '!$E$3:$E$236,0),MATCH('Option B_CCE Model selection'!D$2,'Prix et modèle des ECF '!$A$3:$O$3,0)),"")</f>
        <v/>
      </c>
      <c r="E9" s="32" t="str">
        <f>IFERROR(INDEX('Prix et modèle des ECF '!$A$3:$O$236,MATCH('Option B_CCE Model selection'!$B9,'Prix et modèle des ECF '!$E$3:$E$236,0),MATCH('Option B_CCE Model selection'!E$2,'Prix et modèle des ECF '!$A$3:$O$3,0)),"")</f>
        <v/>
      </c>
      <c r="F9" s="117" t="str">
        <f>IFERROR(INDEX('Prix et modèle des ECF '!$A$3:$O$236,MATCH('Option B_CCE Model selection'!$B9,'Prix et modèle des ECF '!$E$3:$E$236,0),MATCH('Option B_CCE Model selection'!F$2,'Prix et modèle des ECF '!$A$3:$O$3,0)),"")</f>
        <v/>
      </c>
      <c r="G9" s="54"/>
      <c r="H9" s="106" t="str">
        <f>IFERROR(IF(OR(EXACT(A9,'Prix et modèle des ECF '!$AB$14),EXACT(A9,'Prix et modèle des ECF '!$AB$16),EXACT(A9,'Prix et modèle des ECF '!$AB$17),EXACT(A9,'Prix et modèle des ECF '!$AB$18),EXACT(A9,'Prix et modèle des ECF '!$AB$19),EXACT(A9,'Prix et modèle des ECF '!$AB$20),EXACT(A9,'Prix et modèle des ECF '!$AB$21),EXACT(A9,'Prix et modèle des ECF '!$AB$22),EXACT(A9,'Prix et modèle des ECF '!$AB$23),EXACT(A9,'Prix et modèle des ECF '!$AB$24),EXACT(A9,'Prix et modèle des ECF '!$AB$25),EXACT(A9,'Prix et modèle des ECF '!$AB$26),EXACT(A9,'Prix et modèle des ECF '!$AB$27)),"N/A",G9+F9),"")</f>
        <v/>
      </c>
      <c r="I9" s="73"/>
      <c r="J9" s="74" t="str">
        <f t="shared" si="0"/>
        <v/>
      </c>
      <c r="K9" s="57"/>
      <c r="L9" s="144" t="str">
        <f t="shared" si="1"/>
        <v>_5.</v>
      </c>
    </row>
    <row r="10" spans="1:12" s="26" customFormat="1" ht="27" customHeight="1" x14ac:dyDescent="0.25">
      <c r="A10" s="44" t="s">
        <v>25</v>
      </c>
      <c r="B10" s="42"/>
      <c r="C10" s="29" t="str">
        <f>IFERROR(INDEX('Prix et modèle des ECF '!$A$3:$O$236,MATCH('Option B_CCE Model selection'!$B10,'Prix et modèle des ECF '!$E$3:$E$236,0),MATCH('Option B_CCE Model selection'!C$2,'Prix et modèle des ECF '!$A$3:$O$3,0)),"")</f>
        <v/>
      </c>
      <c r="D10" s="32" t="str">
        <f>IFERROR(INDEX('Prix et modèle des ECF '!$A$3:$O$236,MATCH('Option B_CCE Model selection'!$B10,'Prix et modèle des ECF '!$E$3:$E$236,0),MATCH('Option B_CCE Model selection'!D$2,'Prix et modèle des ECF '!$A$3:$O$3,0)),"")</f>
        <v/>
      </c>
      <c r="E10" s="32" t="str">
        <f>IFERROR(INDEX('Prix et modèle des ECF '!$A$3:$O$236,MATCH('Option B_CCE Model selection'!$B10,'Prix et modèle des ECF '!$E$3:$E$236,0),MATCH('Option B_CCE Model selection'!E$2,'Prix et modèle des ECF '!$A$3:$O$3,0)),"")</f>
        <v/>
      </c>
      <c r="F10" s="117" t="str">
        <f>IFERROR(INDEX('Prix et modèle des ECF '!$A$3:$O$236,MATCH('Option B_CCE Model selection'!$B10,'Prix et modèle des ECF '!$E$3:$E$236,0),MATCH('Option B_CCE Model selection'!F$2,'Prix et modèle des ECF '!$A$3:$O$3,0)),"")</f>
        <v/>
      </c>
      <c r="G10" s="54"/>
      <c r="H10" s="106" t="str">
        <f>IFERROR(IF(OR(EXACT(A10,'Prix et modèle des ECF '!$AB$14),EXACT(A10,'Prix et modèle des ECF '!$AB$16),EXACT(A10,'Prix et modèle des ECF '!$AB$17),EXACT(A10,'Prix et modèle des ECF '!$AB$18),EXACT(A10,'Prix et modèle des ECF '!$AB$19),EXACT(A10,'Prix et modèle des ECF '!$AB$20),EXACT(A10,'Prix et modèle des ECF '!$AB$21),EXACT(A10,'Prix et modèle des ECF '!$AB$22),EXACT(A10,'Prix et modèle des ECF '!$AB$23),EXACT(A10,'Prix et modèle des ECF '!$AB$24),EXACT(A10,'Prix et modèle des ECF '!$AB$25),EXACT(A10,'Prix et modèle des ECF '!$AB$26),EXACT(A10,'Prix et modèle des ECF '!$AB$27)),"N/A",G10+F10),"")</f>
        <v/>
      </c>
      <c r="I10" s="73"/>
      <c r="J10" s="74" t="str">
        <f t="shared" si="0"/>
        <v/>
      </c>
      <c r="K10" s="57"/>
      <c r="L10" s="144" t="str">
        <f t="shared" si="1"/>
        <v>_6.</v>
      </c>
    </row>
    <row r="11" spans="1:12" s="26" customFormat="1" ht="27" customHeight="1" x14ac:dyDescent="0.25">
      <c r="A11" s="44" t="s">
        <v>25</v>
      </c>
      <c r="B11" s="42"/>
      <c r="C11" s="29" t="str">
        <f>IFERROR(INDEX('Prix et modèle des ECF '!$A$3:$O$236,MATCH('Option B_CCE Model selection'!$B11,'Prix et modèle des ECF '!$E$3:$E$236,0),MATCH('Option B_CCE Model selection'!C$2,'Prix et modèle des ECF '!$A$3:$O$3,0)),"")</f>
        <v/>
      </c>
      <c r="D11" s="32" t="str">
        <f>IFERROR(INDEX('Prix et modèle des ECF '!$A$3:$O$236,MATCH('Option B_CCE Model selection'!$B11,'Prix et modèle des ECF '!$E$3:$E$236,0),MATCH('Option B_CCE Model selection'!D$2,'Prix et modèle des ECF '!$A$3:$O$3,0)),"")</f>
        <v/>
      </c>
      <c r="E11" s="32" t="str">
        <f>IFERROR(INDEX('Prix et modèle des ECF '!$A$3:$O$236,MATCH('Option B_CCE Model selection'!$B11,'Prix et modèle des ECF '!$E$3:$E$236,0),MATCH('Option B_CCE Model selection'!E$2,'Prix et modèle des ECF '!$A$3:$O$3,0)),"")</f>
        <v/>
      </c>
      <c r="F11" s="117" t="str">
        <f>IFERROR(INDEX('Prix et modèle des ECF '!$A$3:$O$236,MATCH('Option B_CCE Model selection'!$B11,'Prix et modèle des ECF '!$E$3:$E$236,0),MATCH('Option B_CCE Model selection'!F$2,'Prix et modèle des ECF '!$A$3:$O$3,0)),"")</f>
        <v/>
      </c>
      <c r="G11" s="54"/>
      <c r="H11" s="106" t="str">
        <f>IFERROR(IF(OR(EXACT(A11,'Prix et modèle des ECF '!$AB$14),EXACT(A11,'Prix et modèle des ECF '!$AB$16),EXACT(A11,'Prix et modèle des ECF '!$AB$17),EXACT(A11,'Prix et modèle des ECF '!$AB$18),EXACT(A11,'Prix et modèle des ECF '!$AB$19),EXACT(A11,'Prix et modèle des ECF '!$AB$20),EXACT(A11,'Prix et modèle des ECF '!$AB$21),EXACT(A11,'Prix et modèle des ECF '!$AB$22),EXACT(A11,'Prix et modèle des ECF '!$AB$23),EXACT(A11,'Prix et modèle des ECF '!$AB$24),EXACT(A11,'Prix et modèle des ECF '!$AB$25),EXACT(A11,'Prix et modèle des ECF '!$AB$26),EXACT(A11,'Prix et modèle des ECF '!$AB$27)),"N/A",G11+F11),"")</f>
        <v/>
      </c>
      <c r="I11" s="73"/>
      <c r="J11" s="74" t="str">
        <f t="shared" si="0"/>
        <v/>
      </c>
      <c r="K11" s="57"/>
      <c r="L11" s="144" t="str">
        <f t="shared" si="1"/>
        <v>_6.</v>
      </c>
    </row>
    <row r="12" spans="1:12" s="26" customFormat="1" ht="27" customHeight="1" x14ac:dyDescent="0.25">
      <c r="A12" s="44" t="s">
        <v>26</v>
      </c>
      <c r="B12" s="42"/>
      <c r="C12" s="29" t="str">
        <f>IFERROR(INDEX('Prix et modèle des ECF '!$A$3:$O$236,MATCH('Option B_CCE Model selection'!$B12,'Prix et modèle des ECF '!$E$3:$E$236,0),MATCH('Option B_CCE Model selection'!C$2,'Prix et modèle des ECF '!$A$3:$O$3,0)),"")</f>
        <v/>
      </c>
      <c r="D12" s="32" t="str">
        <f>IFERROR(INDEX('Prix et modèle des ECF '!$A$3:$O$236,MATCH('Option B_CCE Model selection'!$B12,'Prix et modèle des ECF '!$E$3:$E$236,0),MATCH('Option B_CCE Model selection'!D$2,'Prix et modèle des ECF '!$A$3:$O$3,0)),"")</f>
        <v/>
      </c>
      <c r="E12" s="32" t="str">
        <f>IFERROR(INDEX('Prix et modèle des ECF '!$A$3:$O$236,MATCH('Option B_CCE Model selection'!$B12,'Prix et modèle des ECF '!$E$3:$E$236,0),MATCH('Option B_CCE Model selection'!E$2,'Prix et modèle des ECF '!$A$3:$O$3,0)),"")</f>
        <v/>
      </c>
      <c r="F12" s="117" t="str">
        <f>IFERROR(INDEX('Prix et modèle des ECF '!$A$3:$O$236,MATCH('Option B_CCE Model selection'!$B12,'Prix et modèle des ECF '!$E$3:$E$236,0),MATCH('Option B_CCE Model selection'!F$2,'Prix et modèle des ECF '!$A$3:$O$3,0)),"")</f>
        <v/>
      </c>
      <c r="G12" s="54"/>
      <c r="H12" s="106" t="str">
        <f>IFERROR(IF(OR(EXACT(A12,'Prix et modèle des ECF '!$AB$14),EXACT(A12,'Prix et modèle des ECF '!$AB$16),EXACT(A12,'Prix et modèle des ECF '!$AB$17),EXACT(A12,'Prix et modèle des ECF '!$AB$18),EXACT(A12,'Prix et modèle des ECF '!$AB$19),EXACT(A12,'Prix et modèle des ECF '!$AB$20),EXACT(A12,'Prix et modèle des ECF '!$AB$21),EXACT(A12,'Prix et modèle des ECF '!$AB$22),EXACT(A12,'Prix et modèle des ECF '!$AB$23),EXACT(A12,'Prix et modèle des ECF '!$AB$24),EXACT(A12,'Prix et modèle des ECF '!$AB$25),EXACT(A12,'Prix et modèle des ECF '!$AB$26),EXACT(A12,'Prix et modèle des ECF '!$AB$27)),"N/A",G12+F12),"")</f>
        <v/>
      </c>
      <c r="I12" s="73"/>
      <c r="J12" s="74" t="str">
        <f t="shared" si="0"/>
        <v/>
      </c>
      <c r="K12" s="57"/>
      <c r="L12" s="144" t="str">
        <f t="shared" si="1"/>
        <v>_7.</v>
      </c>
    </row>
    <row r="13" spans="1:12" s="26" customFormat="1" ht="27" customHeight="1" x14ac:dyDescent="0.25">
      <c r="A13" s="45" t="s">
        <v>27</v>
      </c>
      <c r="B13" s="42"/>
      <c r="C13" s="29" t="str">
        <f>IFERROR(INDEX('Prix et modèle des ECF '!$A$3:$O$236,MATCH('Option B_CCE Model selection'!$B13,'Prix et modèle des ECF '!$E$3:$E$236,0),MATCH('Option B_CCE Model selection'!C$2,'Prix et modèle des ECF '!$A$3:$O$3,0)),"")</f>
        <v/>
      </c>
      <c r="D13" s="32" t="str">
        <f>IFERROR(INDEX('Prix et modèle des ECF '!$A$3:$O$236,MATCH('Option B_CCE Model selection'!$B13,'Prix et modèle des ECF '!$E$3:$E$236,0),MATCH('Option B_CCE Model selection'!D$2,'Prix et modèle des ECF '!$A$3:$O$3,0)),"")</f>
        <v/>
      </c>
      <c r="E13" s="32" t="str">
        <f>IFERROR(INDEX('Prix et modèle des ECF '!$A$3:$O$236,MATCH('Option B_CCE Model selection'!$B13,'Prix et modèle des ECF '!$E$3:$E$236,0),MATCH('Option B_CCE Model selection'!E$2,'Prix et modèle des ECF '!$A$3:$O$3,0)),"")</f>
        <v/>
      </c>
      <c r="F13" s="117" t="str">
        <f>IFERROR(INDEX('Prix et modèle des ECF '!$A$3:$O$236,MATCH('Option B_CCE Model selection'!$B13,'Prix et modèle des ECF '!$E$3:$E$236,0),MATCH('Option B_CCE Model selection'!F$2,'Prix et modèle des ECF '!$A$3:$O$3,0)),"")</f>
        <v/>
      </c>
      <c r="G13" s="54"/>
      <c r="H13" s="106" t="str">
        <f>IFERROR(IF(OR(EXACT(A13,'Prix et modèle des ECF '!$AB$14),EXACT(A13,'Prix et modèle des ECF '!$AB$16),EXACT(A13,'Prix et modèle des ECF '!$AB$17),EXACT(A13,'Prix et modèle des ECF '!$AB$18),EXACT(A13,'Prix et modèle des ECF '!$AB$19),EXACT(A13,'Prix et modèle des ECF '!$AB$20),EXACT(A13,'Prix et modèle des ECF '!$AB$21),EXACT(A13,'Prix et modèle des ECF '!$AB$22),EXACT(A13,'Prix et modèle des ECF '!$AB$23),EXACT(A13,'Prix et modèle des ECF '!$AB$24),EXACT(A13,'Prix et modèle des ECF '!$AB$25),EXACT(A13,'Prix et modèle des ECF '!$AB$26),EXACT(A13,'Prix et modèle des ECF '!$AB$27)),"N/A",G13+F13),"")</f>
        <v/>
      </c>
      <c r="I13" s="73"/>
      <c r="J13" s="74" t="str">
        <f t="shared" si="0"/>
        <v/>
      </c>
      <c r="K13" s="57"/>
      <c r="L13" s="144" t="str">
        <f t="shared" si="1"/>
        <v>_8.</v>
      </c>
    </row>
    <row r="14" spans="1:12" s="26" customFormat="1" ht="27" customHeight="1" x14ac:dyDescent="0.25">
      <c r="A14" s="46" t="s">
        <v>27</v>
      </c>
      <c r="B14" s="42"/>
      <c r="C14" s="29" t="str">
        <f>IFERROR(INDEX('Prix et modèle des ECF '!$A$3:$O$236,MATCH('Option B_CCE Model selection'!$B14,'Prix et modèle des ECF '!$E$3:$E$236,0),MATCH('Option B_CCE Model selection'!C$2,'Prix et modèle des ECF '!$A$3:$O$3,0)),"")</f>
        <v/>
      </c>
      <c r="D14" s="32" t="str">
        <f>IFERROR(INDEX('Prix et modèle des ECF '!$A$3:$O$236,MATCH('Option B_CCE Model selection'!$B14,'Prix et modèle des ECF '!$E$3:$E$236,0),MATCH('Option B_CCE Model selection'!D$2,'Prix et modèle des ECF '!$A$3:$O$3,0)),"")</f>
        <v/>
      </c>
      <c r="E14" s="32" t="str">
        <f>IFERROR(INDEX('Prix et modèle des ECF '!$A$3:$O$236,MATCH('Option B_CCE Model selection'!$B14,'Prix et modèle des ECF '!$E$3:$E$236,0),MATCH('Option B_CCE Model selection'!E$2,'Prix et modèle des ECF '!$A$3:$O$3,0)),"")</f>
        <v/>
      </c>
      <c r="F14" s="117" t="str">
        <f>IFERROR(INDEX('Prix et modèle des ECF '!$A$3:$O$236,MATCH('Option B_CCE Model selection'!$B14,'Prix et modèle des ECF '!$E$3:$E$236,0),MATCH('Option B_CCE Model selection'!F$2,'Prix et modèle des ECF '!$A$3:$O$3,0)),"")</f>
        <v/>
      </c>
      <c r="G14" s="54"/>
      <c r="H14" s="106" t="str">
        <f>IFERROR(IF(OR(EXACT(A14,'Prix et modèle des ECF '!$AB$14),EXACT(A14,'Prix et modèle des ECF '!$AB$16),EXACT(A14,'Prix et modèle des ECF '!$AB$17),EXACT(A14,'Prix et modèle des ECF '!$AB$18),EXACT(A14,'Prix et modèle des ECF '!$AB$19),EXACT(A14,'Prix et modèle des ECF '!$AB$20),EXACT(A14,'Prix et modèle des ECF '!$AB$21),EXACT(A14,'Prix et modèle des ECF '!$AB$22),EXACT(A14,'Prix et modèle des ECF '!$AB$23),EXACT(A14,'Prix et modèle des ECF '!$AB$24),EXACT(A14,'Prix et modèle des ECF '!$AB$25),EXACT(A14,'Prix et modèle des ECF '!$AB$26),EXACT(A14,'Prix et modèle des ECF '!$AB$27)),"N/A",G14+F14),"")</f>
        <v/>
      </c>
      <c r="I14" s="73"/>
      <c r="J14" s="74" t="str">
        <f t="shared" si="0"/>
        <v/>
      </c>
      <c r="K14" s="57"/>
      <c r="L14" s="144" t="str">
        <f t="shared" si="1"/>
        <v>_8.</v>
      </c>
    </row>
    <row r="15" spans="1:12" s="26" customFormat="1" ht="27" customHeight="1" x14ac:dyDescent="0.25">
      <c r="A15" s="46" t="s">
        <v>28</v>
      </c>
      <c r="B15" s="42"/>
      <c r="C15" s="29" t="str">
        <f>IFERROR(INDEX('Prix et modèle des ECF '!$A$3:$O$236,MATCH('Option B_CCE Model selection'!$B15,'Prix et modèle des ECF '!$E$3:$E$236,0),MATCH('Option B_CCE Model selection'!C$2,'Prix et modèle des ECF '!$A$3:$O$3,0)),"")</f>
        <v/>
      </c>
      <c r="D15" s="32" t="str">
        <f>IFERROR(INDEX('Prix et modèle des ECF '!$A$3:$O$236,MATCH('Option B_CCE Model selection'!$B15,'Prix et modèle des ECF '!$E$3:$E$236,0),MATCH('Option B_CCE Model selection'!D$2,'Prix et modèle des ECF '!$A$3:$O$3,0)),"")</f>
        <v/>
      </c>
      <c r="E15" s="32" t="str">
        <f>IFERROR(INDEX('Prix et modèle des ECF '!$A$3:$O$236,MATCH('Option B_CCE Model selection'!$B15,'Prix et modèle des ECF '!$E$3:$E$236,0),MATCH('Option B_CCE Model selection'!E$2,'Prix et modèle des ECF '!$A$3:$O$3,0)),"")</f>
        <v/>
      </c>
      <c r="F15" s="117" t="str">
        <f>IFERROR(INDEX('Prix et modèle des ECF '!$A$3:$O$236,MATCH('Option B_CCE Model selection'!$B15,'Prix et modèle des ECF '!$E$3:$E$236,0),MATCH('Option B_CCE Model selection'!F$2,'Prix et modèle des ECF '!$A$3:$O$3,0)),"")</f>
        <v/>
      </c>
      <c r="G15" s="54"/>
      <c r="H15" s="106" t="str">
        <f>IFERROR(IF(OR(EXACT(A15,'Prix et modèle des ECF '!$AB$14),EXACT(A15,'Prix et modèle des ECF '!$AB$16),EXACT(A15,'Prix et modèle des ECF '!$AB$17),EXACT(A15,'Prix et modèle des ECF '!$AB$18),EXACT(A15,'Prix et modèle des ECF '!$AB$19),EXACT(A15,'Prix et modèle des ECF '!$AB$20),EXACT(A15,'Prix et modèle des ECF '!$AB$21),EXACT(A15,'Prix et modèle des ECF '!$AB$22),EXACT(A15,'Prix et modèle des ECF '!$AB$23),EXACT(A15,'Prix et modèle des ECF '!$AB$24),EXACT(A15,'Prix et modèle des ECF '!$AB$25),EXACT(A15,'Prix et modèle des ECF '!$AB$26),EXACT(A15,'Prix et modèle des ECF '!$AB$27)),"N/A",G15+F15),"")</f>
        <v/>
      </c>
      <c r="I15" s="73"/>
      <c r="J15" s="74" t="str">
        <f t="shared" si="0"/>
        <v/>
      </c>
      <c r="K15" s="57"/>
      <c r="L15" s="144" t="str">
        <f t="shared" si="1"/>
        <v>_9.</v>
      </c>
    </row>
    <row r="16" spans="1:12" s="26" customFormat="1" ht="27" customHeight="1" x14ac:dyDescent="0.25">
      <c r="A16" s="46" t="s">
        <v>28</v>
      </c>
      <c r="B16" s="42"/>
      <c r="C16" s="29" t="str">
        <f>IFERROR(INDEX('Prix et modèle des ECF '!$A$3:$O$236,MATCH('Option B_CCE Model selection'!$B16,'Prix et modèle des ECF '!$E$3:$E$236,0),MATCH('Option B_CCE Model selection'!C$2,'Prix et modèle des ECF '!$A$3:$O$3,0)),"")</f>
        <v/>
      </c>
      <c r="D16" s="32" t="str">
        <f>IFERROR(INDEX('Prix et modèle des ECF '!$A$3:$O$236,MATCH('Option B_CCE Model selection'!$B16,'Prix et modèle des ECF '!$E$3:$E$236,0),MATCH('Option B_CCE Model selection'!D$2,'Prix et modèle des ECF '!$A$3:$O$3,0)),"")</f>
        <v/>
      </c>
      <c r="E16" s="32" t="str">
        <f>IFERROR(INDEX('Prix et modèle des ECF '!$A$3:$O$236,MATCH('Option B_CCE Model selection'!$B16,'Prix et modèle des ECF '!$E$3:$E$236,0),MATCH('Option B_CCE Model selection'!E$2,'Prix et modèle des ECF '!$A$3:$O$3,0)),"")</f>
        <v/>
      </c>
      <c r="F16" s="117" t="str">
        <f>IFERROR(INDEX('Prix et modèle des ECF '!$A$3:$O$236,MATCH('Option B_CCE Model selection'!$B16,'Prix et modèle des ECF '!$E$3:$E$236,0),MATCH('Option B_CCE Model selection'!F$2,'Prix et modèle des ECF '!$A$3:$O$3,0)),"")</f>
        <v/>
      </c>
      <c r="G16" s="54"/>
      <c r="H16" s="106" t="str">
        <f>IFERROR(IF(OR(EXACT(A16,'Prix et modèle des ECF '!$AB$14),EXACT(A16,'Prix et modèle des ECF '!$AB$16),EXACT(A16,'Prix et modèle des ECF '!$AB$17),EXACT(A16,'Prix et modèle des ECF '!$AB$18),EXACT(A16,'Prix et modèle des ECF '!$AB$19),EXACT(A16,'Prix et modèle des ECF '!$AB$20),EXACT(A16,'Prix et modèle des ECF '!$AB$21),EXACT(A16,'Prix et modèle des ECF '!$AB$22),EXACT(A16,'Prix et modèle des ECF '!$AB$23),EXACT(A16,'Prix et modèle des ECF '!$AB$24),EXACT(A16,'Prix et modèle des ECF '!$AB$25),EXACT(A16,'Prix et modèle des ECF '!$AB$26),EXACT(A16,'Prix et modèle des ECF '!$AB$27)),"N/A",G16+F16),"")</f>
        <v/>
      </c>
      <c r="I16" s="73"/>
      <c r="J16" s="74" t="str">
        <f t="shared" si="0"/>
        <v/>
      </c>
      <c r="K16" s="57"/>
      <c r="L16" s="144" t="str">
        <f t="shared" si="1"/>
        <v>_9.</v>
      </c>
    </row>
    <row r="17" spans="1:12" s="26" customFormat="1" ht="27" customHeight="1" x14ac:dyDescent="0.25">
      <c r="A17" s="46" t="s">
        <v>28</v>
      </c>
      <c r="B17" s="42"/>
      <c r="C17" s="29" t="str">
        <f>IFERROR(INDEX('Prix et modèle des ECF '!$A$3:$O$236,MATCH('Option B_CCE Model selection'!$B17,'Prix et modèle des ECF '!$E$3:$E$236,0),MATCH('Option B_CCE Model selection'!C$2,'Prix et modèle des ECF '!$A$3:$O$3,0)),"")</f>
        <v/>
      </c>
      <c r="D17" s="32" t="str">
        <f>IFERROR(INDEX('Prix et modèle des ECF '!$A$3:$O$236,MATCH('Option B_CCE Model selection'!$B17,'Prix et modèle des ECF '!$E$3:$E$236,0),MATCH('Option B_CCE Model selection'!D$2,'Prix et modèle des ECF '!$A$3:$O$3,0)),"")</f>
        <v/>
      </c>
      <c r="E17" s="32" t="str">
        <f>IFERROR(INDEX('Prix et modèle des ECF '!$A$3:$O$236,MATCH('Option B_CCE Model selection'!$B17,'Prix et modèle des ECF '!$E$3:$E$236,0),MATCH('Option B_CCE Model selection'!E$2,'Prix et modèle des ECF '!$A$3:$O$3,0)),"")</f>
        <v/>
      </c>
      <c r="F17" s="117" t="str">
        <f>IFERROR(INDEX('Prix et modèle des ECF '!$A$3:$O$236,MATCH('Option B_CCE Model selection'!$B17,'Prix et modèle des ECF '!$E$3:$E$236,0),MATCH('Option B_CCE Model selection'!F$2,'Prix et modèle des ECF '!$A$3:$O$3,0)),"")</f>
        <v/>
      </c>
      <c r="G17" s="54"/>
      <c r="H17" s="106" t="str">
        <f>IFERROR(IF(OR(EXACT(A17,'Prix et modèle des ECF '!$AB$14),EXACT(A17,'Prix et modèle des ECF '!$AB$16),EXACT(A17,'Prix et modèle des ECF '!$AB$17),EXACT(A17,'Prix et modèle des ECF '!$AB$18),EXACT(A17,'Prix et modèle des ECF '!$AB$19),EXACT(A17,'Prix et modèle des ECF '!$AB$20),EXACT(A17,'Prix et modèle des ECF '!$AB$21),EXACT(A17,'Prix et modèle des ECF '!$AB$22),EXACT(A17,'Prix et modèle des ECF '!$AB$23),EXACT(A17,'Prix et modèle des ECF '!$AB$24),EXACT(A17,'Prix et modèle des ECF '!$AB$25),EXACT(A17,'Prix et modèle des ECF '!$AB$26),EXACT(A17,'Prix et modèle des ECF '!$AB$27)),"N/A",G17+F17),"")</f>
        <v/>
      </c>
      <c r="I17" s="73"/>
      <c r="J17" s="74" t="str">
        <f t="shared" si="0"/>
        <v/>
      </c>
      <c r="K17" s="57"/>
      <c r="L17" s="144" t="str">
        <f t="shared" si="1"/>
        <v>_9.</v>
      </c>
    </row>
    <row r="18" spans="1:12" s="26" customFormat="1" ht="27" customHeight="1" x14ac:dyDescent="0.25">
      <c r="A18" s="47" t="s">
        <v>29</v>
      </c>
      <c r="B18" s="42"/>
      <c r="C18" s="29" t="str">
        <f>IFERROR(INDEX('Prix et modèle des ECF '!$A$3:$O$236,MATCH('Option B_CCE Model selection'!$B18,'Prix et modèle des ECF '!$E$3:$E$236,0),MATCH('Option B_CCE Model selection'!C$2,'Prix et modèle des ECF '!$A$3:$O$3,0)),"")</f>
        <v/>
      </c>
      <c r="D18" s="32" t="str">
        <f>IFERROR(INDEX('Prix et modèle des ECF '!$A$3:$O$236,MATCH('Option B_CCE Model selection'!$B18,'Prix et modèle des ECF '!$E$3:$E$236,0),MATCH('Option B_CCE Model selection'!D$2,'Prix et modèle des ECF '!$A$3:$O$3,0)),"")</f>
        <v/>
      </c>
      <c r="E18" s="32" t="str">
        <f>IFERROR(INDEX('Prix et modèle des ECF '!$A$3:$O$236,MATCH('Option B_CCE Model selection'!$B18,'Prix et modèle des ECF '!$E$3:$E$236,0),MATCH('Option B_CCE Model selection'!E$2,'Prix et modèle des ECF '!$A$3:$O$3,0)),"")</f>
        <v/>
      </c>
      <c r="F18" s="117" t="str">
        <f>IFERROR(INDEX('Prix et modèle des ECF '!$A$3:$O$236,MATCH('Option B_CCE Model selection'!$B18,'Prix et modèle des ECF '!$E$3:$E$236,0),MATCH('Option B_CCE Model selection'!F$2,'Prix et modèle des ECF '!$A$3:$O$3,0)),"")</f>
        <v/>
      </c>
      <c r="G18" s="54"/>
      <c r="H18" s="106" t="str">
        <f>IFERROR(IF(OR(EXACT(A18,'Prix et modèle des ECF '!$AB$14),EXACT(A18,'Prix et modèle des ECF '!$AB$16),EXACT(A18,'Prix et modèle des ECF '!$AB$17),EXACT(A18,'Prix et modèle des ECF '!$AB$18),EXACT(A18,'Prix et modèle des ECF '!$AB$19),EXACT(A18,'Prix et modèle des ECF '!$AB$20),EXACT(A18,'Prix et modèle des ECF '!$AB$21),EXACT(A18,'Prix et modèle des ECF '!$AB$22),EXACT(A18,'Prix et modèle des ECF '!$AB$23),EXACT(A18,'Prix et modèle des ECF '!$AB$24),EXACT(A18,'Prix et modèle des ECF '!$AB$25),EXACT(A18,'Prix et modèle des ECF '!$AB$26),EXACT(A18,'Prix et modèle des ECF '!$AB$27)),"N/A",G18+F18),"")</f>
        <v/>
      </c>
      <c r="I18" s="73"/>
      <c r="J18" s="74" t="str">
        <f t="shared" si="0"/>
        <v/>
      </c>
      <c r="K18" s="57"/>
      <c r="L18" s="144" t="str">
        <f t="shared" si="1"/>
        <v>_10</v>
      </c>
    </row>
    <row r="19" spans="1:12" s="26" customFormat="1" ht="27" customHeight="1" x14ac:dyDescent="0.25">
      <c r="A19" s="47" t="s">
        <v>29</v>
      </c>
      <c r="B19" s="42"/>
      <c r="C19" s="29" t="str">
        <f>IFERROR(INDEX('Prix et modèle des ECF '!$A$3:$O$236,MATCH('Option B_CCE Model selection'!$B19,'Prix et modèle des ECF '!$E$3:$E$236,0),MATCH('Option B_CCE Model selection'!C$2,'Prix et modèle des ECF '!$A$3:$O$3,0)),"")</f>
        <v/>
      </c>
      <c r="D19" s="32" t="str">
        <f>IFERROR(INDEX('Prix et modèle des ECF '!$A$3:$O$236,MATCH('Option B_CCE Model selection'!$B19,'Prix et modèle des ECF '!$E$3:$E$236,0),MATCH('Option B_CCE Model selection'!D$2,'Prix et modèle des ECF '!$A$3:$O$3,0)),"")</f>
        <v/>
      </c>
      <c r="E19" s="32" t="str">
        <f>IFERROR(INDEX('Prix et modèle des ECF '!$A$3:$O$236,MATCH('Option B_CCE Model selection'!$B19,'Prix et modèle des ECF '!$E$3:$E$236,0),MATCH('Option B_CCE Model selection'!E$2,'Prix et modèle des ECF '!$A$3:$O$3,0)),"")</f>
        <v/>
      </c>
      <c r="F19" s="117" t="str">
        <f>IFERROR(INDEX('Prix et modèle des ECF '!$A$3:$O$236,MATCH('Option B_CCE Model selection'!$B19,'Prix et modèle des ECF '!$E$3:$E$236,0),MATCH('Option B_CCE Model selection'!F$2,'Prix et modèle des ECF '!$A$3:$O$3,0)),"")</f>
        <v/>
      </c>
      <c r="G19" s="54"/>
      <c r="H19" s="106" t="str">
        <f>IFERROR(IF(OR(EXACT(A19,'Prix et modèle des ECF '!$AB$14),EXACT(A19,'Prix et modèle des ECF '!$AB$16),EXACT(A19,'Prix et modèle des ECF '!$AB$17),EXACT(A19,'Prix et modèle des ECF '!$AB$18),EXACT(A19,'Prix et modèle des ECF '!$AB$19),EXACT(A19,'Prix et modèle des ECF '!$AB$20),EXACT(A19,'Prix et modèle des ECF '!$AB$21),EXACT(A19,'Prix et modèle des ECF '!$AB$22),EXACT(A19,'Prix et modèle des ECF '!$AB$23),EXACT(A19,'Prix et modèle des ECF '!$AB$24),EXACT(A19,'Prix et modèle des ECF '!$AB$25),EXACT(A19,'Prix et modèle des ECF '!$AB$26),EXACT(A19,'Prix et modèle des ECF '!$AB$27)),"N/A",G19+F19),"")</f>
        <v/>
      </c>
      <c r="I19" s="73"/>
      <c r="J19" s="74" t="str">
        <f t="shared" si="0"/>
        <v/>
      </c>
      <c r="K19" s="57"/>
      <c r="L19" s="144" t="str">
        <f t="shared" si="1"/>
        <v>_10</v>
      </c>
    </row>
    <row r="20" spans="1:12" s="26" customFormat="1" ht="27" customHeight="1" x14ac:dyDescent="0.25">
      <c r="A20" s="48" t="s">
        <v>30</v>
      </c>
      <c r="B20" s="42"/>
      <c r="C20" s="29" t="str">
        <f>IFERROR(INDEX('Prix et modèle des ECF '!$A$3:$O$236,MATCH('Option B_CCE Model selection'!$B20,'Prix et modèle des ECF '!$E$3:$E$236,0),MATCH('Option B_CCE Model selection'!C$2,'Prix et modèle des ECF '!$A$3:$O$3,0)),"")</f>
        <v/>
      </c>
      <c r="D20" s="32" t="str">
        <f>IFERROR(INDEX('Prix et modèle des ECF '!$A$3:$O$236,MATCH('Option B_CCE Model selection'!$B20,'Prix et modèle des ECF '!$E$3:$E$236,0),MATCH('Option B_CCE Model selection'!D$2,'Prix et modèle des ECF '!$A$3:$O$3,0)),"")</f>
        <v/>
      </c>
      <c r="E20" s="32" t="str">
        <f>IFERROR(INDEX('Prix et modèle des ECF '!$A$3:$O$236,MATCH('Option B_CCE Model selection'!$B20,'Prix et modèle des ECF '!$E$3:$E$236,0),MATCH('Option B_CCE Model selection'!E$2,'Prix et modèle des ECF '!$A$3:$O$3,0)),"")</f>
        <v/>
      </c>
      <c r="F20" s="117" t="str">
        <f>IFERROR(INDEX('Prix et modèle des ECF '!$A$3:$O$236,MATCH('Option B_CCE Model selection'!$B20,'Prix et modèle des ECF '!$E$3:$E$236,0),MATCH('Option B_CCE Model selection'!F$2,'Prix et modèle des ECF '!$A$3:$O$3,0)),"")</f>
        <v/>
      </c>
      <c r="G20" s="157"/>
      <c r="H20" s="106" t="str">
        <f>IFERROR(IF(OR(EXACT(A20,'Prix et modèle des ECF '!$AB$14),EXACT(A20,'Prix et modèle des ECF '!$AB$16),EXACT(A20,'Prix et modèle des ECF '!$AB$17),EXACT(A20,'Prix et modèle des ECF '!$AB$18),EXACT(A20,'Prix et modèle des ECF '!$AB$19),EXACT(A20,'Prix et modèle des ECF '!$AB$20),EXACT(A20,'Prix et modèle des ECF '!$AB$21),EXACT(A20,'Prix et modèle des ECF '!$AB$22),EXACT(A20,'Prix et modèle des ECF '!$AB$23),EXACT(A20,'Prix et modèle des ECF '!$AB$24),EXACT(A20,'Prix et modèle des ECF '!$AB$25),EXACT(A20,'Prix et modèle des ECF '!$AB$26),EXACT(A20,'Prix et modèle des ECF '!$AB$27)),"N/A",G20+F20),"")</f>
        <v>N/A</v>
      </c>
      <c r="I20" s="73"/>
      <c r="J20" s="74" t="str">
        <f t="shared" si="0"/>
        <v/>
      </c>
      <c r="K20" s="57"/>
      <c r="L20" s="144" t="str">
        <f t="shared" si="1"/>
        <v>_11</v>
      </c>
    </row>
    <row r="21" spans="1:12" s="26" customFormat="1" ht="27" customHeight="1" x14ac:dyDescent="0.25">
      <c r="A21" s="49" t="s">
        <v>31</v>
      </c>
      <c r="B21" s="42"/>
      <c r="C21" s="29" t="str">
        <f>IFERROR(INDEX('Prix et modèle des ECF '!$A$3:$O$236,MATCH('Option B_CCE Model selection'!$B21,'Prix et modèle des ECF '!$E$3:$E$236,0),MATCH('Option B_CCE Model selection'!C$2,'Prix et modèle des ECF '!$A$3:$O$3,0)),"")</f>
        <v/>
      </c>
      <c r="D21" s="32" t="str">
        <f>IFERROR(INDEX('Prix et modèle des ECF '!$A$3:$O$236,MATCH('Option B_CCE Model selection'!$B21,'Prix et modèle des ECF '!$E$3:$E$236,0),MATCH('Option B_CCE Model selection'!D$2,'Prix et modèle des ECF '!$A$3:$O$3,0)),"")</f>
        <v/>
      </c>
      <c r="E21" s="32" t="str">
        <f>IFERROR(INDEX('Prix et modèle des ECF '!$A$3:$O$236,MATCH('Option B_CCE Model selection'!$B21,'Prix et modèle des ECF '!$E$3:$E$236,0),MATCH('Option B_CCE Model selection'!E$2,'Prix et modèle des ECF '!$A$3:$O$3,0)),"")</f>
        <v/>
      </c>
      <c r="F21" s="117" t="str">
        <f>IFERROR(INDEX('Prix et modèle des ECF '!$A$3:$O$236,MATCH('Option B_CCE Model selection'!$B21,'Prix et modèle des ECF '!$E$3:$E$236,0),MATCH('Option B_CCE Model selection'!F$2,'Prix et modèle des ECF '!$A$3:$O$3,0)),"")</f>
        <v/>
      </c>
      <c r="G21" s="54"/>
      <c r="H21" s="106" t="str">
        <f>IFERROR(IF(OR(EXACT(A21,'Prix et modèle des ECF '!$AB$14),EXACT(A21,'Prix et modèle des ECF '!$AB$16),EXACT(A21,'Prix et modèle des ECF '!$AB$17),EXACT(A21,'Prix et modèle des ECF '!$AB$18),EXACT(A21,'Prix et modèle des ECF '!$AB$19),EXACT(A21,'Prix et modèle des ECF '!$AB$20),EXACT(A21,'Prix et modèle des ECF '!$AB$21),EXACT(A21,'Prix et modèle des ECF '!$AB$22),EXACT(A21,'Prix et modèle des ECF '!$AB$23),EXACT(A21,'Prix et modèle des ECF '!$AB$24),EXACT(A21,'Prix et modèle des ECF '!$AB$25),EXACT(A21,'Prix et modèle des ECF '!$AB$26),EXACT(A21,'Prix et modèle des ECF '!$AB$27)),"N/A",G21+F21),"")</f>
        <v/>
      </c>
      <c r="I21" s="73"/>
      <c r="J21" s="74" t="str">
        <f t="shared" si="0"/>
        <v/>
      </c>
      <c r="K21" s="57"/>
      <c r="L21" s="144" t="str">
        <f t="shared" si="1"/>
        <v>_12</v>
      </c>
    </row>
    <row r="22" spans="1:12" s="26" customFormat="1" ht="27" customHeight="1" x14ac:dyDescent="0.25">
      <c r="A22" s="49" t="s">
        <v>31</v>
      </c>
      <c r="B22" s="42"/>
      <c r="C22" s="29" t="str">
        <f>IFERROR(INDEX('Prix et modèle des ECF '!$A$3:$O$236,MATCH('Option B_CCE Model selection'!$B22,'Prix et modèle des ECF '!$E$3:$E$236,0),MATCH('Option B_CCE Model selection'!C$2,'Prix et modèle des ECF '!$A$3:$O$3,0)),"")</f>
        <v/>
      </c>
      <c r="D22" s="32" t="str">
        <f>IFERROR(INDEX('Prix et modèle des ECF '!$A$3:$O$236,MATCH('Option B_CCE Model selection'!$B22,'Prix et modèle des ECF '!$E$3:$E$236,0),MATCH('Option B_CCE Model selection'!D$2,'Prix et modèle des ECF '!$A$3:$O$3,0)),"")</f>
        <v/>
      </c>
      <c r="E22" s="32" t="str">
        <f>IFERROR(INDEX('Prix et modèle des ECF '!$A$3:$O$236,MATCH('Option B_CCE Model selection'!$B22,'Prix et modèle des ECF '!$E$3:$E$236,0),MATCH('Option B_CCE Model selection'!E$2,'Prix et modèle des ECF '!$A$3:$O$3,0)),"")</f>
        <v/>
      </c>
      <c r="F22" s="117" t="str">
        <f>IFERROR(INDEX('Prix et modèle des ECF '!$A$3:$O$236,MATCH('Option B_CCE Model selection'!$B22,'Prix et modèle des ECF '!$E$3:$E$236,0),MATCH('Option B_CCE Model selection'!F$2,'Prix et modèle des ECF '!$A$3:$O$3,0)),"")</f>
        <v/>
      </c>
      <c r="G22" s="54"/>
      <c r="H22" s="106" t="str">
        <f>IFERROR(IF(OR(EXACT(A22,'Prix et modèle des ECF '!$AB$14),EXACT(A22,'Prix et modèle des ECF '!$AB$16),EXACT(A22,'Prix et modèle des ECF '!$AB$17),EXACT(A22,'Prix et modèle des ECF '!$AB$18),EXACT(A22,'Prix et modèle des ECF '!$AB$19),EXACT(A22,'Prix et modèle des ECF '!$AB$20),EXACT(A22,'Prix et modèle des ECF '!$AB$21),EXACT(A22,'Prix et modèle des ECF '!$AB$22),EXACT(A22,'Prix et modèle des ECF '!$AB$23),EXACT(A22,'Prix et modèle des ECF '!$AB$24),EXACT(A22,'Prix et modèle des ECF '!$AB$25),EXACT(A22,'Prix et modèle des ECF '!$AB$26),EXACT(A22,'Prix et modèle des ECF '!$AB$27)),"N/A",G22+F22),"")</f>
        <v/>
      </c>
      <c r="I22" s="73"/>
      <c r="J22" s="74" t="str">
        <f t="shared" si="0"/>
        <v/>
      </c>
      <c r="K22" s="57"/>
      <c r="L22" s="144" t="str">
        <f t="shared" si="1"/>
        <v>_12</v>
      </c>
    </row>
    <row r="23" spans="1:12" s="26" customFormat="1" ht="27" customHeight="1" x14ac:dyDescent="0.25">
      <c r="A23" s="49" t="s">
        <v>32</v>
      </c>
      <c r="B23" s="42"/>
      <c r="C23" s="29" t="str">
        <f>IFERROR(INDEX('Prix et modèle des ECF '!$A$3:$O$236,MATCH('Option B_CCE Model selection'!$B23,'Prix et modèle des ECF '!$E$3:$E$236,0),MATCH('Option B_CCE Model selection'!C$2,'Prix et modèle des ECF '!$A$3:$O$3,0)),"")</f>
        <v/>
      </c>
      <c r="D23" s="143" t="str">
        <f>IFERROR(INDEX('Prix et modèle des ECF '!$A$3:$O$236,MATCH('Option B_CCE Model selection'!$B23,'Prix et modèle des ECF '!$E$3:$E$236,0),MATCH('Option B_CCE Model selection'!D$2,'Prix et modèle des ECF '!$A$3:$O$3,0)),"")</f>
        <v/>
      </c>
      <c r="E23" s="32" t="str">
        <f>IFERROR(INDEX('Prix et modèle des ECF '!$A$3:$O$236,MATCH('Option B_CCE Model selection'!$B23,'Prix et modèle des ECF '!$E$3:$E$236,0),MATCH('Option B_CCE Model selection'!E$2,'Prix et modèle des ECF '!$A$3:$O$3,0)),"")</f>
        <v/>
      </c>
      <c r="F23" s="117" t="str">
        <f>IFERROR(INDEX('Prix et modèle des ECF '!$A$3:$O$236,MATCH('Option B_CCE Model selection'!$B23,'Prix et modèle des ECF '!$E$3:$E$236,0),MATCH('Option B_CCE Model selection'!F$2,'Prix et modèle des ECF '!$A$3:$O$3,0)),"")</f>
        <v/>
      </c>
      <c r="G23" s="157"/>
      <c r="H23" s="106" t="str">
        <f>IFERROR(IF(OR(EXACT(A23,'Prix et modèle des ECF '!$AB$14),EXACT(A23,'Prix et modèle des ECF '!$AB$16),EXACT(A23,'Prix et modèle des ECF '!$AB$17),EXACT(A23,'Prix et modèle des ECF '!$AB$18),EXACT(A23,'Prix et modèle des ECF '!$AB$19),EXACT(A23,'Prix et modèle des ECF '!$AB$20),EXACT(A23,'Prix et modèle des ECF '!$AB$21),EXACT(A23,'Prix et modèle des ECF '!$AB$22),EXACT(A23,'Prix et modèle des ECF '!$AB$23),EXACT(A23,'Prix et modèle des ECF '!$AB$24),EXACT(A23,'Prix et modèle des ECF '!$AB$25),EXACT(A23,'Prix et modèle des ECF '!$AB$26),EXACT(A23,'Prix et modèle des ECF '!$AB$27)),"N/A",G23+F23),"")</f>
        <v>N/A</v>
      </c>
      <c r="I23" s="73"/>
      <c r="J23" s="74" t="str">
        <f t="shared" si="0"/>
        <v/>
      </c>
      <c r="K23" s="57"/>
      <c r="L23" s="144" t="str">
        <f t="shared" si="1"/>
        <v>_13</v>
      </c>
    </row>
    <row r="24" spans="1:12" s="26" customFormat="1" ht="27" customHeight="1" x14ac:dyDescent="0.25">
      <c r="A24" s="49" t="s">
        <v>33</v>
      </c>
      <c r="B24" s="42"/>
      <c r="C24" s="29" t="str">
        <f>IFERROR(INDEX('Prix et modèle des ECF '!$A$3:$O$236,MATCH('Option B_CCE Model selection'!$B24,'Prix et modèle des ECF '!$E$3:$E$236,0),MATCH('Option B_CCE Model selection'!C$2,'Prix et modèle des ECF '!$A$3:$O$3,0)),"")</f>
        <v/>
      </c>
      <c r="D24" s="143" t="str">
        <f>IFERROR(INDEX('Prix et modèle des ECF '!$A$3:$O$236,MATCH('Option B_CCE Model selection'!$B24,'Prix et modèle des ECF '!$E$3:$E$236,0),MATCH('Option B_CCE Model selection'!D$2,'Prix et modèle des ECF '!$A$3:$O$3,0)),"")</f>
        <v/>
      </c>
      <c r="E24" s="32" t="str">
        <f>IFERROR(INDEX('Prix et modèle des ECF '!$A$3:$O$236,MATCH('Option B_CCE Model selection'!$B24,'Prix et modèle des ECF '!$E$3:$E$236,0),MATCH('Option B_CCE Model selection'!E$2,'Prix et modèle des ECF '!$A$3:$O$3,0)),"")</f>
        <v/>
      </c>
      <c r="F24" s="117" t="str">
        <f>IFERROR(INDEX('Prix et modèle des ECF '!$A$3:$O$236,MATCH('Option B_CCE Model selection'!$B24,'Prix et modèle des ECF '!$E$3:$E$236,0),MATCH('Option B_CCE Model selection'!F$2,'Prix et modèle des ECF '!$A$3:$O$3,0)),"")</f>
        <v/>
      </c>
      <c r="G24" s="157"/>
      <c r="H24" s="106" t="str">
        <f>IFERROR(IF(OR(EXACT(A24,'Prix et modèle des ECF '!$AB$14),EXACT(A24,'Prix et modèle des ECF '!$AB$16),EXACT(A24,'Prix et modèle des ECF '!$AB$17),EXACT(A24,'Prix et modèle des ECF '!$AB$18),EXACT(A24,'Prix et modèle des ECF '!$AB$19),EXACT(A24,'Prix et modèle des ECF '!$AB$20),EXACT(A24,'Prix et modèle des ECF '!$AB$21),EXACT(A24,'Prix et modèle des ECF '!$AB$22),EXACT(A24,'Prix et modèle des ECF '!$AB$23),EXACT(A24,'Prix et modèle des ECF '!$AB$24),EXACT(A24,'Prix et modèle des ECF '!$AB$25),EXACT(A24,'Prix et modèle des ECF '!$AB$26),EXACT(A24,'Prix et modèle des ECF '!$AB$27)),"N/A",G24+F24),"")</f>
        <v>N/A</v>
      </c>
      <c r="I24" s="73"/>
      <c r="J24" s="74" t="str">
        <f t="shared" si="0"/>
        <v/>
      </c>
      <c r="K24" s="57"/>
      <c r="L24" s="144" t="str">
        <f t="shared" si="1"/>
        <v>_14</v>
      </c>
    </row>
    <row r="25" spans="1:12" s="26" customFormat="1" ht="27" customHeight="1" x14ac:dyDescent="0.25">
      <c r="A25" s="50" t="s">
        <v>34</v>
      </c>
      <c r="B25" s="42"/>
      <c r="C25" s="29" t="str">
        <f>IFERROR(INDEX('Prix et modèle des ECF '!$A$3:$O$236,MATCH('Option B_CCE Model selection'!$B25,'Prix et modèle des ECF '!$E$3:$E$236,0),MATCH('Option B_CCE Model selection'!C$2,'Prix et modèle des ECF '!$A$3:$O$3,0)),"")</f>
        <v/>
      </c>
      <c r="D25" s="143" t="str">
        <f>IFERROR(INDEX('Prix et modèle des ECF '!$A$3:$O$236,MATCH('Option B_CCE Model selection'!$B25,'Prix et modèle des ECF '!$E$3:$E$236,0),MATCH('Option B_CCE Model selection'!D$2,'Prix et modèle des ECF '!$A$3:$O$3,0)),"")</f>
        <v/>
      </c>
      <c r="E25" s="32" t="str">
        <f>IFERROR(INDEX('Prix et modèle des ECF '!$A$3:$O$236,MATCH('Option B_CCE Model selection'!$B25,'Prix et modèle des ECF '!$E$3:$E$236,0),MATCH('Option B_CCE Model selection'!E$2,'Prix et modèle des ECF '!$A$3:$O$3,0)),"")</f>
        <v/>
      </c>
      <c r="F25" s="117" t="str">
        <f>IFERROR(INDEX('Prix et modèle des ECF '!$A$3:$O$236,MATCH('Option B_CCE Model selection'!$B25,'Prix et modèle des ECF '!$E$3:$E$236,0),MATCH('Option B_CCE Model selection'!F$2,'Prix et modèle des ECF '!$A$3:$O$3,0)),"")</f>
        <v/>
      </c>
      <c r="G25" s="157"/>
      <c r="H25" s="106" t="str">
        <f>IFERROR(IF(OR(EXACT(A25,'Prix et modèle des ECF '!$AB$14),EXACT(A25,'Prix et modèle des ECF '!$AB$16),EXACT(A25,'Prix et modèle des ECF '!$AB$17),EXACT(A25,'Prix et modèle des ECF '!$AB$18),EXACT(A25,'Prix et modèle des ECF '!$AB$19),EXACT(A25,'Prix et modèle des ECF '!$AB$20),EXACT(A25,'Prix et modèle des ECF '!$AB$21),EXACT(A25,'Prix et modèle des ECF '!$AB$22),EXACT(A25,'Prix et modèle des ECF '!$AB$23),EXACT(A25,'Prix et modèle des ECF '!$AB$24),EXACT(A25,'Prix et modèle des ECF '!$AB$25),EXACT(A25,'Prix et modèle des ECF '!$AB$26),EXACT(A25,'Prix et modèle des ECF '!$AB$27)),"N/A",G25+F25),"")</f>
        <v>N/A</v>
      </c>
      <c r="I25" s="73"/>
      <c r="J25" s="74" t="str">
        <f t="shared" si="0"/>
        <v/>
      </c>
      <c r="K25" s="57"/>
      <c r="L25" s="144" t="str">
        <f t="shared" si="1"/>
        <v>_15</v>
      </c>
    </row>
    <row r="26" spans="1:12" s="26" customFormat="1" ht="27" customHeight="1" x14ac:dyDescent="0.25">
      <c r="A26" s="50" t="s">
        <v>35</v>
      </c>
      <c r="B26" s="42"/>
      <c r="C26" s="29" t="str">
        <f>IFERROR(INDEX('Prix et modèle des ECF '!$A$3:$O$236,MATCH('Option B_CCE Model selection'!$B26,'Prix et modèle des ECF '!$E$3:$E$236,0),MATCH('Option B_CCE Model selection'!C$2,'Prix et modèle des ECF '!$A$3:$O$3,0)),"")</f>
        <v/>
      </c>
      <c r="D26" s="143" t="str">
        <f>IFERROR(INDEX('Prix et modèle des ECF '!$A$3:$O$236,MATCH('Option B_CCE Model selection'!$B26,'Prix et modèle des ECF '!$E$3:$E$236,0),MATCH('Option B_CCE Model selection'!D$2,'Prix et modèle des ECF '!$A$3:$O$3,0)),"")</f>
        <v/>
      </c>
      <c r="E26" s="32" t="str">
        <f>IFERROR(INDEX('Prix et modèle des ECF '!$A$3:$O$236,MATCH('Option B_CCE Model selection'!$B26,'Prix et modèle des ECF '!$E$3:$E$236,0),MATCH('Option B_CCE Model selection'!E$2,'Prix et modèle des ECF '!$A$3:$O$3,0)),"")</f>
        <v/>
      </c>
      <c r="F26" s="117" t="str">
        <f>IFERROR(INDEX('Prix et modèle des ECF '!$A$3:$O$236,MATCH('Option B_CCE Model selection'!$B26,'Prix et modèle des ECF '!$E$3:$E$236,0),MATCH('Option B_CCE Model selection'!F$2,'Prix et modèle des ECF '!$A$3:$O$3,0)),"")</f>
        <v/>
      </c>
      <c r="G26" s="157"/>
      <c r="H26" s="106" t="str">
        <f>IFERROR(IF(OR(EXACT(A26,'Prix et modèle des ECF '!$AB$14),EXACT(A26,'Prix et modèle des ECF '!$AB$16),EXACT(A26,'Prix et modèle des ECF '!$AB$17),EXACT(A26,'Prix et modèle des ECF '!$AB$18),EXACT(A26,'Prix et modèle des ECF '!$AB$19),EXACT(A26,'Prix et modèle des ECF '!$AB$20),EXACT(A26,'Prix et modèle des ECF '!$AB$21),EXACT(A26,'Prix et modèle des ECF '!$AB$22),EXACT(A26,'Prix et modèle des ECF '!$AB$23),EXACT(A26,'Prix et modèle des ECF '!$AB$24),EXACT(A26,'Prix et modèle des ECF '!$AB$25),EXACT(A26,'Prix et modèle des ECF '!$AB$26),EXACT(A26,'Prix et modèle des ECF '!$AB$27)),"N/A",G26+F26),"")</f>
        <v>N/A</v>
      </c>
      <c r="I26" s="73"/>
      <c r="J26" s="74" t="str">
        <f t="shared" si="0"/>
        <v/>
      </c>
      <c r="K26" s="57"/>
      <c r="L26" s="144" t="str">
        <f t="shared" si="1"/>
        <v>_16</v>
      </c>
    </row>
    <row r="27" spans="1:12" s="26" customFormat="1" ht="27" customHeight="1" x14ac:dyDescent="0.25">
      <c r="A27" s="51" t="s">
        <v>36</v>
      </c>
      <c r="B27" s="42"/>
      <c r="C27" s="29" t="str">
        <f>IFERROR(INDEX('Prix et modèle des ECF '!$A$3:$O$236,MATCH('Option B_CCE Model selection'!$B27,'Prix et modèle des ECF '!$E$3:$E$236,0),MATCH('Option B_CCE Model selection'!C$2,'Prix et modèle des ECF '!$A$3:$O$3,0)),"")</f>
        <v/>
      </c>
      <c r="D27" s="32" t="str">
        <f>IFERROR(INDEX('Prix et modèle des ECF '!$A$3:$O$236,MATCH('Option B_CCE Model selection'!$B27,'Prix et modèle des ECF '!$E$3:$E$236,0),MATCH('Option B_CCE Model selection'!D$2,'Prix et modèle des ECF '!$A$3:$O$3,0)),"")</f>
        <v/>
      </c>
      <c r="E27" s="32" t="str">
        <f>IFERROR(INDEX('Prix et modèle des ECF '!$A$3:$O$236,MATCH('Option B_CCE Model selection'!$B27,'Prix et modèle des ECF '!$E$3:$E$236,0),MATCH('Option B_CCE Model selection'!E$2,'Prix et modèle des ECF '!$A$3:$O$3,0)),"")</f>
        <v/>
      </c>
      <c r="F27" s="117" t="str">
        <f>IFERROR(INDEX('Prix et modèle des ECF '!$A$3:$O$236,MATCH('Option B_CCE Model selection'!$B27,'Prix et modèle des ECF '!$E$3:$E$236,0),MATCH('Option B_CCE Model selection'!F$2,'Prix et modèle des ECF '!$A$3:$O$3,0)),"")</f>
        <v/>
      </c>
      <c r="G27" s="157"/>
      <c r="H27" s="106" t="str">
        <f>IFERROR(IF(OR(EXACT(A27,'Prix et modèle des ECF '!$AB$14),EXACT(A27,'Prix et modèle des ECF '!$AB$16),EXACT(A27,'Prix et modèle des ECF '!$AB$17),EXACT(A27,'Prix et modèle des ECF '!$AB$18),EXACT(A27,'Prix et modèle des ECF '!$AB$19),EXACT(A27,'Prix et modèle des ECF '!$AB$20),EXACT(A27,'Prix et modèle des ECF '!$AB$21),EXACT(A27,'Prix et modèle des ECF '!$AB$22),EXACT(A27,'Prix et modèle des ECF '!$AB$23),EXACT(A27,'Prix et modèle des ECF '!$AB$24),EXACT(A27,'Prix et modèle des ECF '!$AB$25),EXACT(A27,'Prix et modèle des ECF '!$AB$26),EXACT(A27,'Prix et modèle des ECF '!$AB$27)),"N/A",G27+F27),"")</f>
        <v>N/A</v>
      </c>
      <c r="I27" s="73"/>
      <c r="J27" s="74" t="str">
        <f t="shared" si="0"/>
        <v/>
      </c>
      <c r="K27" s="57"/>
      <c r="L27" s="144" t="str">
        <f t="shared" si="1"/>
        <v>_17</v>
      </c>
    </row>
    <row r="28" spans="1:12" s="26" customFormat="1" ht="27" customHeight="1" x14ac:dyDescent="0.25">
      <c r="A28" s="52" t="s">
        <v>37</v>
      </c>
      <c r="B28" s="42"/>
      <c r="C28" s="29" t="str">
        <f>IFERROR(INDEX('Prix et modèle des ECF '!$A$3:$O$236,MATCH('Option B_CCE Model selection'!$B28,'Prix et modèle des ECF '!$E$3:$E$236,0),MATCH('Option B_CCE Model selection'!C$2,'Prix et modèle des ECF '!$A$3:$O$3,0)),"")</f>
        <v/>
      </c>
      <c r="D28" s="32" t="str">
        <f>IFERROR(INDEX('Prix et modèle des ECF '!$A$3:$O$236,MATCH('Option B_CCE Model selection'!$B28,'Prix et modèle des ECF '!$E$3:$E$236,0),MATCH('Option B_CCE Model selection'!D$2,'Prix et modèle des ECF '!$A$3:$O$3,0)),"")</f>
        <v/>
      </c>
      <c r="E28" s="32" t="str">
        <f>IFERROR(INDEX('Prix et modèle des ECF '!$A$3:$O$236,MATCH('Option B_CCE Model selection'!$B28,'Prix et modèle des ECF '!$E$3:$E$236,0),MATCH('Option B_CCE Model selection'!E$2,'Prix et modèle des ECF '!$A$3:$O$3,0)),"")</f>
        <v/>
      </c>
      <c r="F28" s="169" t="str">
        <f>IFERROR(INDEX('Prix et modèle des ECF '!$A$3:$O$236,MATCH('Option B_CCE Model selection'!$B28,'Prix et modèle des ECF '!$E$3:$E$236,0),MATCH('Option B_CCE Model selection'!F$2,'Prix et modèle des ECF '!$A$3:$O$3,0)),"")</f>
        <v/>
      </c>
      <c r="G28" s="157"/>
      <c r="H28" s="106" t="str">
        <f>IFERROR(IF(OR(EXACT(A28,'Prix et modèle des ECF '!$AB$14),EXACT(A28,'Prix et modèle des ECF '!$AB$16),EXACT(A28,'Prix et modèle des ECF '!$AB$17),EXACT(A28,'Prix et modèle des ECF '!$AB$18),EXACT(A28,'Prix et modèle des ECF '!$AB$19),EXACT(A28,'Prix et modèle des ECF '!$AB$20),EXACT(A28,'Prix et modèle des ECF '!$AB$21),EXACT(A28,'Prix et modèle des ECF '!$AB$22),EXACT(A28,'Prix et modèle des ECF '!$AB$23),EXACT(A28,'Prix et modèle des ECF '!$AB$24),EXACT(A28,'Prix et modèle des ECF '!$AB$25),EXACT(A28,'Prix et modèle des ECF '!$AB$26),EXACT(A28,'Prix et modèle des ECF '!$AB$27)),"N/A",G28+F28),"")</f>
        <v>N/A</v>
      </c>
      <c r="I28" s="73"/>
      <c r="J28" s="74" t="str">
        <f t="shared" si="0"/>
        <v/>
      </c>
      <c r="K28" s="57"/>
      <c r="L28" s="144" t="str">
        <f t="shared" si="1"/>
        <v>_18</v>
      </c>
    </row>
    <row r="29" spans="1:12" s="26" customFormat="1" ht="27" customHeight="1" x14ac:dyDescent="0.25">
      <c r="A29" s="53" t="s">
        <v>38</v>
      </c>
      <c r="B29" s="42"/>
      <c r="C29" s="29" t="str">
        <f>IFERROR(INDEX('Prix et modèle des ECF '!$A$3:$O$236,MATCH('Option B_CCE Model selection'!$B29,'Prix et modèle des ECF '!$E$3:$E$236,0),MATCH('Option B_CCE Model selection'!C$2,'Prix et modèle des ECF '!$A$3:$O$3,0)),"")</f>
        <v/>
      </c>
      <c r="D29" s="32" t="str">
        <f>IFERROR(INDEX('Prix et modèle des ECF '!$A$3:$O$236,MATCH('Option B_CCE Model selection'!$B29,'Prix et modèle des ECF '!$E$3:$E$236,0),MATCH('Option B_CCE Model selection'!D$2,'Prix et modèle des ECF '!$A$3:$O$3,0)),"")</f>
        <v/>
      </c>
      <c r="E29" s="32" t="str">
        <f>IFERROR(INDEX('Prix et modèle des ECF '!$A$3:$O$236,MATCH('Option B_CCE Model selection'!$B29,'Prix et modèle des ECF '!$E$3:$E$236,0),MATCH('Option B_CCE Model selection'!E$2,'Prix et modèle des ECF '!$A$3:$O$3,0)),"")</f>
        <v/>
      </c>
      <c r="F29" s="169" t="str">
        <f>IFERROR(INDEX('Prix et modèle des ECF '!$A$3:$O$236,MATCH('Option B_CCE Model selection'!$B29,'Prix et modèle des ECF '!$E$3:$E$236,0),MATCH('Option B_CCE Model selection'!F$2,'Prix et modèle des ECF '!$A$3:$O$3,0)),"")</f>
        <v/>
      </c>
      <c r="G29" s="157"/>
      <c r="H29" s="106" t="str">
        <f>IFERROR(IF(OR(EXACT(A29,'Prix et modèle des ECF '!$AB$14),EXACT(A29,'Prix et modèle des ECF '!$AB$16),EXACT(A29,'Prix et modèle des ECF '!$AB$17),EXACT(A29,'Prix et modèle des ECF '!$AB$18),EXACT(A29,'Prix et modèle des ECF '!$AB$19),EXACT(A29,'Prix et modèle des ECF '!$AB$20),EXACT(A29,'Prix et modèle des ECF '!$AB$21),EXACT(A29,'Prix et modèle des ECF '!$AB$22),EXACT(A29,'Prix et modèle des ECF '!$AB$23),EXACT(A29,'Prix et modèle des ECF '!$AB$24),EXACT(A29,'Prix et modèle des ECF '!$AB$25),EXACT(A29,'Prix et modèle des ECF '!$AB$26),EXACT(A29,'Prix et modèle des ECF '!$AB$27)),"N/A",G29+F29),"")</f>
        <v>N/A</v>
      </c>
      <c r="I29" s="73"/>
      <c r="J29" s="74" t="str">
        <f t="shared" si="0"/>
        <v/>
      </c>
      <c r="K29" s="57"/>
      <c r="L29" s="144" t="str">
        <f t="shared" si="1"/>
        <v>_19</v>
      </c>
    </row>
    <row r="30" spans="1:12" s="26" customFormat="1" ht="27" customHeight="1" x14ac:dyDescent="0.25">
      <c r="A30" s="53" t="s">
        <v>39</v>
      </c>
      <c r="B30" s="42"/>
      <c r="C30" s="29" t="str">
        <f>IFERROR(INDEX('Prix et modèle des ECF '!$A$3:$O$236,MATCH('Option B_CCE Model selection'!$B30,'Prix et modèle des ECF '!$E$3:$E$236,0),MATCH('Option B_CCE Model selection'!C$2,'Prix et modèle des ECF '!$A$3:$O$3,0)),"")</f>
        <v/>
      </c>
      <c r="D30" s="32" t="str">
        <f>IFERROR(INDEX('Prix et modèle des ECF '!$A$3:$O$236,MATCH('Option B_CCE Model selection'!$B30,'Prix et modèle des ECF '!$E$3:$E$236,0),MATCH('Option B_CCE Model selection'!D$2,'Prix et modèle des ECF '!$A$3:$O$3,0)),"")</f>
        <v/>
      </c>
      <c r="E30" s="32" t="str">
        <f>IFERROR(INDEX('Prix et modèle des ECF '!$A$3:$O$236,MATCH('Option B_CCE Model selection'!$B30,'Prix et modèle des ECF '!$E$3:$E$236,0),MATCH('Option B_CCE Model selection'!E$2,'Prix et modèle des ECF '!$A$3:$O$3,0)),"")</f>
        <v/>
      </c>
      <c r="F30" s="169" t="str">
        <f>IFERROR(INDEX('Prix et modèle des ECF '!$A$3:$O$236,MATCH('Option B_CCE Model selection'!$B30,'Prix et modèle des ECF '!$E$3:$E$236,0),MATCH('Option B_CCE Model selection'!F$2,'Prix et modèle des ECF '!$A$3:$O$3,0)),"")</f>
        <v/>
      </c>
      <c r="G30" s="157"/>
      <c r="H30" s="106" t="str">
        <f>IFERROR(IF(OR(EXACT(A30,'Prix et modèle des ECF '!$AB$14),EXACT(A30,'Prix et modèle des ECF '!$AB$16),EXACT(A30,'Prix et modèle des ECF '!$AB$17),EXACT(A30,'Prix et modèle des ECF '!$AB$18),EXACT(A30,'Prix et modèle des ECF '!$AB$19),EXACT(A30,'Prix et modèle des ECF '!$AB$20),EXACT(A30,'Prix et modèle des ECF '!$AB$21),EXACT(A30,'Prix et modèle des ECF '!$AB$22),EXACT(A30,'Prix et modèle des ECF '!$AB$23),EXACT(A30,'Prix et modèle des ECF '!$AB$24),EXACT(A30,'Prix et modèle des ECF '!$AB$25),EXACT(A30,'Prix et modèle des ECF '!$AB$26),EXACT(A30,'Prix et modèle des ECF '!$AB$27)),"N/A",G30+F30),"")</f>
        <v>N/A</v>
      </c>
      <c r="I30" s="73"/>
      <c r="J30" s="74" t="str">
        <f t="shared" si="0"/>
        <v/>
      </c>
      <c r="K30" s="57"/>
      <c r="L30" s="144" t="str">
        <f t="shared" si="1"/>
        <v>_20</v>
      </c>
    </row>
    <row r="31" spans="1:12" s="26" customFormat="1" ht="27" customHeight="1" x14ac:dyDescent="0.25">
      <c r="A31" s="109" t="s">
        <v>40</v>
      </c>
      <c r="B31" s="42"/>
      <c r="C31" s="29" t="str">
        <f>IFERROR(INDEX('Prix et modèle des ECF '!$A$3:$O$236,MATCH('Option B_CCE Model selection'!$B31,'Prix et modèle des ECF '!$E$3:$E$236,0),MATCH('Option B_CCE Model selection'!C$2,'Prix et modèle des ECF '!$A$3:$O$3,0)),"")</f>
        <v/>
      </c>
      <c r="D31" s="32" t="str">
        <f>IFERROR(INDEX('Prix et modèle des ECF '!$A$3:$O$236,MATCH('Option B_CCE Model selection'!$B31,'Prix et modèle des ECF '!$E$3:$E$236,0),MATCH('Option B_CCE Model selection'!D$2,'Prix et modèle des ECF '!$A$3:$O$3,0)),"")</f>
        <v/>
      </c>
      <c r="E31" s="32" t="str">
        <f>IFERROR(INDEX('Prix et modèle des ECF '!$A$3:$O$236,MATCH('Option B_CCE Model selection'!$B31,'Prix et modèle des ECF '!$E$3:$E$236,0),MATCH('Option B_CCE Model selection'!E$2,'Prix et modèle des ECF '!$A$3:$O$3,0)),"")</f>
        <v/>
      </c>
      <c r="F31" s="169" t="str">
        <f>IFERROR(INDEX('Prix et modèle des ECF '!$A$3:$O$236,MATCH('Option B_CCE Model selection'!$B31,'Prix et modèle des ECF '!$E$3:$E$236,0),MATCH('Option B_CCE Model selection'!F$2,'Prix et modèle des ECF '!$A$3:$O$3,0)),"")</f>
        <v/>
      </c>
      <c r="G31" s="157"/>
      <c r="H31" s="106" t="str">
        <f>IFERROR(IF(OR(EXACT(A31,'Prix et modèle des ECF '!$AB$14),EXACT(A31,'Prix et modèle des ECF '!$AB$16),EXACT(A31,'Prix et modèle des ECF '!$AB$17),EXACT(A31,'Prix et modèle des ECF '!$AB$18),EXACT(A31,'Prix et modèle des ECF '!$AB$19),EXACT(A31,'Prix et modèle des ECF '!$AB$20),EXACT(A31,'Prix et modèle des ECF '!$AB$21),EXACT(A31,'Prix et modèle des ECF '!$AB$22),EXACT(A31,'Prix et modèle des ECF '!$AB$23),EXACT(A31,'Prix et modèle des ECF '!$AB$24),EXACT(A31,'Prix et modèle des ECF '!$AB$25),EXACT(A31,'Prix et modèle des ECF '!$AB$26),EXACT(A31,'Prix et modèle des ECF '!$AB$27)),"N/A",G31+F31),"")</f>
        <v>N/A</v>
      </c>
      <c r="I31" s="73"/>
      <c r="J31" s="74" t="str">
        <f t="shared" si="0"/>
        <v/>
      </c>
      <c r="K31" s="57"/>
      <c r="L31" s="144" t="str">
        <f t="shared" si="1"/>
        <v>_21</v>
      </c>
    </row>
    <row r="32" spans="1:12" s="26" customFormat="1" ht="27" customHeight="1" x14ac:dyDescent="0.25">
      <c r="A32" s="109" t="s">
        <v>41</v>
      </c>
      <c r="B32" s="42"/>
      <c r="C32" s="29" t="str">
        <f>IFERROR(INDEX('Prix et modèle des ECF '!$A$3:$O$236,MATCH('Option B_CCE Model selection'!$B32,'Prix et modèle des ECF '!$E$3:$E$236,0),MATCH('Option B_CCE Model selection'!C$2,'Prix et modèle des ECF '!$A$3:$O$3,0)),"")</f>
        <v/>
      </c>
      <c r="D32" s="32" t="str">
        <f>IFERROR(INDEX('Prix et modèle des ECF '!$A$3:$O$236,MATCH('Option B_CCE Model selection'!$B32,'Prix et modèle des ECF '!$E$3:$E$236,0),MATCH('Option B_CCE Model selection'!D$2,'Prix et modèle des ECF '!$A$3:$O$3,0)),"")</f>
        <v/>
      </c>
      <c r="E32" s="32" t="str">
        <f>IFERROR(INDEX('Prix et modèle des ECF '!$A$3:$O$236,MATCH('Option B_CCE Model selection'!$B32,'Prix et modèle des ECF '!$E$3:$E$236,0),MATCH('Option B_CCE Model selection'!E$2,'Prix et modèle des ECF '!$A$3:$O$3,0)),"")</f>
        <v/>
      </c>
      <c r="F32" s="169" t="str">
        <f>IFERROR(INDEX('Prix et modèle des ECF '!$A$3:$O$236,MATCH('Option B_CCE Model selection'!$B32,'Prix et modèle des ECF '!$E$3:$E$236,0),MATCH('Option B_CCE Model selection'!F$2,'Prix et modèle des ECF '!$A$3:$O$3,0)),"")</f>
        <v/>
      </c>
      <c r="G32" s="157"/>
      <c r="H32" s="106" t="str">
        <f>IFERROR(IF(OR(EXACT(A32,'Prix et modèle des ECF '!$AB$14),EXACT(A32,'Prix et modèle des ECF '!$AB$16),EXACT(A32,'Prix et modèle des ECF '!$AB$17),EXACT(A32,'Prix et modèle des ECF '!$AB$18),EXACT(A32,'Prix et modèle des ECF '!$AB$19),EXACT(A32,'Prix et modèle des ECF '!$AB$20),EXACT(A32,'Prix et modèle des ECF '!$AB$21),EXACT(A32,'Prix et modèle des ECF '!$AB$22),EXACT(A32,'Prix et modèle des ECF '!$AB$23),EXACT(A32,'Prix et modèle des ECF '!$AB$24),EXACT(A32,'Prix et modèle des ECF '!$AB$25),EXACT(A32,'Prix et modèle des ECF '!$AB$26),EXACT(A32,'Prix et modèle des ECF '!$AB$27)),"N/A",G32+F32),"")</f>
        <v>N/A</v>
      </c>
      <c r="I32" s="73"/>
      <c r="J32" s="74" t="str">
        <f t="shared" si="0"/>
        <v/>
      </c>
      <c r="K32" s="57"/>
      <c r="L32" s="144" t="str">
        <f t="shared" si="1"/>
        <v>_22</v>
      </c>
    </row>
    <row r="33" spans="1:12" s="26" customFormat="1" ht="27" customHeight="1" x14ac:dyDescent="0.25">
      <c r="A33" s="109" t="s">
        <v>42</v>
      </c>
      <c r="B33" s="42"/>
      <c r="C33" s="29"/>
      <c r="D33" s="32"/>
      <c r="E33" s="32"/>
      <c r="F33" s="169"/>
      <c r="G33" s="157"/>
      <c r="H33" s="106" t="str">
        <f>IFERROR(IF(OR(EXACT(A33,'Prix et modèle des ECF '!$AB$14),EXACT(A33,'Prix et modèle des ECF '!$AB$16),EXACT(A33,'Prix et modèle des ECF '!$AB$17),EXACT(A33,'Prix et modèle des ECF '!$AB$18),EXACT(A33,'Prix et modèle des ECF '!$AB$19),EXACT(A33,'Prix et modèle des ECF '!$AB$20),EXACT(A33,'Prix et modèle des ECF '!$AB$21),EXACT(A33,'Prix et modèle des ECF '!$AB$22),EXACT(A33,'Prix et modèle des ECF '!$AB$23),EXACT(A33,'Prix et modèle des ECF '!$AB$24),EXACT(A33,'Prix et modèle des ECF '!$AB$25),EXACT(A33,'Prix et modèle des ECF '!$AB$26),EXACT(A33,'Prix et modèle des ECF '!$AB$27)),"N/A",G33+F33),"")</f>
        <v>N/A</v>
      </c>
      <c r="I33" s="73"/>
      <c r="J33" s="74"/>
      <c r="K33" s="57"/>
      <c r="L33" s="144"/>
    </row>
    <row r="34" spans="1:12" s="26" customFormat="1" ht="27" customHeight="1" x14ac:dyDescent="0.25">
      <c r="A34" s="109" t="s">
        <v>43</v>
      </c>
      <c r="B34" s="42"/>
      <c r="C34" s="29" t="str">
        <f>IFERROR(INDEX('Prix et modèle des ECF '!$A$3:$O$236,MATCH('Option B_CCE Model selection'!$B34,'Prix et modèle des ECF '!$E$3:$E$236,0),MATCH('Option B_CCE Model selection'!C$2,'Prix et modèle des ECF '!$A$3:$O$3,0)),"")</f>
        <v/>
      </c>
      <c r="D34" s="32" t="str">
        <f>IFERROR(INDEX('Prix et modèle des ECF '!$A$3:$O$236,MATCH('Option B_CCE Model selection'!$B34,'Prix et modèle des ECF '!$E$3:$E$236,0),MATCH('Option B_CCE Model selection'!D$2,'Prix et modèle des ECF '!$A$3:$O$3,0)),"")</f>
        <v/>
      </c>
      <c r="E34" s="32" t="str">
        <f>IFERROR(INDEX('Prix et modèle des ECF '!$A$3:$O$236,MATCH('Option B_CCE Model selection'!$B34,'Prix et modèle des ECF '!$E$3:$E$236,0),MATCH('Option B_CCE Model selection'!E$2,'Prix et modèle des ECF '!$A$3:$O$3,0)),"")</f>
        <v/>
      </c>
      <c r="F34" s="169" t="str">
        <f>IFERROR(INDEX('Prix et modèle des ECF '!$A$3:$O$236,MATCH('Option B_CCE Model selection'!$B34,'Prix et modèle des ECF '!$E$3:$E$236,0),MATCH('Option B_CCE Model selection'!F$2,'Prix et modèle des ECF '!$A$3:$O$3,0)),"")</f>
        <v/>
      </c>
      <c r="G34" s="157"/>
      <c r="H34" s="106" t="str">
        <f>IFERROR(IF(OR(EXACT(A34,'Prix et modèle des ECF '!$AB$14),EXACT(A34,'Prix et modèle des ECF '!$AB$16),EXACT(A34,'Prix et modèle des ECF '!$AB$17),EXACT(A34,'Prix et modèle des ECF '!$AB$18),EXACT(A34,'Prix et modèle des ECF '!$AB$19),EXACT(A34,'Prix et modèle des ECF '!$AB$20),EXACT(A34,'Prix et modèle des ECF '!$AB$21),EXACT(A34,'Prix et modèle des ECF '!$AB$22),EXACT(A34,'Prix et modèle des ECF '!$AB$23),EXACT(A34,'Prix et modèle des ECF '!$AB$24),EXACT(A34,'Prix et modèle des ECF '!$AB$25),EXACT(A34,'Prix et modèle des ECF '!$AB$26),EXACT(A34,'Prix et modèle des ECF '!$AB$27)),"N/A",G34+F34),"")</f>
        <v>N/A</v>
      </c>
      <c r="I34" s="73"/>
      <c r="J34" s="74" t="str">
        <f t="shared" si="0"/>
        <v/>
      </c>
      <c r="K34" s="57"/>
      <c r="L34" s="144" t="str">
        <f t="shared" si="1"/>
        <v>_24</v>
      </c>
    </row>
    <row r="35" spans="1:12" s="26" customFormat="1" ht="15" x14ac:dyDescent="0.25">
      <c r="A35" s="314" t="s">
        <v>44</v>
      </c>
      <c r="B35" s="315"/>
      <c r="C35" s="315"/>
      <c r="D35" s="315"/>
      <c r="E35" s="315"/>
      <c r="F35" s="315"/>
      <c r="G35" s="315"/>
      <c r="H35" s="315"/>
      <c r="I35" s="331">
        <f>SUM(J4:J34)-SUMIF(L4:L34,"_3.",J4:J34)-SUMIF(L4:L34,"_4.",J4:J34)</f>
        <v>0</v>
      </c>
      <c r="J35" s="332"/>
      <c r="K35" s="59"/>
      <c r="L35" s="57"/>
    </row>
    <row r="36" spans="1:12" ht="15" x14ac:dyDescent="0.25">
      <c r="D36"/>
      <c r="E36"/>
      <c r="F36"/>
      <c r="G36"/>
      <c r="H36"/>
      <c r="I36"/>
      <c r="J36"/>
      <c r="K36"/>
      <c r="L36"/>
    </row>
    <row r="37" spans="1:12" s="26" customFormat="1" ht="15" customHeight="1" x14ac:dyDescent="0.25">
      <c r="A37" s="309" t="s">
        <v>241</v>
      </c>
      <c r="B37" s="310"/>
      <c r="C37" s="310"/>
      <c r="D37" s="310"/>
      <c r="E37" s="310"/>
      <c r="F37" s="310"/>
      <c r="G37" s="310"/>
      <c r="H37" s="311"/>
      <c r="I37" s="312">
        <v>1000</v>
      </c>
      <c r="J37" s="313"/>
      <c r="K37" s="59"/>
      <c r="L37" s="57"/>
    </row>
    <row r="38" spans="1:12" s="26" customFormat="1" ht="15" customHeight="1" x14ac:dyDescent="0.25">
      <c r="A38" s="309" t="s">
        <v>242</v>
      </c>
      <c r="B38" s="310"/>
      <c r="C38" s="310"/>
      <c r="D38" s="310"/>
      <c r="E38" s="310"/>
      <c r="F38" s="310"/>
      <c r="G38" s="310"/>
      <c r="H38" s="311"/>
      <c r="I38" s="312">
        <v>150</v>
      </c>
      <c r="J38" s="313"/>
      <c r="K38" s="59"/>
      <c r="L38" s="57"/>
    </row>
    <row r="39" spans="1:12" s="26" customFormat="1" ht="15" customHeight="1" x14ac:dyDescent="0.25">
      <c r="A39" s="309" t="s">
        <v>243</v>
      </c>
      <c r="B39" s="310"/>
      <c r="C39" s="310"/>
      <c r="D39" s="310"/>
      <c r="E39" s="310"/>
      <c r="F39" s="310"/>
      <c r="G39" s="310"/>
      <c r="H39" s="311"/>
      <c r="I39" s="312">
        <v>150</v>
      </c>
      <c r="J39" s="313"/>
      <c r="K39" s="59"/>
      <c r="L39" s="57"/>
    </row>
    <row r="40" spans="1:12" s="26" customFormat="1" ht="15" customHeight="1" x14ac:dyDescent="0.25">
      <c r="A40" s="309" t="s">
        <v>244</v>
      </c>
      <c r="B40" s="310"/>
      <c r="C40" s="310"/>
      <c r="D40" s="310"/>
      <c r="E40" s="310"/>
      <c r="F40" s="310"/>
      <c r="G40" s="310"/>
      <c r="H40" s="311"/>
      <c r="I40" s="312">
        <v>150</v>
      </c>
      <c r="J40" s="313"/>
      <c r="K40" s="59"/>
      <c r="L40" s="57"/>
    </row>
    <row r="41" spans="1:12" s="26" customFormat="1" ht="15" customHeight="1" x14ac:dyDescent="0.25">
      <c r="A41" s="309" t="s">
        <v>245</v>
      </c>
      <c r="B41" s="310"/>
      <c r="C41" s="310"/>
      <c r="D41" s="310"/>
      <c r="E41" s="310"/>
      <c r="F41" s="310"/>
      <c r="G41" s="310"/>
      <c r="H41" s="311"/>
      <c r="I41" s="312">
        <v>2</v>
      </c>
      <c r="J41" s="313"/>
      <c r="K41" s="59"/>
      <c r="L41" s="57"/>
    </row>
    <row r="42" spans="1:12" s="26" customFormat="1" ht="15" customHeight="1" x14ac:dyDescent="0.25">
      <c r="A42" s="309" t="s">
        <v>246</v>
      </c>
      <c r="B42" s="310"/>
      <c r="C42" s="310"/>
      <c r="D42" s="310"/>
      <c r="E42" s="310"/>
      <c r="F42" s="310"/>
      <c r="G42" s="310"/>
      <c r="H42" s="311"/>
      <c r="I42" s="312">
        <v>10</v>
      </c>
      <c r="J42" s="313"/>
      <c r="K42" s="59"/>
      <c r="L42" s="57"/>
    </row>
    <row r="43" spans="1:12" s="26" customFormat="1" ht="15" customHeight="1" x14ac:dyDescent="0.25">
      <c r="A43" s="309" t="s">
        <v>247</v>
      </c>
      <c r="B43" s="310"/>
      <c r="C43" s="310"/>
      <c r="D43" s="310"/>
      <c r="E43" s="310"/>
      <c r="F43" s="310"/>
      <c r="G43" s="310"/>
      <c r="H43" s="311"/>
      <c r="I43" s="312">
        <v>60</v>
      </c>
      <c r="J43" s="313"/>
      <c r="K43" s="59"/>
      <c r="L43" s="57"/>
    </row>
    <row r="44" spans="1:12" s="26" customFormat="1" ht="15" customHeight="1" x14ac:dyDescent="0.25">
      <c r="A44" s="309" t="s">
        <v>248</v>
      </c>
      <c r="B44" s="310"/>
      <c r="C44" s="310"/>
      <c r="D44" s="310"/>
      <c r="E44" s="310"/>
      <c r="F44" s="310"/>
      <c r="G44" s="310"/>
      <c r="H44" s="311"/>
      <c r="I44" s="352">
        <v>0.1</v>
      </c>
      <c r="J44" s="353"/>
      <c r="K44" s="59"/>
      <c r="L44" s="57"/>
    </row>
    <row r="45" spans="1:12" ht="15" customHeight="1" x14ac:dyDescent="0.25">
      <c r="A45" s="349" t="s">
        <v>45</v>
      </c>
      <c r="B45" s="350"/>
      <c r="C45" s="350"/>
      <c r="D45" s="350"/>
      <c r="E45" s="350"/>
      <c r="F45" s="350"/>
      <c r="G45" s="350"/>
      <c r="H45" s="351"/>
      <c r="I45" s="338">
        <f>(I37*SUM(I$4:I$6))+(I38*SUM($I$9:$I$19))+(I39*I20)+(I40*SUM($I$21:$I$22))+(I41*SUM($I$23:$I$24))+(I42*SUM($I$25:$I$26))+(I43*$I$27)+(I44*$I$28)</f>
        <v>0</v>
      </c>
      <c r="J45" s="339"/>
    </row>
    <row r="46" spans="1:12" s="59" customFormat="1" ht="15" x14ac:dyDescent="0.25">
      <c r="D46" s="58"/>
      <c r="E46" s="58"/>
      <c r="F46" s="58"/>
      <c r="G46" s="58"/>
      <c r="H46" s="58"/>
      <c r="I46" s="58"/>
      <c r="J46" s="58"/>
    </row>
    <row r="47" spans="1:12" s="26" customFormat="1" ht="15" customHeight="1" x14ac:dyDescent="0.25">
      <c r="A47" s="333" t="s">
        <v>46</v>
      </c>
      <c r="B47" s="334"/>
      <c r="C47" s="334"/>
      <c r="D47" s="334"/>
      <c r="E47" s="334"/>
      <c r="F47" s="334"/>
      <c r="G47" s="334"/>
      <c r="H47" s="334"/>
      <c r="I47" s="331">
        <f>I35*1.06+I45</f>
        <v>0</v>
      </c>
      <c r="J47" s="332"/>
      <c r="K47" s="59"/>
      <c r="L47" s="57"/>
    </row>
    <row r="48" spans="1:12" ht="15" x14ac:dyDescent="0.25"/>
    <row r="49" spans="1:12" ht="15" customHeight="1" x14ac:dyDescent="0.25">
      <c r="A49" s="325" t="s">
        <v>47</v>
      </c>
      <c r="B49" s="326"/>
      <c r="C49" s="326"/>
      <c r="D49" s="326"/>
      <c r="E49" s="326"/>
      <c r="F49" s="326"/>
      <c r="G49" s="326"/>
      <c r="H49" s="327"/>
      <c r="I49" s="345"/>
      <c r="J49" s="346"/>
    </row>
    <row r="50" spans="1:12" ht="15" customHeight="1" x14ac:dyDescent="0.25">
      <c r="A50" s="328" t="s">
        <v>48</v>
      </c>
      <c r="B50" s="329"/>
      <c r="C50" s="329"/>
      <c r="D50" s="329"/>
      <c r="E50" s="329"/>
      <c r="F50" s="329"/>
      <c r="G50" s="329"/>
      <c r="H50" s="330"/>
      <c r="I50" s="338">
        <f>I35*I$49</f>
        <v>0</v>
      </c>
      <c r="J50" s="339"/>
    </row>
    <row r="51" spans="1:12" ht="15" x14ac:dyDescent="0.25">
      <c r="D51"/>
      <c r="E51"/>
      <c r="F51"/>
      <c r="G51"/>
      <c r="H51"/>
      <c r="I51"/>
      <c r="J51"/>
      <c r="K51"/>
      <c r="L51"/>
    </row>
    <row r="52" spans="1:12" ht="15.75" customHeight="1" x14ac:dyDescent="0.25">
      <c r="A52" s="340" t="s">
        <v>49</v>
      </c>
      <c r="B52" s="341"/>
      <c r="C52" s="341"/>
      <c r="D52" s="341"/>
      <c r="E52" s="341"/>
      <c r="F52" s="341"/>
      <c r="G52" s="341"/>
      <c r="H52" s="341"/>
      <c r="I52" s="356">
        <f>SUMIF(L4:L34,"_3.",J4:J34)+SUMIF(L4:L34,"_4.",J4:J34)</f>
        <v>0</v>
      </c>
      <c r="J52" s="357"/>
    </row>
    <row r="53" spans="1:12" ht="15" x14ac:dyDescent="0.25">
      <c r="A53" s="342" t="s">
        <v>222</v>
      </c>
      <c r="B53" s="342"/>
      <c r="C53" s="342"/>
      <c r="D53" s="342"/>
      <c r="E53" s="342"/>
      <c r="F53" s="342"/>
      <c r="G53" s="342"/>
      <c r="H53" s="342"/>
      <c r="I53" s="345"/>
      <c r="J53" s="346"/>
    </row>
    <row r="54" spans="1:12" ht="15" x14ac:dyDescent="0.25">
      <c r="A54" s="335" t="s">
        <v>223</v>
      </c>
      <c r="B54" s="336"/>
      <c r="C54" s="336"/>
      <c r="D54" s="336"/>
      <c r="E54" s="336"/>
      <c r="F54" s="336"/>
      <c r="G54" s="336"/>
      <c r="H54" s="337"/>
      <c r="I54" s="338">
        <f>I52*I53</f>
        <v>0</v>
      </c>
      <c r="J54" s="339"/>
    </row>
    <row r="55" spans="1:12" ht="27" customHeight="1" thickBot="1" x14ac:dyDescent="0.3">
      <c r="D55"/>
      <c r="E55"/>
      <c r="F55"/>
      <c r="G55"/>
      <c r="H55"/>
      <c r="I55"/>
      <c r="J55"/>
    </row>
    <row r="56" spans="1:12" ht="27" customHeight="1" thickBot="1" x14ac:dyDescent="0.3">
      <c r="A56" s="320" t="s">
        <v>50</v>
      </c>
      <c r="B56" s="321"/>
      <c r="C56" s="321"/>
      <c r="D56" s="321"/>
      <c r="E56" s="321"/>
      <c r="F56" s="321"/>
      <c r="G56" s="321"/>
      <c r="H56" s="322"/>
      <c r="I56" s="323">
        <f>I47+I50++I52+I54</f>
        <v>0</v>
      </c>
      <c r="J56" s="324"/>
    </row>
  </sheetData>
  <sheetProtection algorithmName="SHA-512" hashValue="XzSkGvxQt4a1cC3YEWqkUGXwhOJ8cWUwy/0CMj6w88SHjCh8/v4vd6M5mPKtyNBJne+wyO1tSp5++bwJwdQEfQ==" saltValue="8TAInQ/TqFCSPFXhSt8SHw==" spinCount="100000" sheet="1" sort="0" autoFilter="0" pivotTables="0"/>
  <dataConsolidate link="1"/>
  <mergeCells count="35">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A38:H38"/>
    <mergeCell ref="I38:J38"/>
    <mergeCell ref="A39:H39"/>
    <mergeCell ref="I39:J39"/>
    <mergeCell ref="A40:H40"/>
    <mergeCell ref="I40:J40"/>
    <mergeCell ref="A41:H41"/>
    <mergeCell ref="I41:J41"/>
    <mergeCell ref="A42:H42"/>
    <mergeCell ref="I42:J42"/>
    <mergeCell ref="A43:H43"/>
    <mergeCell ref="I43:J43"/>
    <mergeCell ref="A44:H44"/>
    <mergeCell ref="I44:J44"/>
  </mergeCells>
  <conditionalFormatting sqref="C4:F34 H4:H34">
    <cfRule type="cellIs" dxfId="115" priority="94" operator="equal">
      <formula>"N/A"</formula>
    </cfRule>
  </conditionalFormatting>
  <dataValidations count="3">
    <dataValidation type="list" allowBlank="1" showInputMessage="1" showErrorMessage="1" sqref="B4:B34" xr:uid="{DD860F83-72F0-419C-9764-337E683612A6}">
      <formula1>INDIRECT(SUBSTITUTE(A4," ",""))</formula1>
    </dataValidation>
    <dataValidation type="list" allowBlank="1" showInputMessage="1" showErrorMessage="1" sqref="A4:A34" xr:uid="{1CF3C97D-3F7E-4AE3-B033-45F5B53D2F87}">
      <formula1>typeofequipment</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148C090D-8959-4286-B97D-7A9A055F968E}">
      <formula1>200</formula1>
      <formula2>38000</formula2>
    </dataValidation>
  </dataValidations>
  <pageMargins left="0.7" right="0.7" top="0.75" bottom="0.75" header="0.3" footer="0.3"/>
  <pageSetup scale="36" fitToHeight="0" orientation="landscape" r:id="rId1"/>
  <ignoredErrors>
    <ignoredError sqref="L34 L4:L32" unlockedFormula="1"/>
  </ignoredErrors>
  <extLst>
    <ext xmlns:x14="http://schemas.microsoft.com/office/spreadsheetml/2009/9/main" uri="{78C0D931-6437-407d-A8EE-F0AAD7539E65}">
      <x14:conditionalFormattings>
        <x14:conditionalFormatting xmlns:xm="http://schemas.microsoft.com/office/excel/2006/main">
          <x14:cfRule type="cellIs" priority="23" operator="equal" id="{ACA80CC0-D28D-4401-9E1E-FE51353B83BC}">
            <xm:f>'Prix et modèle des ECF '!$AB$4</xm:f>
            <x14:dxf>
              <fill>
                <patternFill>
                  <bgColor theme="5" tint="0.79998168889431442"/>
                </patternFill>
              </fill>
            </x14:dxf>
          </x14:cfRule>
          <x14:cfRule type="cellIs" priority="24" operator="equal" id="{A8135426-C25B-4E7F-97E7-E1D48BD12B37}">
            <xm:f>'Prix et modèle des ECF '!$AB$5</xm:f>
            <x14:dxf>
              <fill>
                <patternFill>
                  <bgColor theme="4" tint="0.79998168889431442"/>
                </patternFill>
              </fill>
            </x14:dxf>
          </x14:cfRule>
          <x14:cfRule type="cellIs" priority="25" operator="equal" id="{B3E66EF6-C56E-4A24-8C40-96A115753110}">
            <xm:f>'Prix et modèle des ECF '!$AB$6</xm:f>
            <x14:dxf>
              <fill>
                <patternFill>
                  <bgColor theme="3" tint="0.59996337778862885"/>
                </patternFill>
              </fill>
            </x14:dxf>
          </x14:cfRule>
          <x14:cfRule type="cellIs" priority="26" operator="equal" id="{F84F1D7D-B923-4202-B934-22B93E61F20D}">
            <xm:f>'Prix et modèle des ECF '!$AB$7</xm:f>
            <x14:dxf>
              <font>
                <color theme="0"/>
              </font>
              <fill>
                <patternFill>
                  <bgColor theme="5" tint="-0.24994659260841701"/>
                </patternFill>
              </fill>
            </x14:dxf>
          </x14:cfRule>
          <xm:sqref>A4:A34</xm:sqref>
        </x14:conditionalFormatting>
        <x14:conditionalFormatting xmlns:xm="http://schemas.microsoft.com/office/excel/2006/main">
          <x14:cfRule type="expression" priority="4999" id="{FA6D11E4-B847-4489-B950-DB941CCC2729}">
            <xm:f>OR(A1='Prix et modèle des ECF '!$AB$14,A1='Prix et modèle des ECF '!$AB$17,A1='Prix et modèle des ECF '!$AB$19,A1='Prix et modèle des ECF '!#REF!,A1='Prix et modèle des ECF '!$AB$22)</xm:f>
            <x14:dxf>
              <font>
                <color theme="1"/>
              </font>
              <fill>
                <patternFill>
                  <bgColor theme="1" tint="0.499984740745262"/>
                </patternFill>
              </fill>
            </x14:dxf>
          </x14:cfRule>
          <xm:sqref>G1:G3</xm:sqref>
        </x14:conditionalFormatting>
        <x14:conditionalFormatting xmlns:xm="http://schemas.microsoft.com/office/excel/2006/main">
          <x14:cfRule type="cellIs" priority="5000" operator="equal" id="{6E22A14A-367C-4D9B-92BA-1A0FA5F350E4}">
            <xm:f>'Prix et modèle des ECF '!$AB$22</xm:f>
            <x14:dxf>
              <fill>
                <patternFill>
                  <bgColor rgb="FFFFFF00"/>
                </patternFill>
              </fill>
            </x14:dxf>
          </x14:cfRule>
          <x14:cfRule type="cellIs" priority="5001" operator="equal" id="{5684F7B7-36A1-48FB-8C62-A0EB34B9C116}">
            <xm:f>'Prix et modèle des ECF '!$AB$27</xm:f>
            <x14:dxf>
              <font>
                <color theme="0"/>
              </font>
              <fill>
                <patternFill>
                  <bgColor rgb="FF7030A0"/>
                </patternFill>
              </fill>
            </x14:dxf>
          </x14:cfRule>
          <x14:cfRule type="cellIs" priority="5002" operator="equal" id="{572D1C65-53C7-4704-9762-9421A61B4193}">
            <xm:f>'Prix et modèle des ECF '!$AB$26</xm:f>
            <x14:dxf>
              <font>
                <color theme="0"/>
              </font>
              <fill>
                <patternFill>
                  <bgColor theme="9" tint="-0.24994659260841701"/>
                </patternFill>
              </fill>
            </x14:dxf>
          </x14:cfRule>
          <x14:cfRule type="cellIs" priority="5003" operator="equal" id="{F70C5108-E1D6-427D-AE91-5F57ADB2472E}">
            <xm:f>'Prix et modèle des ECF '!$AB$25</xm:f>
            <x14:dxf>
              <font>
                <color theme="0"/>
              </font>
              <fill>
                <patternFill>
                  <bgColor theme="4" tint="-0.24994659260841701"/>
                </patternFill>
              </fill>
            </x14:dxf>
          </x14:cfRule>
          <x14:cfRule type="cellIs" priority="5004" operator="equal" id="{96AEE87A-8989-4A2A-B36C-63C4278936F3}">
            <xm:f>'Prix et modèle des ECF '!$AB$24</xm:f>
            <x14:dxf>
              <fill>
                <patternFill>
                  <bgColor rgb="FFFF99FF"/>
                </patternFill>
              </fill>
            </x14:dxf>
          </x14:cfRule>
          <x14:cfRule type="cellIs" priority="5005" operator="equal" id="{5A3A7EF2-A497-4E46-8E3F-1202B293F6EF}">
            <xm:f>'Prix et modèle des ECF '!$AB$23</xm:f>
            <x14:dxf>
              <font>
                <color theme="0"/>
              </font>
              <fill>
                <patternFill>
                  <bgColor rgb="FF9900CC"/>
                </patternFill>
              </fill>
            </x14:dxf>
          </x14:cfRule>
          <x14:cfRule type="cellIs" priority="5006" operator="equal" id="{FFFDDF1F-97F8-433E-B6B6-E82944B81296}">
            <xm:f>'Prix et modèle des ECF '!$AB$22</xm:f>
            <x14:dxf>
              <fill>
                <patternFill>
                  <bgColor rgb="FFFFC000"/>
                </patternFill>
              </fill>
            </x14:dxf>
          </x14:cfRule>
          <x14:cfRule type="cellIs" priority="5007" operator="equal" id="{F8D5B7F4-AD25-45F3-9D98-9E439EC98E46}">
            <xm:f>'Prix et modèle des ECF '!$AB$22</xm:f>
            <x14:dxf>
              <font>
                <color theme="1"/>
              </font>
              <fill>
                <patternFill>
                  <bgColor rgb="FFCCCCFF"/>
                </patternFill>
              </fill>
            </x14:dxf>
          </x14:cfRule>
          <x14:cfRule type="cellIs" priority="5008" operator="equal" id="{12AC7C8D-7727-4265-AE96-3A0A1123F37B}">
            <xm:f>'Prix et modèle des ECF '!#REF!</xm:f>
            <x14:dxf>
              <font>
                <color theme="1"/>
              </font>
              <fill>
                <patternFill>
                  <bgColor rgb="FFCCCCFF"/>
                </patternFill>
              </fill>
            </x14:dxf>
          </x14:cfRule>
          <x14:cfRule type="cellIs" priority="5009" operator="equal" id="{B578BF7F-B7CF-4120-83E4-FCF2E46882F7}">
            <xm:f>'Prix et modèle des ECF '!$AB$19</xm:f>
            <x14:dxf>
              <font>
                <color theme="1"/>
              </font>
              <fill>
                <patternFill>
                  <bgColor theme="5" tint="0.59996337778862885"/>
                </patternFill>
              </fill>
            </x14:dxf>
          </x14:cfRule>
          <x14:cfRule type="cellIs" priority="5010" operator="equal" id="{26E013DB-B670-4EED-A55A-0E82B179D98B}">
            <xm:f>'Prix et modèle des ECF '!$AB$17</xm:f>
            <x14:dxf>
              <font>
                <color theme="1"/>
              </font>
              <fill>
                <patternFill>
                  <bgColor theme="5" tint="0.79998168889431442"/>
                </patternFill>
              </fill>
            </x14:dxf>
          </x14:cfRule>
          <x14:cfRule type="cellIs" priority="5011" operator="equal" id="{91D76269-430D-43D8-84C8-12B9A87F003F}">
            <xm:f>'Prix et modèle des ECF '!$AB$15</xm:f>
            <x14:dxf>
              <font>
                <color theme="1"/>
              </font>
              <fill>
                <patternFill>
                  <bgColor theme="9" tint="0.59996337778862885"/>
                </patternFill>
              </fill>
            </x14:dxf>
          </x14:cfRule>
          <x14:cfRule type="cellIs" priority="5012" operator="equal" id="{C8F82125-3164-443F-90CF-7EA754C01AB2}">
            <xm:f>'Prix et modèle des ECF '!$AB$14</xm:f>
            <x14:dxf>
              <font>
                <color theme="1"/>
              </font>
              <fill>
                <patternFill>
                  <bgColor theme="9" tint="0.79998168889431442"/>
                </patternFill>
              </fill>
            </x14:dxf>
          </x14:cfRule>
          <x14:cfRule type="cellIs" priority="5013" operator="equal" id="{57EEC484-E9B9-4FEB-8120-1C75DC4AFCB7}">
            <xm:f>'Prix et modèle des ECF '!$AB$13</xm:f>
            <x14:dxf>
              <font>
                <color theme="0"/>
              </font>
              <fill>
                <patternFill>
                  <bgColor theme="1" tint="0.24994659260841701"/>
                </patternFill>
              </fill>
            </x14:dxf>
          </x14:cfRule>
          <x14:cfRule type="cellIs" priority="5014" operator="equal" id="{C2EDA7F8-5539-42DD-8C18-2DDF0AC80F3E}">
            <xm:f>'Prix et modèle des ECF '!$AB$12</xm:f>
            <x14:dxf>
              <font>
                <color theme="0"/>
              </font>
              <fill>
                <patternFill>
                  <bgColor theme="0" tint="-0.499984740745262"/>
                </patternFill>
              </fill>
            </x14:dxf>
          </x14:cfRule>
          <x14:cfRule type="cellIs" priority="5015" operator="equal" id="{FBF2D7F8-D613-4CF0-9AF6-DA8C02224C93}">
            <xm:f>'Prix et modèle des ECF '!$AB$11</xm:f>
            <x14:dxf>
              <font>
                <color theme="1"/>
              </font>
              <fill>
                <patternFill>
                  <bgColor theme="0" tint="-0.14996795556505021"/>
                </patternFill>
              </fill>
            </x14:dxf>
          </x14:cfRule>
          <x14:cfRule type="cellIs" priority="5016" operator="equal" id="{0D0E0FE9-B4D0-4075-9F89-C2E1A22D9240}">
            <xm:f>'Prix et modèle des ECF '!#REF!</xm:f>
            <x14:dxf>
              <font>
                <color theme="1"/>
              </font>
              <fill>
                <patternFill>
                  <bgColor theme="7" tint="0.79998168889431442"/>
                </patternFill>
              </fill>
            </x14:dxf>
          </x14:cfRule>
          <x14:cfRule type="cellIs" priority="5017" operator="equal" id="{98A79FEB-FB31-4055-9D56-D15383EF0728}">
            <xm:f>'Prix et modèle des ECF '!$AB$10</xm:f>
            <x14:dxf>
              <font>
                <color theme="0"/>
              </font>
              <fill>
                <patternFill>
                  <bgColor theme="4" tint="-0.24994659260841701"/>
                </patternFill>
              </fill>
            </x14:dxf>
          </x14:cfRule>
          <x14:cfRule type="cellIs" priority="5018" operator="equal" id="{7CB003B6-ABE2-4E39-B38C-57DF4238E5F9}">
            <xm:f>'Prix et modèle des ECF '!$AB$9</xm:f>
            <x14:dxf>
              <font>
                <color theme="1"/>
              </font>
              <fill>
                <patternFill>
                  <bgColor theme="4" tint="0.39994506668294322"/>
                </patternFill>
              </fill>
            </x14:dxf>
          </x14:cfRule>
          <x14:cfRule type="cellIs" priority="5019" operator="equal" id="{28927EF7-2B55-4DBF-B738-A6A8B92751BE}">
            <xm:f>'Prix et modèle des ECF '!$AB$8</xm:f>
            <x14:dxf>
              <font>
                <color theme="1"/>
              </font>
              <fill>
                <patternFill>
                  <bgColor theme="4" tint="0.79998168889431442"/>
                </patternFill>
              </fill>
            </x14:dxf>
          </x14:cfRule>
          <xm:sqref>A1:A3</xm:sqref>
        </x14:conditionalFormatting>
        <x14:conditionalFormatting xmlns:xm="http://schemas.microsoft.com/office/excel/2006/main">
          <x14:cfRule type="cellIs" priority="5021" operator="equal" id="{C32ABD2A-85DF-4649-968B-6D07E61A6A86}">
            <xm:f>'Prix et modèle des ECF '!$AB$16</xm:f>
            <x14:dxf>
              <font>
                <color theme="1"/>
              </font>
              <fill>
                <patternFill>
                  <bgColor theme="7" tint="0.79998168889431442"/>
                </patternFill>
              </fill>
            </x14:dxf>
          </x14:cfRule>
          <x14:cfRule type="cellIs" priority="5022" operator="equal" id="{032706B3-568A-4E3D-8BAD-5A130F6CA36C}">
            <xm:f>'Prix et modèle des ECF '!$AB$18</xm:f>
            <x14:dxf>
              <font>
                <color theme="1"/>
              </font>
              <fill>
                <patternFill>
                  <bgColor rgb="FFCCCCFF"/>
                </patternFill>
              </fill>
            </x14:dxf>
          </x14:cfRule>
          <x14:cfRule type="cellIs" priority="5023" operator="equal" id="{4EF7516B-AB64-47B3-BEFC-C05CB8EDD231}">
            <xm:f>'Prix et modèle des ECF '!$AB$20</xm:f>
            <x14:dxf>
              <fill>
                <patternFill>
                  <bgColor rgb="FFFFC000"/>
                </patternFill>
              </fill>
            </x14:dxf>
          </x14:cfRule>
          <x14:cfRule type="cellIs" priority="5024" operator="equal" id="{8013C5BC-9972-4735-A89A-660A4E683E88}">
            <xm:f>'Prix et modèle des ECF '!$AB$22</xm:f>
            <x14:dxf>
              <fill>
                <patternFill>
                  <bgColor rgb="FFFFFF00"/>
                </patternFill>
              </fill>
            </x14:dxf>
          </x14:cfRule>
          <x14:cfRule type="cellIs" priority="5025" operator="equal" id="{48161E6F-B965-4930-8EC3-6FC10F1A318C}">
            <xm:f>'Prix et modèle des ECF '!$AB$23</xm:f>
            <x14:dxf>
              <font>
                <color theme="0"/>
              </font>
              <fill>
                <patternFill>
                  <bgColor rgb="FF9900CC"/>
                </patternFill>
              </fill>
            </x14:dxf>
          </x14:cfRule>
          <x14:cfRule type="cellIs" priority="5026" operator="equal" id="{89ACBF7E-DDEA-4137-8BF5-B162F08387C1}">
            <xm:f>'Prix et modèle des ECF '!$AB$24</xm:f>
            <x14:dxf>
              <fill>
                <patternFill>
                  <bgColor rgb="FFFF99FF"/>
                </patternFill>
              </fill>
            </x14:dxf>
          </x14:cfRule>
          <x14:cfRule type="cellIs" priority="5027" operator="equal" id="{01E6B08F-3607-4775-B705-03C54019B3DA}">
            <xm:f>'Prix et modèle des ECF '!$AB$25</xm:f>
            <x14:dxf>
              <font>
                <color theme="0"/>
              </font>
              <fill>
                <patternFill>
                  <bgColor theme="4" tint="-0.24994659260841701"/>
                </patternFill>
              </fill>
            </x14:dxf>
          </x14:cfRule>
          <x14:cfRule type="cellIs" priority="5028" operator="equal" id="{8CF08FC8-FEB7-4EE3-BFE1-A9BF338F8554}">
            <xm:f>'Prix et modèle des ECF '!$AB$26</xm:f>
            <x14:dxf>
              <font>
                <color theme="0"/>
              </font>
              <fill>
                <patternFill>
                  <bgColor theme="9" tint="-0.24994659260841701"/>
                </patternFill>
              </fill>
            </x14:dxf>
          </x14:cfRule>
          <x14:cfRule type="cellIs" priority="5029" operator="equal" id="{A339C39D-39AB-4775-BE5A-30DBD09B1CC8}">
            <xm:f>'Prix et modèle des ECF '!$AB$27</xm:f>
            <x14:dxf>
              <font>
                <color theme="0"/>
              </font>
              <fill>
                <patternFill>
                  <bgColor rgb="FF7030A0"/>
                </patternFill>
              </fill>
            </x14:dxf>
          </x14:cfRule>
          <x14:cfRule type="cellIs" priority="5030" operator="equal" id="{DBB628EE-13C5-4991-AFE5-B10E491E3959}">
            <xm:f>'Prix et modèle des ECF '!$AB$8</xm:f>
            <x14:dxf>
              <font>
                <color theme="1"/>
              </font>
              <fill>
                <patternFill>
                  <bgColor theme="4" tint="0.79998168889431442"/>
                </patternFill>
              </fill>
            </x14:dxf>
          </x14:cfRule>
          <x14:cfRule type="cellIs" priority="5031" operator="equal" id="{43C5B0F1-7160-47F1-B0F7-75B0CF111F5D}">
            <xm:f>'Prix et modèle des ECF '!$AB$9</xm:f>
            <x14:dxf>
              <font>
                <color theme="1"/>
              </font>
              <fill>
                <patternFill>
                  <bgColor theme="4" tint="0.39994506668294322"/>
                </patternFill>
              </fill>
            </x14:dxf>
          </x14:cfRule>
          <x14:cfRule type="cellIs" priority="5032" operator="equal" id="{ED1D52A7-311F-4E88-81CD-D40BCBA4CCB6}">
            <xm:f>'Prix et modèle des ECF '!$AB$10</xm:f>
            <x14:dxf>
              <font>
                <color theme="0"/>
              </font>
              <fill>
                <patternFill>
                  <bgColor theme="4" tint="-0.24994659260841701"/>
                </patternFill>
              </fill>
            </x14:dxf>
          </x14:cfRule>
          <x14:cfRule type="cellIs" priority="5033" operator="equal" id="{90A8B446-352D-457C-8D99-8857EA9291BB}">
            <xm:f>'Prix et modèle des ECF '!$AB$11</xm:f>
            <x14:dxf>
              <font>
                <color theme="1"/>
              </font>
              <fill>
                <patternFill>
                  <bgColor theme="0" tint="-0.14996795556505021"/>
                </patternFill>
              </fill>
            </x14:dxf>
          </x14:cfRule>
          <x14:cfRule type="cellIs" priority="5034" operator="equal" id="{561E6319-DB01-4BD5-9CA7-B2C6EBAB9892}">
            <xm:f>'Prix et modèle des ECF '!$AB$12</xm:f>
            <x14:dxf>
              <font>
                <color theme="0"/>
              </font>
              <fill>
                <patternFill>
                  <bgColor theme="0" tint="-0.499984740745262"/>
                </patternFill>
              </fill>
            </x14:dxf>
          </x14:cfRule>
          <x14:cfRule type="cellIs" priority="5035" operator="equal" id="{1F3CCE09-CB46-4B8A-815C-DFB493C28DDE}">
            <xm:f>'Prix et modèle des ECF '!$AB$13</xm:f>
            <x14:dxf>
              <font>
                <color theme="0"/>
              </font>
              <fill>
                <patternFill>
                  <bgColor theme="1" tint="0.24994659260841701"/>
                </patternFill>
              </fill>
            </x14:dxf>
          </x14:cfRule>
          <x14:cfRule type="cellIs" priority="5036" operator="equal" id="{5109DC5E-8E51-4612-8B51-F7A5593494D4}">
            <xm:f>'Prix et modèle des ECF '!$AB$14</xm:f>
            <x14:dxf>
              <font>
                <color theme="1"/>
              </font>
              <fill>
                <patternFill>
                  <bgColor theme="9" tint="0.79998168889431442"/>
                </patternFill>
              </fill>
            </x14:dxf>
          </x14:cfRule>
          <x14:cfRule type="cellIs" priority="5037" operator="equal" id="{11DBE91E-CB55-4510-9702-F1362E6A90D5}">
            <xm:f>'Prix et modèle des ECF '!$AB$15</xm:f>
            <x14:dxf>
              <font>
                <color theme="1"/>
              </font>
              <fill>
                <patternFill>
                  <bgColor theme="9" tint="0.59996337778862885"/>
                </patternFill>
              </fill>
            </x14:dxf>
          </x14:cfRule>
          <x14:cfRule type="cellIs" priority="5038" operator="equal" id="{4DD8701E-79CE-4017-8F28-3B5059B361A5}">
            <xm:f>'Prix et modèle des ECF '!$AB$17</xm:f>
            <x14:dxf>
              <font>
                <color theme="1"/>
              </font>
              <fill>
                <patternFill>
                  <bgColor theme="5" tint="0.79998168889431442"/>
                </patternFill>
              </fill>
            </x14:dxf>
          </x14:cfRule>
          <x14:cfRule type="cellIs" priority="5039" operator="equal" id="{E02D3340-293F-481D-94DE-8D6412402771}">
            <xm:f>'Prix et modèle des ECF '!$AB$19</xm:f>
            <x14:dxf>
              <font>
                <color theme="1"/>
              </font>
              <fill>
                <patternFill>
                  <bgColor theme="5" tint="0.59996337778862885"/>
                </patternFill>
              </fill>
            </x14:dxf>
          </x14:cfRule>
          <x14:cfRule type="cellIs" priority="5040" operator="equal" id="{CB72FDA1-C51F-41C2-882E-007AFA8E9680}">
            <xm:f>'Prix et modèle des ECF '!$AB$22</xm:f>
            <x14:dxf>
              <font>
                <color theme="1"/>
              </font>
              <fill>
                <patternFill>
                  <bgColor rgb="FF9999FF"/>
                </patternFill>
              </fill>
            </x14:dxf>
          </x14:cfRule>
          <xm:sqref>A4:A34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3CFF-941E-450A-B826-FE707DAEE48C}">
  <sheetPr codeName="Sheet5">
    <tabColor theme="4" tint="-0.249977111117893"/>
    <pageSetUpPr fitToPage="1"/>
  </sheetPr>
  <dimension ref="A1:BW56"/>
  <sheetViews>
    <sheetView showGridLines="0" zoomScaleNormal="100" zoomScaleSheetLayoutView="100" workbookViewId="0">
      <selection activeCell="I46" sqref="I46"/>
    </sheetView>
  </sheetViews>
  <sheetFormatPr defaultColWidth="0" defaultRowHeight="27" customHeight="1" x14ac:dyDescent="0.25"/>
  <cols>
    <col min="1" max="1" width="30.42578125" customWidth="1"/>
    <col min="2"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28515625" style="33" bestFit="1" customWidth="1"/>
    <col min="9" max="10" width="12.42578125" style="33" customWidth="1"/>
    <col min="11" max="12" width="9.140625" style="59" customWidth="1"/>
    <col min="13" max="75" width="0" hidden="1" customWidth="1"/>
    <col min="76" max="16384" width="9.140625" hidden="1"/>
  </cols>
  <sheetData>
    <row r="1" spans="1:12" s="68" customFormat="1" ht="16.5" customHeight="1" thickTop="1" thickBot="1" x14ac:dyDescent="0.3">
      <c r="A1" s="65"/>
      <c r="B1" s="66"/>
      <c r="C1" s="66"/>
      <c r="D1" s="66"/>
      <c r="E1" s="69"/>
      <c r="F1" s="69"/>
      <c r="G1" s="69"/>
      <c r="H1" s="69"/>
      <c r="I1" s="354" t="s">
        <v>4</v>
      </c>
      <c r="J1" s="355"/>
      <c r="K1" s="67"/>
      <c r="L1" s="67"/>
    </row>
    <row r="2" spans="1:12" s="6" customFormat="1" ht="60.75" customHeight="1" thickTop="1" x14ac:dyDescent="0.25">
      <c r="A2" s="7" t="s">
        <v>5</v>
      </c>
      <c r="B2" s="7" t="s">
        <v>6</v>
      </c>
      <c r="C2" s="7" t="s">
        <v>7</v>
      </c>
      <c r="D2" s="30" t="s">
        <v>8</v>
      </c>
      <c r="E2" s="75" t="s">
        <v>9</v>
      </c>
      <c r="F2" s="75" t="s">
        <v>10</v>
      </c>
      <c r="G2" s="75" t="s">
        <v>11</v>
      </c>
      <c r="H2" s="76" t="s">
        <v>12</v>
      </c>
      <c r="I2" s="77" t="s">
        <v>13</v>
      </c>
      <c r="J2" s="78" t="s">
        <v>14</v>
      </c>
      <c r="K2" s="55"/>
      <c r="L2" s="55"/>
    </row>
    <row r="3" spans="1:12" s="11" customFormat="1" ht="45" customHeight="1" x14ac:dyDescent="0.25">
      <c r="A3" s="9"/>
      <c r="B3" s="10" t="s">
        <v>15</v>
      </c>
      <c r="C3" s="9"/>
      <c r="D3" s="31"/>
      <c r="E3" s="31"/>
      <c r="F3" s="31"/>
      <c r="G3" s="79" t="s">
        <v>16</v>
      </c>
      <c r="H3" s="80"/>
      <c r="I3" s="81" t="s">
        <v>17</v>
      </c>
      <c r="J3" s="82"/>
      <c r="K3" s="56"/>
      <c r="L3" s="56"/>
    </row>
    <row r="4" spans="1:12" s="26" customFormat="1" ht="27" customHeight="1" x14ac:dyDescent="0.25">
      <c r="A4" s="41" t="s">
        <v>18</v>
      </c>
      <c r="B4" s="42"/>
      <c r="C4" s="29" t="str">
        <f>IFERROR(INDEX('Prix et modèle des ECF '!$A$3:$O$236,MATCH('Option C_CCE Model selection'!$B4,'Prix et modèle des ECF '!$E$3:$E$236,0),MATCH('Option C_CCE Model selection'!C$2,'Prix et modèle des ECF '!$A$3:$O$3,0)),"")</f>
        <v/>
      </c>
      <c r="D4" s="32" t="str">
        <f>IFERROR(INDEX('Prix et modèle des ECF '!$A$3:$O$236,MATCH('Option C_CCE Model selection'!$B4,'Prix et modèle des ECF '!$E$3:$E$236,0),MATCH('Option C_CCE Model selection'!D$2,'Prix et modèle des ECF '!$A$3:$O$3,0)),"")</f>
        <v/>
      </c>
      <c r="E4" s="32" t="str">
        <f>IFERROR(INDEX('Prix et modèle des ECF '!$A$3:$O$236,MATCH('Option C_CCE Model selection'!$B4,'Prix et modèle des ECF '!$E$3:$E$236,0),MATCH('Option C_CCE Model selection'!E$2,'Prix et modèle des ECF '!$A$3:$O$3,0)),"")</f>
        <v/>
      </c>
      <c r="F4" s="117" t="str">
        <f>IFERROR(INDEX('Prix et modèle des ECF '!$A$3:$O$236,MATCH('Option C_CCE Model selection'!$B4,'Prix et modèle des ECF '!$E$3:$E$236,0),MATCH('Option C_CCE Model selection'!F$2,'Prix et modèle des ECF '!$A$3:$O$3,0)),"")</f>
        <v/>
      </c>
      <c r="G4" s="54"/>
      <c r="H4" s="106" t="str">
        <f>IFERROR(IF(OR(EXACT(A4,'Prix et modèle des ECF '!$AB$14),EXACT(A4,'Prix et modèle des ECF '!$AB$16),EXACT(A4,'Prix et modèle des ECF '!$AB$17),EXACT(A4,'Prix et modèle des ECF '!$AB$18),EXACT(A4,'Prix et modèle des ECF '!$AB$19),EXACT(A4,'Prix et modèle des ECF '!$AB$20),EXACT(A4,'Prix et modèle des ECF '!$AB$21),EXACT(A4,'Prix et modèle des ECF '!$AB$22),EXACT(A4,'Prix et modèle des ECF '!$AB$23),EXACT(A4,'Prix et modèle des ECF '!$AB$24),EXACT(A4,'Prix et modèle des ECF '!$AB$25),EXACT(A4,'Prix et modèle des ECF '!$AB$26),EXACT(A4,'Prix et modèle des ECF '!$AB$27)),"N/A",G4+F4),"")</f>
        <v/>
      </c>
      <c r="I4" s="73"/>
      <c r="J4" s="74" t="str">
        <f t="shared" ref="J4:J34" si="0">IFERROR(IF(H4="N/A",F4*I4,H4*I4),"")</f>
        <v/>
      </c>
      <c r="K4" s="57"/>
      <c r="L4" s="144" t="str">
        <f>LEFT(A4,3)</f>
        <v>_1.</v>
      </c>
    </row>
    <row r="5" spans="1:12" s="26" customFormat="1" ht="27" customHeight="1" x14ac:dyDescent="0.25">
      <c r="A5" s="41" t="s">
        <v>18</v>
      </c>
      <c r="B5" s="42"/>
      <c r="C5" s="29" t="str">
        <f>IFERROR(INDEX('Prix et modèle des ECF '!$A$3:$O$236,MATCH('Option C_CCE Model selection'!$B5,'Prix et modèle des ECF '!$E$3:$E$236,0),MATCH('Option C_CCE Model selection'!C$2,'Prix et modèle des ECF '!$A$3:$O$3,0)),"")</f>
        <v/>
      </c>
      <c r="D5" s="32" t="str">
        <f>IFERROR(INDEX('Prix et modèle des ECF '!$A$3:$O$236,MATCH('Option C_CCE Model selection'!$B5,'Prix et modèle des ECF '!$E$3:$E$236,0),MATCH('Option C_CCE Model selection'!D$2,'Prix et modèle des ECF '!$A$3:$O$3,0)),"")</f>
        <v/>
      </c>
      <c r="E5" s="32" t="str">
        <f>IFERROR(INDEX('Prix et modèle des ECF '!$A$3:$O$236,MATCH('Option C_CCE Model selection'!$B5,'Prix et modèle des ECF '!$E$3:$E$236,0),MATCH('Option C_CCE Model selection'!E$2,'Prix et modèle des ECF '!$A$3:$O$3,0)),"")</f>
        <v/>
      </c>
      <c r="F5" s="117" t="str">
        <f>IFERROR(INDEX('Prix et modèle des ECF '!$A$3:$O$236,MATCH('Option C_CCE Model selection'!$B5,'Prix et modèle des ECF '!$E$3:$E$236,0),MATCH('Option C_CCE Model selection'!F$2,'Prix et modèle des ECF '!$A$3:$O$3,0)),"")</f>
        <v/>
      </c>
      <c r="G5" s="54"/>
      <c r="H5" s="106" t="str">
        <f>IFERROR(IF(OR(EXACT(A5,'Prix et modèle des ECF '!$AB$14),EXACT(A5,'Prix et modèle des ECF '!$AB$16),EXACT(A5,'Prix et modèle des ECF '!$AB$17),EXACT(A5,'Prix et modèle des ECF '!$AB$18),EXACT(A5,'Prix et modèle des ECF '!$AB$19),EXACT(A5,'Prix et modèle des ECF '!$AB$20),EXACT(A5,'Prix et modèle des ECF '!$AB$21),EXACT(A5,'Prix et modèle des ECF '!$AB$22),EXACT(A5,'Prix et modèle des ECF '!$AB$23),EXACT(A5,'Prix et modèle des ECF '!$AB$24),EXACT(A5,'Prix et modèle des ECF '!$AB$25),EXACT(A5,'Prix et modèle des ECF '!$AB$26),EXACT(A5,'Prix et modèle des ECF '!$AB$27)),"N/A",G5+F5),"")</f>
        <v/>
      </c>
      <c r="I5" s="73"/>
      <c r="J5" s="74" t="str">
        <f t="shared" si="0"/>
        <v/>
      </c>
      <c r="K5" s="57"/>
      <c r="L5" s="144" t="str">
        <f t="shared" ref="L5:L34" si="1">LEFT(A5,3)</f>
        <v>_1.</v>
      </c>
    </row>
    <row r="6" spans="1:12" s="26" customFormat="1" ht="27" customHeight="1" x14ac:dyDescent="0.25">
      <c r="A6" s="41" t="s">
        <v>19</v>
      </c>
      <c r="B6" s="42"/>
      <c r="C6" s="29" t="str">
        <f>IFERROR(INDEX('Prix et modèle des ECF '!$A$3:$O$236,MATCH('Option C_CCE Model selection'!$B6,'Prix et modèle des ECF '!$E$3:$E$236,0),MATCH('Option C_CCE Model selection'!C$2,'Prix et modèle des ECF '!$A$3:$O$3,0)),"")</f>
        <v/>
      </c>
      <c r="D6" s="32" t="str">
        <f>IFERROR(INDEX('Prix et modèle des ECF '!$A$3:$O$236,MATCH('Option C_CCE Model selection'!$B6,'Prix et modèle des ECF '!$E$3:$E$236,0),MATCH('Option C_CCE Model selection'!D$2,'Prix et modèle des ECF '!$A$3:$O$3,0)),"")</f>
        <v/>
      </c>
      <c r="E6" s="32" t="str">
        <f>IFERROR(INDEX('Prix et modèle des ECF '!$A$3:$O$236,MATCH('Option C_CCE Model selection'!$B6,'Prix et modèle des ECF '!$E$3:$E$236,0),MATCH('Option C_CCE Model selection'!E$2,'Prix et modèle des ECF '!$A$3:$O$3,0)),"")</f>
        <v/>
      </c>
      <c r="F6" s="117" t="str">
        <f>IFERROR(INDEX('Prix et modèle des ECF '!$A$3:$O$236,MATCH('Option C_CCE Model selection'!$B6,'Prix et modèle des ECF '!$E$3:$E$236,0),MATCH('Option C_CCE Model selection'!F$2,'Prix et modèle des ECF '!$A$3:$O$3,0)),"")</f>
        <v/>
      </c>
      <c r="G6" s="54"/>
      <c r="H6" s="106" t="str">
        <f>IFERROR(IF(OR(EXACT(A6,'Prix et modèle des ECF '!$AB$14),EXACT(A6,'Prix et modèle des ECF '!$AB$16),EXACT(A6,'Prix et modèle des ECF '!$AB$17),EXACT(A6,'Prix et modèle des ECF '!$AB$18),EXACT(A6,'Prix et modèle des ECF '!$AB$19),EXACT(A6,'Prix et modèle des ECF '!$AB$20),EXACT(A6,'Prix et modèle des ECF '!$AB$21),EXACT(A6,'Prix et modèle des ECF '!$AB$22),EXACT(A6,'Prix et modèle des ECF '!$AB$23),EXACT(A6,'Prix et modèle des ECF '!$AB$24),EXACT(A6,'Prix et modèle des ECF '!$AB$25),EXACT(A6,'Prix et modèle des ECF '!$AB$26),EXACT(A6,'Prix et modèle des ECF '!$AB$27)),"N/A",G6+F6),"")</f>
        <v/>
      </c>
      <c r="I6" s="73"/>
      <c r="J6" s="74" t="str">
        <f t="shared" si="0"/>
        <v/>
      </c>
      <c r="K6" s="57"/>
      <c r="L6" s="144" t="str">
        <f t="shared" si="1"/>
        <v>_2.</v>
      </c>
    </row>
    <row r="7" spans="1:12" s="26" customFormat="1" ht="27" customHeight="1" x14ac:dyDescent="0.25">
      <c r="A7" s="41" t="s">
        <v>20</v>
      </c>
      <c r="B7" s="42"/>
      <c r="C7" s="29" t="str">
        <f>IFERROR(INDEX('Prix et modèle des ECF '!$A$3:$O$236,MATCH('Option C_CCE Model selection'!$B7,'Prix et modèle des ECF '!$E$3:$E$236,0),MATCH('Option C_CCE Model selection'!C$2,'Prix et modèle des ECF '!$A$3:$O$3,0)),"")</f>
        <v/>
      </c>
      <c r="D7" s="32" t="str">
        <f>IFERROR(INDEX('Prix et modèle des ECF '!$A$3:$O$236,MATCH('Option C_CCE Model selection'!$B7,'Prix et modèle des ECF '!$E$3:$E$236,0),MATCH('Option C_CCE Model selection'!D$2,'Prix et modèle des ECF '!$A$3:$O$3,0)),"")</f>
        <v/>
      </c>
      <c r="E7" s="32" t="str">
        <f>IFERROR(INDEX('Prix et modèle des ECF '!$A$3:$O$236,MATCH('Option C_CCE Model selection'!$B7,'Prix et modèle des ECF '!$E$3:$E$236,0),MATCH('Option C_CCE Model selection'!E$2,'Prix et modèle des ECF '!$A$3:$O$3,0)),"")</f>
        <v/>
      </c>
      <c r="F7" s="117" t="str">
        <f>IFERROR(INDEX('Prix et modèle des ECF '!$A$3:$O$236,MATCH('Option C_CCE Model selection'!$B7,'Prix et modèle des ECF '!$E$3:$E$236,0),MATCH('Option C_CCE Model selection'!F$2,'Prix et modèle des ECF '!$A$3:$O$3,0)),"")</f>
        <v/>
      </c>
      <c r="G7" s="54"/>
      <c r="H7" s="106" t="str">
        <f>IFERROR(IF(OR(EXACT(A7,'Prix et modèle des ECF '!$AB$14),EXACT(A7,'Prix et modèle des ECF '!$AB$16),EXACT(A7,'Prix et modèle des ECF '!$AB$17),EXACT(A7,'Prix et modèle des ECF '!$AB$18),EXACT(A7,'Prix et modèle des ECF '!$AB$19),EXACT(A7,'Prix et modèle des ECF '!$AB$20),EXACT(A7,'Prix et modèle des ECF '!$AB$21),EXACT(A7,'Prix et modèle des ECF '!$AB$22),EXACT(A7,'Prix et modèle des ECF '!$AB$23),EXACT(A7,'Prix et modèle des ECF '!$AB$24),EXACT(A7,'Prix et modèle des ECF '!$AB$25),EXACT(A7,'Prix et modèle des ECF '!$AB$26),EXACT(A7,'Prix et modèle des ECF '!$AB$27)),"N/A",G7+F7),"")</f>
        <v/>
      </c>
      <c r="I7" s="73"/>
      <c r="J7" s="74" t="str">
        <f t="shared" si="0"/>
        <v/>
      </c>
      <c r="K7" s="57"/>
      <c r="L7" s="144" t="str">
        <f t="shared" si="1"/>
        <v>_3.</v>
      </c>
    </row>
    <row r="8" spans="1:12" s="26" customFormat="1" ht="27" customHeight="1" x14ac:dyDescent="0.25">
      <c r="A8" s="41" t="s">
        <v>22</v>
      </c>
      <c r="B8" s="42"/>
      <c r="C8" s="29" t="str">
        <f>IFERROR(INDEX('Prix et modèle des ECF '!$A$3:$O$236,MATCH('Option C_CCE Model selection'!$B8,'Prix et modèle des ECF '!$E$3:$E$236,0),MATCH('Option C_CCE Model selection'!C$2,'Prix et modèle des ECF '!$A$3:$O$3,0)),"")</f>
        <v/>
      </c>
      <c r="D8" s="32" t="str">
        <f>IFERROR(INDEX('Prix et modèle des ECF '!$A$3:$O$236,MATCH('Option C_CCE Model selection'!$B8,'Prix et modèle des ECF '!$E$3:$E$236,0),MATCH('Option C_CCE Model selection'!D$2,'Prix et modèle des ECF '!$A$3:$O$3,0)),"")</f>
        <v/>
      </c>
      <c r="E8" s="32" t="str">
        <f>IFERROR(INDEX('Prix et modèle des ECF '!$A$3:$O$236,MATCH('Option C_CCE Model selection'!$B8,'Prix et modèle des ECF '!$E$3:$E$236,0),MATCH('Option C_CCE Model selection'!E$2,'Prix et modèle des ECF '!$A$3:$O$3,0)),"")</f>
        <v/>
      </c>
      <c r="F8" s="117" t="str">
        <f>IFERROR(INDEX('Prix et modèle des ECF '!$A$3:$O$236,MATCH('Option C_CCE Model selection'!$B8,'Prix et modèle des ECF '!$E$3:$E$236,0),MATCH('Option C_CCE Model selection'!F$2,'Prix et modèle des ECF '!$A$3:$O$3,0)),"")</f>
        <v/>
      </c>
      <c r="G8" s="54"/>
      <c r="H8" s="106" t="str">
        <f>IFERROR(IF(OR(EXACT(A8,'Prix et modèle des ECF '!$AB$14),EXACT(A8,'Prix et modèle des ECF '!$AB$16),EXACT(A8,'Prix et modèle des ECF '!$AB$17),EXACT(A8,'Prix et modèle des ECF '!$AB$18),EXACT(A8,'Prix et modèle des ECF '!$AB$19),EXACT(A8,'Prix et modèle des ECF '!$AB$20),EXACT(A8,'Prix et modèle des ECF '!$AB$21),EXACT(A8,'Prix et modèle des ECF '!$AB$22),EXACT(A8,'Prix et modèle des ECF '!$AB$23),EXACT(A8,'Prix et modèle des ECF '!$AB$24),EXACT(A8,'Prix et modèle des ECF '!$AB$25),EXACT(A8,'Prix et modèle des ECF '!$AB$26),EXACT(A8,'Prix et modèle des ECF '!$AB$27)),"N/A",G8+F8),"")</f>
        <v/>
      </c>
      <c r="I8" s="73"/>
      <c r="J8" s="74" t="str">
        <f t="shared" si="0"/>
        <v/>
      </c>
      <c r="K8" s="57"/>
      <c r="L8" s="144" t="str">
        <f t="shared" si="1"/>
        <v>_4.</v>
      </c>
    </row>
    <row r="9" spans="1:12" s="26" customFormat="1" ht="27" customHeight="1" x14ac:dyDescent="0.25">
      <c r="A9" s="43" t="s">
        <v>24</v>
      </c>
      <c r="B9" s="42"/>
      <c r="C9" s="29" t="str">
        <f>IFERROR(INDEX('Prix et modèle des ECF '!$A$3:$O$236,MATCH('Option C_CCE Model selection'!$B9,'Prix et modèle des ECF '!$E$3:$E$236,0),MATCH('Option C_CCE Model selection'!C$2,'Prix et modèle des ECF '!$A$3:$O$3,0)),"")</f>
        <v/>
      </c>
      <c r="D9" s="32" t="str">
        <f>IFERROR(INDEX('Prix et modèle des ECF '!$A$3:$O$236,MATCH('Option C_CCE Model selection'!$B9,'Prix et modèle des ECF '!$E$3:$E$236,0),MATCH('Option C_CCE Model selection'!D$2,'Prix et modèle des ECF '!$A$3:$O$3,0)),"")</f>
        <v/>
      </c>
      <c r="E9" s="32" t="str">
        <f>IFERROR(INDEX('Prix et modèle des ECF '!$A$3:$O$236,MATCH('Option C_CCE Model selection'!$B9,'Prix et modèle des ECF '!$E$3:$E$236,0),MATCH('Option C_CCE Model selection'!E$2,'Prix et modèle des ECF '!$A$3:$O$3,0)),"")</f>
        <v/>
      </c>
      <c r="F9" s="117" t="str">
        <f>IFERROR(INDEX('Prix et modèle des ECF '!$A$3:$O$236,MATCH('Option C_CCE Model selection'!$B9,'Prix et modèle des ECF '!$E$3:$E$236,0),MATCH('Option C_CCE Model selection'!F$2,'Prix et modèle des ECF '!$A$3:$O$3,0)),"")</f>
        <v/>
      </c>
      <c r="G9" s="54"/>
      <c r="H9" s="106" t="str">
        <f>IFERROR(IF(OR(EXACT(A9,'Prix et modèle des ECF '!$AB$14),EXACT(A9,'Prix et modèle des ECF '!$AB$16),EXACT(A9,'Prix et modèle des ECF '!$AB$17),EXACT(A9,'Prix et modèle des ECF '!$AB$18),EXACT(A9,'Prix et modèle des ECF '!$AB$19),EXACT(A9,'Prix et modèle des ECF '!$AB$20),EXACT(A9,'Prix et modèle des ECF '!$AB$21),EXACT(A9,'Prix et modèle des ECF '!$AB$22),EXACT(A9,'Prix et modèle des ECF '!$AB$23),EXACT(A9,'Prix et modèle des ECF '!$AB$24),EXACT(A9,'Prix et modèle des ECF '!$AB$25),EXACT(A9,'Prix et modèle des ECF '!$AB$26),EXACT(A9,'Prix et modèle des ECF '!$AB$27)),"N/A",G9+F9),"")</f>
        <v/>
      </c>
      <c r="I9" s="73"/>
      <c r="J9" s="74" t="str">
        <f t="shared" si="0"/>
        <v/>
      </c>
      <c r="K9" s="57"/>
      <c r="L9" s="144" t="str">
        <f t="shared" si="1"/>
        <v>_5.</v>
      </c>
    </row>
    <row r="10" spans="1:12" s="26" customFormat="1" ht="27" customHeight="1" x14ac:dyDescent="0.25">
      <c r="A10" s="44" t="s">
        <v>25</v>
      </c>
      <c r="B10" s="42"/>
      <c r="C10" s="29" t="str">
        <f>IFERROR(INDEX('Prix et modèle des ECF '!$A$3:$O$236,MATCH('Option C_CCE Model selection'!$B10,'Prix et modèle des ECF '!$E$3:$E$236,0),MATCH('Option C_CCE Model selection'!C$2,'Prix et modèle des ECF '!$A$3:$O$3,0)),"")</f>
        <v/>
      </c>
      <c r="D10" s="32" t="str">
        <f>IFERROR(INDEX('Prix et modèle des ECF '!$A$3:$O$236,MATCH('Option C_CCE Model selection'!$B10,'Prix et modèle des ECF '!$E$3:$E$236,0),MATCH('Option C_CCE Model selection'!D$2,'Prix et modèle des ECF '!$A$3:$O$3,0)),"")</f>
        <v/>
      </c>
      <c r="E10" s="32" t="str">
        <f>IFERROR(INDEX('Prix et modèle des ECF '!$A$3:$O$236,MATCH('Option C_CCE Model selection'!$B10,'Prix et modèle des ECF '!$E$3:$E$236,0),MATCH('Option C_CCE Model selection'!E$2,'Prix et modèle des ECF '!$A$3:$O$3,0)),"")</f>
        <v/>
      </c>
      <c r="F10" s="117" t="str">
        <f>IFERROR(INDEX('Prix et modèle des ECF '!$A$3:$O$236,MATCH('Option C_CCE Model selection'!$B10,'Prix et modèle des ECF '!$E$3:$E$236,0),MATCH('Option C_CCE Model selection'!F$2,'Prix et modèle des ECF '!$A$3:$O$3,0)),"")</f>
        <v/>
      </c>
      <c r="G10" s="54"/>
      <c r="H10" s="106" t="str">
        <f>IFERROR(IF(OR(EXACT(A10,'Prix et modèle des ECF '!$AB$14),EXACT(A10,'Prix et modèle des ECF '!$AB$16),EXACT(A10,'Prix et modèle des ECF '!$AB$17),EXACT(A10,'Prix et modèle des ECF '!$AB$18),EXACT(A10,'Prix et modèle des ECF '!$AB$19),EXACT(A10,'Prix et modèle des ECF '!$AB$20),EXACT(A10,'Prix et modèle des ECF '!$AB$21),EXACT(A10,'Prix et modèle des ECF '!$AB$22),EXACT(A10,'Prix et modèle des ECF '!$AB$23),EXACT(A10,'Prix et modèle des ECF '!$AB$24),EXACT(A10,'Prix et modèle des ECF '!$AB$25),EXACT(A10,'Prix et modèle des ECF '!$AB$26),EXACT(A10,'Prix et modèle des ECF '!$AB$27)),"N/A",G10+F10),"")</f>
        <v/>
      </c>
      <c r="I10" s="73"/>
      <c r="J10" s="74" t="str">
        <f t="shared" si="0"/>
        <v/>
      </c>
      <c r="K10" s="57"/>
      <c r="L10" s="144" t="str">
        <f t="shared" si="1"/>
        <v>_6.</v>
      </c>
    </row>
    <row r="11" spans="1:12" s="26" customFormat="1" ht="27" customHeight="1" x14ac:dyDescent="0.25">
      <c r="A11" s="44" t="s">
        <v>25</v>
      </c>
      <c r="B11" s="42"/>
      <c r="C11" s="29" t="str">
        <f>IFERROR(INDEX('Prix et modèle des ECF '!$A$3:$O$236,MATCH('Option C_CCE Model selection'!$B11,'Prix et modèle des ECF '!$E$3:$E$236,0),MATCH('Option C_CCE Model selection'!C$2,'Prix et modèle des ECF '!$A$3:$O$3,0)),"")</f>
        <v/>
      </c>
      <c r="D11" s="32" t="str">
        <f>IFERROR(INDEX('Prix et modèle des ECF '!$A$3:$O$236,MATCH('Option C_CCE Model selection'!$B11,'Prix et modèle des ECF '!$E$3:$E$236,0),MATCH('Option C_CCE Model selection'!D$2,'Prix et modèle des ECF '!$A$3:$O$3,0)),"")</f>
        <v/>
      </c>
      <c r="E11" s="32" t="str">
        <f>IFERROR(INDEX('Prix et modèle des ECF '!$A$3:$O$236,MATCH('Option C_CCE Model selection'!$B11,'Prix et modèle des ECF '!$E$3:$E$236,0),MATCH('Option C_CCE Model selection'!E$2,'Prix et modèle des ECF '!$A$3:$O$3,0)),"")</f>
        <v/>
      </c>
      <c r="F11" s="117" t="str">
        <f>IFERROR(INDEX('Prix et modèle des ECF '!$A$3:$O$236,MATCH('Option C_CCE Model selection'!$B11,'Prix et modèle des ECF '!$E$3:$E$236,0),MATCH('Option C_CCE Model selection'!F$2,'Prix et modèle des ECF '!$A$3:$O$3,0)),"")</f>
        <v/>
      </c>
      <c r="G11" s="54"/>
      <c r="H11" s="106" t="str">
        <f>IFERROR(IF(OR(EXACT(A11,'Prix et modèle des ECF '!$AB$14),EXACT(A11,'Prix et modèle des ECF '!$AB$16),EXACT(A11,'Prix et modèle des ECF '!$AB$17),EXACT(A11,'Prix et modèle des ECF '!$AB$18),EXACT(A11,'Prix et modèle des ECF '!$AB$19),EXACT(A11,'Prix et modèle des ECF '!$AB$20),EXACT(A11,'Prix et modèle des ECF '!$AB$21),EXACT(A11,'Prix et modèle des ECF '!$AB$22),EXACT(A11,'Prix et modèle des ECF '!$AB$23),EXACT(A11,'Prix et modèle des ECF '!$AB$24),EXACT(A11,'Prix et modèle des ECF '!$AB$25),EXACT(A11,'Prix et modèle des ECF '!$AB$26),EXACT(A11,'Prix et modèle des ECF '!$AB$27)),"N/A",G11+F11),"")</f>
        <v/>
      </c>
      <c r="I11" s="73"/>
      <c r="J11" s="74" t="str">
        <f t="shared" si="0"/>
        <v/>
      </c>
      <c r="K11" s="57"/>
      <c r="L11" s="144" t="str">
        <f t="shared" si="1"/>
        <v>_6.</v>
      </c>
    </row>
    <row r="12" spans="1:12" s="26" customFormat="1" ht="27" customHeight="1" x14ac:dyDescent="0.25">
      <c r="A12" s="44" t="s">
        <v>26</v>
      </c>
      <c r="B12" s="42"/>
      <c r="C12" s="29" t="str">
        <f>IFERROR(INDEX('Prix et modèle des ECF '!$A$3:$O$236,MATCH('Option C_CCE Model selection'!$B12,'Prix et modèle des ECF '!$E$3:$E$236,0),MATCH('Option C_CCE Model selection'!C$2,'Prix et modèle des ECF '!$A$3:$O$3,0)),"")</f>
        <v/>
      </c>
      <c r="D12" s="32" t="str">
        <f>IFERROR(INDEX('Prix et modèle des ECF '!$A$3:$O$236,MATCH('Option C_CCE Model selection'!$B12,'Prix et modèle des ECF '!$E$3:$E$236,0),MATCH('Option C_CCE Model selection'!D$2,'Prix et modèle des ECF '!$A$3:$O$3,0)),"")</f>
        <v/>
      </c>
      <c r="E12" s="32" t="str">
        <f>IFERROR(INDEX('Prix et modèle des ECF '!$A$3:$O$236,MATCH('Option C_CCE Model selection'!$B12,'Prix et modèle des ECF '!$E$3:$E$236,0),MATCH('Option C_CCE Model selection'!E$2,'Prix et modèle des ECF '!$A$3:$O$3,0)),"")</f>
        <v/>
      </c>
      <c r="F12" s="117" t="str">
        <f>IFERROR(INDEX('Prix et modèle des ECF '!$A$3:$O$236,MATCH('Option C_CCE Model selection'!$B12,'Prix et modèle des ECF '!$E$3:$E$236,0),MATCH('Option C_CCE Model selection'!F$2,'Prix et modèle des ECF '!$A$3:$O$3,0)),"")</f>
        <v/>
      </c>
      <c r="G12" s="54"/>
      <c r="H12" s="106" t="str">
        <f>IFERROR(IF(OR(EXACT(A12,'Prix et modèle des ECF '!$AB$14),EXACT(A12,'Prix et modèle des ECF '!$AB$16),EXACT(A12,'Prix et modèle des ECF '!$AB$17),EXACT(A12,'Prix et modèle des ECF '!$AB$18),EXACT(A12,'Prix et modèle des ECF '!$AB$19),EXACT(A12,'Prix et modèle des ECF '!$AB$20),EXACT(A12,'Prix et modèle des ECF '!$AB$21),EXACT(A12,'Prix et modèle des ECF '!$AB$22),EXACT(A12,'Prix et modèle des ECF '!$AB$23),EXACT(A12,'Prix et modèle des ECF '!$AB$24),EXACT(A12,'Prix et modèle des ECF '!$AB$25),EXACT(A12,'Prix et modèle des ECF '!$AB$26),EXACT(A12,'Prix et modèle des ECF '!$AB$27)),"N/A",G12+F12),"")</f>
        <v/>
      </c>
      <c r="I12" s="73"/>
      <c r="J12" s="74" t="str">
        <f t="shared" si="0"/>
        <v/>
      </c>
      <c r="K12" s="57"/>
      <c r="L12" s="144" t="str">
        <f t="shared" si="1"/>
        <v>_7.</v>
      </c>
    </row>
    <row r="13" spans="1:12" s="26" customFormat="1" ht="27" customHeight="1" x14ac:dyDescent="0.25">
      <c r="A13" s="45" t="s">
        <v>27</v>
      </c>
      <c r="B13" s="42"/>
      <c r="C13" s="29" t="str">
        <f>IFERROR(INDEX('Prix et modèle des ECF '!$A$3:$O$236,MATCH('Option C_CCE Model selection'!$B13,'Prix et modèle des ECF '!$E$3:$E$236,0),MATCH('Option C_CCE Model selection'!C$2,'Prix et modèle des ECF '!$A$3:$O$3,0)),"")</f>
        <v/>
      </c>
      <c r="D13" s="32" t="str">
        <f>IFERROR(INDEX('Prix et modèle des ECF '!$A$3:$O$236,MATCH('Option C_CCE Model selection'!$B13,'Prix et modèle des ECF '!$E$3:$E$236,0),MATCH('Option C_CCE Model selection'!D$2,'Prix et modèle des ECF '!$A$3:$O$3,0)),"")</f>
        <v/>
      </c>
      <c r="E13" s="32" t="str">
        <f>IFERROR(INDEX('Prix et modèle des ECF '!$A$3:$O$236,MATCH('Option C_CCE Model selection'!$B13,'Prix et modèle des ECF '!$E$3:$E$236,0),MATCH('Option C_CCE Model selection'!E$2,'Prix et modèle des ECF '!$A$3:$O$3,0)),"")</f>
        <v/>
      </c>
      <c r="F13" s="117" t="str">
        <f>IFERROR(INDEX('Prix et modèle des ECF '!$A$3:$O$236,MATCH('Option C_CCE Model selection'!$B13,'Prix et modèle des ECF '!$E$3:$E$236,0),MATCH('Option C_CCE Model selection'!F$2,'Prix et modèle des ECF '!$A$3:$O$3,0)),"")</f>
        <v/>
      </c>
      <c r="G13" s="54"/>
      <c r="H13" s="106" t="str">
        <f>IFERROR(IF(OR(EXACT(A13,'Prix et modèle des ECF '!$AB$14),EXACT(A13,'Prix et modèle des ECF '!$AB$16),EXACT(A13,'Prix et modèle des ECF '!$AB$17),EXACT(A13,'Prix et modèle des ECF '!$AB$18),EXACT(A13,'Prix et modèle des ECF '!$AB$19),EXACT(A13,'Prix et modèle des ECF '!$AB$20),EXACT(A13,'Prix et modèle des ECF '!$AB$21),EXACT(A13,'Prix et modèle des ECF '!$AB$22),EXACT(A13,'Prix et modèle des ECF '!$AB$23),EXACT(A13,'Prix et modèle des ECF '!$AB$24),EXACT(A13,'Prix et modèle des ECF '!$AB$25),EXACT(A13,'Prix et modèle des ECF '!$AB$26),EXACT(A13,'Prix et modèle des ECF '!$AB$27)),"N/A",G13+F13),"")</f>
        <v/>
      </c>
      <c r="I13" s="73"/>
      <c r="J13" s="74" t="str">
        <f t="shared" si="0"/>
        <v/>
      </c>
      <c r="K13" s="57"/>
      <c r="L13" s="144" t="str">
        <f t="shared" si="1"/>
        <v>_8.</v>
      </c>
    </row>
    <row r="14" spans="1:12" s="26" customFormat="1" ht="27" customHeight="1" x14ac:dyDescent="0.25">
      <c r="A14" s="46" t="s">
        <v>27</v>
      </c>
      <c r="B14" s="42"/>
      <c r="C14" s="29" t="str">
        <f>IFERROR(INDEX('Prix et modèle des ECF '!$A$3:$O$236,MATCH('Option C_CCE Model selection'!$B14,'Prix et modèle des ECF '!$E$3:$E$236,0),MATCH('Option C_CCE Model selection'!C$2,'Prix et modèle des ECF '!$A$3:$O$3,0)),"")</f>
        <v/>
      </c>
      <c r="D14" s="32" t="str">
        <f>IFERROR(INDEX('Prix et modèle des ECF '!$A$3:$O$236,MATCH('Option C_CCE Model selection'!$B14,'Prix et modèle des ECF '!$E$3:$E$236,0),MATCH('Option C_CCE Model selection'!D$2,'Prix et modèle des ECF '!$A$3:$O$3,0)),"")</f>
        <v/>
      </c>
      <c r="E14" s="32" t="str">
        <f>IFERROR(INDEX('Prix et modèle des ECF '!$A$3:$O$236,MATCH('Option C_CCE Model selection'!$B14,'Prix et modèle des ECF '!$E$3:$E$236,0),MATCH('Option C_CCE Model selection'!E$2,'Prix et modèle des ECF '!$A$3:$O$3,0)),"")</f>
        <v/>
      </c>
      <c r="F14" s="117" t="str">
        <f>IFERROR(INDEX('Prix et modèle des ECF '!$A$3:$O$236,MATCH('Option C_CCE Model selection'!$B14,'Prix et modèle des ECF '!$E$3:$E$236,0),MATCH('Option C_CCE Model selection'!F$2,'Prix et modèle des ECF '!$A$3:$O$3,0)),"")</f>
        <v/>
      </c>
      <c r="G14" s="54"/>
      <c r="H14" s="106" t="str">
        <f>IFERROR(IF(OR(EXACT(A14,'Prix et modèle des ECF '!$AB$14),EXACT(A14,'Prix et modèle des ECF '!$AB$16),EXACT(A14,'Prix et modèle des ECF '!$AB$17),EXACT(A14,'Prix et modèle des ECF '!$AB$18),EXACT(A14,'Prix et modèle des ECF '!$AB$19),EXACT(A14,'Prix et modèle des ECF '!$AB$20),EXACT(A14,'Prix et modèle des ECF '!$AB$21),EXACT(A14,'Prix et modèle des ECF '!$AB$22),EXACT(A14,'Prix et modèle des ECF '!$AB$23),EXACT(A14,'Prix et modèle des ECF '!$AB$24),EXACT(A14,'Prix et modèle des ECF '!$AB$25),EXACT(A14,'Prix et modèle des ECF '!$AB$26),EXACT(A14,'Prix et modèle des ECF '!$AB$27)),"N/A",G14+F14),"")</f>
        <v/>
      </c>
      <c r="I14" s="73"/>
      <c r="J14" s="74" t="str">
        <f t="shared" si="0"/>
        <v/>
      </c>
      <c r="K14" s="57"/>
      <c r="L14" s="144" t="str">
        <f t="shared" si="1"/>
        <v>_8.</v>
      </c>
    </row>
    <row r="15" spans="1:12" s="26" customFormat="1" ht="27" customHeight="1" x14ac:dyDescent="0.25">
      <c r="A15" s="46" t="s">
        <v>28</v>
      </c>
      <c r="B15" s="42"/>
      <c r="C15" s="29" t="str">
        <f>IFERROR(INDEX('Prix et modèle des ECF '!$A$3:$O$236,MATCH('Option C_CCE Model selection'!$B15,'Prix et modèle des ECF '!$E$3:$E$236,0),MATCH('Option C_CCE Model selection'!C$2,'Prix et modèle des ECF '!$A$3:$O$3,0)),"")</f>
        <v/>
      </c>
      <c r="D15" s="32" t="str">
        <f>IFERROR(INDEX('Prix et modèle des ECF '!$A$3:$O$236,MATCH('Option C_CCE Model selection'!$B15,'Prix et modèle des ECF '!$E$3:$E$236,0),MATCH('Option C_CCE Model selection'!D$2,'Prix et modèle des ECF '!$A$3:$O$3,0)),"")</f>
        <v/>
      </c>
      <c r="E15" s="32" t="str">
        <f>IFERROR(INDEX('Prix et modèle des ECF '!$A$3:$O$236,MATCH('Option C_CCE Model selection'!$B15,'Prix et modèle des ECF '!$E$3:$E$236,0),MATCH('Option C_CCE Model selection'!E$2,'Prix et modèle des ECF '!$A$3:$O$3,0)),"")</f>
        <v/>
      </c>
      <c r="F15" s="117" t="str">
        <f>IFERROR(INDEX('Prix et modèle des ECF '!$A$3:$O$236,MATCH('Option C_CCE Model selection'!$B15,'Prix et modèle des ECF '!$E$3:$E$236,0),MATCH('Option C_CCE Model selection'!F$2,'Prix et modèle des ECF '!$A$3:$O$3,0)),"")</f>
        <v/>
      </c>
      <c r="G15" s="54"/>
      <c r="H15" s="106" t="str">
        <f>IFERROR(IF(OR(EXACT(A15,'Prix et modèle des ECF '!$AB$14),EXACT(A15,'Prix et modèle des ECF '!$AB$16),EXACT(A15,'Prix et modèle des ECF '!$AB$17),EXACT(A15,'Prix et modèle des ECF '!$AB$18),EXACT(A15,'Prix et modèle des ECF '!$AB$19),EXACT(A15,'Prix et modèle des ECF '!$AB$20),EXACT(A15,'Prix et modèle des ECF '!$AB$21),EXACT(A15,'Prix et modèle des ECF '!$AB$22),EXACT(A15,'Prix et modèle des ECF '!$AB$23),EXACT(A15,'Prix et modèle des ECF '!$AB$24),EXACT(A15,'Prix et modèle des ECF '!$AB$25),EXACT(A15,'Prix et modèle des ECF '!$AB$26),EXACT(A15,'Prix et modèle des ECF '!$AB$27)),"N/A",G15+F15),"")</f>
        <v/>
      </c>
      <c r="I15" s="73"/>
      <c r="J15" s="74" t="str">
        <f t="shared" si="0"/>
        <v/>
      </c>
      <c r="K15" s="57"/>
      <c r="L15" s="144" t="str">
        <f t="shared" si="1"/>
        <v>_9.</v>
      </c>
    </row>
    <row r="16" spans="1:12" s="26" customFormat="1" ht="27" customHeight="1" x14ac:dyDescent="0.25">
      <c r="A16" s="46" t="s">
        <v>28</v>
      </c>
      <c r="B16" s="42"/>
      <c r="C16" s="29" t="str">
        <f>IFERROR(INDEX('Prix et modèle des ECF '!$A$3:$O$236,MATCH('Option C_CCE Model selection'!$B16,'Prix et modèle des ECF '!$E$3:$E$236,0),MATCH('Option C_CCE Model selection'!C$2,'Prix et modèle des ECF '!$A$3:$O$3,0)),"")</f>
        <v/>
      </c>
      <c r="D16" s="32" t="str">
        <f>IFERROR(INDEX('Prix et modèle des ECF '!$A$3:$O$236,MATCH('Option C_CCE Model selection'!$B16,'Prix et modèle des ECF '!$E$3:$E$236,0),MATCH('Option C_CCE Model selection'!D$2,'Prix et modèle des ECF '!$A$3:$O$3,0)),"")</f>
        <v/>
      </c>
      <c r="E16" s="32" t="str">
        <f>IFERROR(INDEX('Prix et modèle des ECF '!$A$3:$O$236,MATCH('Option C_CCE Model selection'!$B16,'Prix et modèle des ECF '!$E$3:$E$236,0),MATCH('Option C_CCE Model selection'!E$2,'Prix et modèle des ECF '!$A$3:$O$3,0)),"")</f>
        <v/>
      </c>
      <c r="F16" s="117" t="str">
        <f>IFERROR(INDEX('Prix et modèle des ECF '!$A$3:$O$236,MATCH('Option C_CCE Model selection'!$B16,'Prix et modèle des ECF '!$E$3:$E$236,0),MATCH('Option C_CCE Model selection'!F$2,'Prix et modèle des ECF '!$A$3:$O$3,0)),"")</f>
        <v/>
      </c>
      <c r="G16" s="54"/>
      <c r="H16" s="106" t="str">
        <f>IFERROR(IF(OR(EXACT(A16,'Prix et modèle des ECF '!$AB$14),EXACT(A16,'Prix et modèle des ECF '!$AB$16),EXACT(A16,'Prix et modèle des ECF '!$AB$17),EXACT(A16,'Prix et modèle des ECF '!$AB$18),EXACT(A16,'Prix et modèle des ECF '!$AB$19),EXACT(A16,'Prix et modèle des ECF '!$AB$20),EXACT(A16,'Prix et modèle des ECF '!$AB$21),EXACT(A16,'Prix et modèle des ECF '!$AB$22),EXACT(A16,'Prix et modèle des ECF '!$AB$23),EXACT(A16,'Prix et modèle des ECF '!$AB$24),EXACT(A16,'Prix et modèle des ECF '!$AB$25),EXACT(A16,'Prix et modèle des ECF '!$AB$26),EXACT(A16,'Prix et modèle des ECF '!$AB$27)),"N/A",G16+F16),"")</f>
        <v/>
      </c>
      <c r="I16" s="73"/>
      <c r="J16" s="74" t="str">
        <f t="shared" si="0"/>
        <v/>
      </c>
      <c r="K16" s="57"/>
      <c r="L16" s="144" t="str">
        <f t="shared" si="1"/>
        <v>_9.</v>
      </c>
    </row>
    <row r="17" spans="1:12" s="26" customFormat="1" ht="27" customHeight="1" x14ac:dyDescent="0.25">
      <c r="A17" s="46" t="s">
        <v>28</v>
      </c>
      <c r="B17" s="42"/>
      <c r="C17" s="29" t="str">
        <f>IFERROR(INDEX('Prix et modèle des ECF '!$A$3:$O$236,MATCH('Option C_CCE Model selection'!$B17,'Prix et modèle des ECF '!$E$3:$E$236,0),MATCH('Option C_CCE Model selection'!C$2,'Prix et modèle des ECF '!$A$3:$O$3,0)),"")</f>
        <v/>
      </c>
      <c r="D17" s="32" t="str">
        <f>IFERROR(INDEX('Prix et modèle des ECF '!$A$3:$O$236,MATCH('Option C_CCE Model selection'!$B17,'Prix et modèle des ECF '!$E$3:$E$236,0),MATCH('Option C_CCE Model selection'!D$2,'Prix et modèle des ECF '!$A$3:$O$3,0)),"")</f>
        <v/>
      </c>
      <c r="E17" s="32" t="str">
        <f>IFERROR(INDEX('Prix et modèle des ECF '!$A$3:$O$236,MATCH('Option C_CCE Model selection'!$B17,'Prix et modèle des ECF '!$E$3:$E$236,0),MATCH('Option C_CCE Model selection'!E$2,'Prix et modèle des ECF '!$A$3:$O$3,0)),"")</f>
        <v/>
      </c>
      <c r="F17" s="117" t="str">
        <f>IFERROR(INDEX('Prix et modèle des ECF '!$A$3:$O$236,MATCH('Option C_CCE Model selection'!$B17,'Prix et modèle des ECF '!$E$3:$E$236,0),MATCH('Option C_CCE Model selection'!F$2,'Prix et modèle des ECF '!$A$3:$O$3,0)),"")</f>
        <v/>
      </c>
      <c r="G17" s="54"/>
      <c r="H17" s="106" t="str">
        <f>IFERROR(IF(OR(EXACT(A17,'Prix et modèle des ECF '!$AB$14),EXACT(A17,'Prix et modèle des ECF '!$AB$16),EXACT(A17,'Prix et modèle des ECF '!$AB$17),EXACT(A17,'Prix et modèle des ECF '!$AB$18),EXACT(A17,'Prix et modèle des ECF '!$AB$19),EXACT(A17,'Prix et modèle des ECF '!$AB$20),EXACT(A17,'Prix et modèle des ECF '!$AB$21),EXACT(A17,'Prix et modèle des ECF '!$AB$22),EXACT(A17,'Prix et modèle des ECF '!$AB$23),EXACT(A17,'Prix et modèle des ECF '!$AB$24),EXACT(A17,'Prix et modèle des ECF '!$AB$25),EXACT(A17,'Prix et modèle des ECF '!$AB$26),EXACT(A17,'Prix et modèle des ECF '!$AB$27)),"N/A",G17+F17),"")</f>
        <v/>
      </c>
      <c r="I17" s="73"/>
      <c r="J17" s="74" t="str">
        <f t="shared" si="0"/>
        <v/>
      </c>
      <c r="K17" s="57"/>
      <c r="L17" s="144" t="str">
        <f t="shared" si="1"/>
        <v>_9.</v>
      </c>
    </row>
    <row r="18" spans="1:12" s="26" customFormat="1" ht="27" customHeight="1" x14ac:dyDescent="0.25">
      <c r="A18" s="47" t="s">
        <v>29</v>
      </c>
      <c r="B18" s="42"/>
      <c r="C18" s="29" t="str">
        <f>IFERROR(INDEX('Prix et modèle des ECF '!$A$3:$O$236,MATCH('Option C_CCE Model selection'!$B18,'Prix et modèle des ECF '!$E$3:$E$236,0),MATCH('Option C_CCE Model selection'!C$2,'Prix et modèle des ECF '!$A$3:$O$3,0)),"")</f>
        <v/>
      </c>
      <c r="D18" s="32" t="str">
        <f>IFERROR(INDEX('Prix et modèle des ECF '!$A$3:$O$236,MATCH('Option C_CCE Model selection'!$B18,'Prix et modèle des ECF '!$E$3:$E$236,0),MATCH('Option C_CCE Model selection'!D$2,'Prix et modèle des ECF '!$A$3:$O$3,0)),"")</f>
        <v/>
      </c>
      <c r="E18" s="32" t="str">
        <f>IFERROR(INDEX('Prix et modèle des ECF '!$A$3:$O$236,MATCH('Option C_CCE Model selection'!$B18,'Prix et modèle des ECF '!$E$3:$E$236,0),MATCH('Option C_CCE Model selection'!E$2,'Prix et modèle des ECF '!$A$3:$O$3,0)),"")</f>
        <v/>
      </c>
      <c r="F18" s="117" t="str">
        <f>IFERROR(INDEX('Prix et modèle des ECF '!$A$3:$O$236,MATCH('Option C_CCE Model selection'!$B18,'Prix et modèle des ECF '!$E$3:$E$236,0),MATCH('Option C_CCE Model selection'!F$2,'Prix et modèle des ECF '!$A$3:$O$3,0)),"")</f>
        <v/>
      </c>
      <c r="G18" s="54"/>
      <c r="H18" s="106" t="str">
        <f>IFERROR(IF(OR(EXACT(A18,'Prix et modèle des ECF '!$AB$14),EXACT(A18,'Prix et modèle des ECF '!$AB$16),EXACT(A18,'Prix et modèle des ECF '!$AB$17),EXACT(A18,'Prix et modèle des ECF '!$AB$18),EXACT(A18,'Prix et modèle des ECF '!$AB$19),EXACT(A18,'Prix et modèle des ECF '!$AB$20),EXACT(A18,'Prix et modèle des ECF '!$AB$21),EXACT(A18,'Prix et modèle des ECF '!$AB$22),EXACT(A18,'Prix et modèle des ECF '!$AB$23),EXACT(A18,'Prix et modèle des ECF '!$AB$24),EXACT(A18,'Prix et modèle des ECF '!$AB$25),EXACT(A18,'Prix et modèle des ECF '!$AB$26),EXACT(A18,'Prix et modèle des ECF '!$AB$27)),"N/A",G18+F18),"")</f>
        <v/>
      </c>
      <c r="I18" s="73"/>
      <c r="J18" s="74" t="str">
        <f t="shared" si="0"/>
        <v/>
      </c>
      <c r="K18" s="57"/>
      <c r="L18" s="144" t="str">
        <f t="shared" si="1"/>
        <v>_10</v>
      </c>
    </row>
    <row r="19" spans="1:12" s="26" customFormat="1" ht="27" customHeight="1" x14ac:dyDescent="0.25">
      <c r="A19" s="47" t="s">
        <v>29</v>
      </c>
      <c r="B19" s="42"/>
      <c r="C19" s="29" t="str">
        <f>IFERROR(INDEX('Prix et modèle des ECF '!$A$3:$O$236,MATCH('Option C_CCE Model selection'!$B19,'Prix et modèle des ECF '!$E$3:$E$236,0),MATCH('Option C_CCE Model selection'!C$2,'Prix et modèle des ECF '!$A$3:$O$3,0)),"")</f>
        <v/>
      </c>
      <c r="D19" s="32" t="str">
        <f>IFERROR(INDEX('Prix et modèle des ECF '!$A$3:$O$236,MATCH('Option C_CCE Model selection'!$B19,'Prix et modèle des ECF '!$E$3:$E$236,0),MATCH('Option C_CCE Model selection'!D$2,'Prix et modèle des ECF '!$A$3:$O$3,0)),"")</f>
        <v/>
      </c>
      <c r="E19" s="32" t="str">
        <f>IFERROR(INDEX('Prix et modèle des ECF '!$A$3:$O$236,MATCH('Option C_CCE Model selection'!$B19,'Prix et modèle des ECF '!$E$3:$E$236,0),MATCH('Option C_CCE Model selection'!E$2,'Prix et modèle des ECF '!$A$3:$O$3,0)),"")</f>
        <v/>
      </c>
      <c r="F19" s="117" t="str">
        <f>IFERROR(INDEX('Prix et modèle des ECF '!$A$3:$O$236,MATCH('Option C_CCE Model selection'!$B19,'Prix et modèle des ECF '!$E$3:$E$236,0),MATCH('Option C_CCE Model selection'!F$2,'Prix et modèle des ECF '!$A$3:$O$3,0)),"")</f>
        <v/>
      </c>
      <c r="G19" s="54"/>
      <c r="H19" s="106" t="str">
        <f>IFERROR(IF(OR(EXACT(A19,'Prix et modèle des ECF '!$AB$14),EXACT(A19,'Prix et modèle des ECF '!$AB$16),EXACT(A19,'Prix et modèle des ECF '!$AB$17),EXACT(A19,'Prix et modèle des ECF '!$AB$18),EXACT(A19,'Prix et modèle des ECF '!$AB$19),EXACT(A19,'Prix et modèle des ECF '!$AB$20),EXACT(A19,'Prix et modèle des ECF '!$AB$21),EXACT(A19,'Prix et modèle des ECF '!$AB$22),EXACT(A19,'Prix et modèle des ECF '!$AB$23),EXACT(A19,'Prix et modèle des ECF '!$AB$24),EXACT(A19,'Prix et modèle des ECF '!$AB$25),EXACT(A19,'Prix et modèle des ECF '!$AB$26),EXACT(A19,'Prix et modèle des ECF '!$AB$27)),"N/A",G19+F19),"")</f>
        <v/>
      </c>
      <c r="I19" s="73"/>
      <c r="J19" s="74" t="str">
        <f t="shared" si="0"/>
        <v/>
      </c>
      <c r="K19" s="57"/>
      <c r="L19" s="144" t="str">
        <f t="shared" si="1"/>
        <v>_10</v>
      </c>
    </row>
    <row r="20" spans="1:12" s="26" customFormat="1" ht="27" customHeight="1" x14ac:dyDescent="0.25">
      <c r="A20" s="48" t="s">
        <v>30</v>
      </c>
      <c r="B20" s="42"/>
      <c r="C20" s="29" t="str">
        <f>IFERROR(INDEX('Prix et modèle des ECF '!$A$3:$O$236,MATCH('Option C_CCE Model selection'!$B20,'Prix et modèle des ECF '!$E$3:$E$236,0),MATCH('Option C_CCE Model selection'!C$2,'Prix et modèle des ECF '!$A$3:$O$3,0)),"")</f>
        <v/>
      </c>
      <c r="D20" s="32" t="str">
        <f>IFERROR(INDEX('Prix et modèle des ECF '!$A$3:$O$236,MATCH('Option C_CCE Model selection'!$B20,'Prix et modèle des ECF '!$E$3:$E$236,0),MATCH('Option C_CCE Model selection'!D$2,'Prix et modèle des ECF '!$A$3:$O$3,0)),"")</f>
        <v/>
      </c>
      <c r="E20" s="32" t="str">
        <f>IFERROR(INDEX('Prix et modèle des ECF '!$A$3:$O$236,MATCH('Option C_CCE Model selection'!$B20,'Prix et modèle des ECF '!$E$3:$E$236,0),MATCH('Option C_CCE Model selection'!E$2,'Prix et modèle des ECF '!$A$3:$O$3,0)),"")</f>
        <v/>
      </c>
      <c r="F20" s="117" t="str">
        <f>IFERROR(INDEX('Prix et modèle des ECF '!$A$3:$O$236,MATCH('Option C_CCE Model selection'!$B20,'Prix et modèle des ECF '!$E$3:$E$236,0),MATCH('Option C_CCE Model selection'!F$2,'Prix et modèle des ECF '!$A$3:$O$3,0)),"")</f>
        <v/>
      </c>
      <c r="G20" s="157"/>
      <c r="H20" s="106" t="str">
        <f>IFERROR(IF(OR(EXACT(A20,'Prix et modèle des ECF '!$AB$14),EXACT(A20,'Prix et modèle des ECF '!$AB$16),EXACT(A20,'Prix et modèle des ECF '!$AB$17),EXACT(A20,'Prix et modèle des ECF '!$AB$18),EXACT(A20,'Prix et modèle des ECF '!$AB$19),EXACT(A20,'Prix et modèle des ECF '!$AB$20),EXACT(A20,'Prix et modèle des ECF '!$AB$21),EXACT(A20,'Prix et modèle des ECF '!$AB$22),EXACT(A20,'Prix et modèle des ECF '!$AB$23),EXACT(A20,'Prix et modèle des ECF '!$AB$24),EXACT(A20,'Prix et modèle des ECF '!$AB$25),EXACT(A20,'Prix et modèle des ECF '!$AB$26),EXACT(A20,'Prix et modèle des ECF '!$AB$27)),"N/A",G20+F20),"")</f>
        <v>N/A</v>
      </c>
      <c r="I20" s="73"/>
      <c r="J20" s="74" t="str">
        <f t="shared" si="0"/>
        <v/>
      </c>
      <c r="K20" s="57"/>
      <c r="L20" s="144" t="str">
        <f t="shared" si="1"/>
        <v>_11</v>
      </c>
    </row>
    <row r="21" spans="1:12" s="26" customFormat="1" ht="27" customHeight="1" x14ac:dyDescent="0.25">
      <c r="A21" s="49" t="s">
        <v>31</v>
      </c>
      <c r="B21" s="42"/>
      <c r="C21" s="29" t="str">
        <f>IFERROR(INDEX('Prix et modèle des ECF '!$A$3:$O$236,MATCH('Option C_CCE Model selection'!$B21,'Prix et modèle des ECF '!$E$3:$E$236,0),MATCH('Option C_CCE Model selection'!C$2,'Prix et modèle des ECF '!$A$3:$O$3,0)),"")</f>
        <v/>
      </c>
      <c r="D21" s="32" t="str">
        <f>IFERROR(INDEX('Prix et modèle des ECF '!$A$3:$O$236,MATCH('Option C_CCE Model selection'!$B21,'Prix et modèle des ECF '!$E$3:$E$236,0),MATCH('Option C_CCE Model selection'!D$2,'Prix et modèle des ECF '!$A$3:$O$3,0)),"")</f>
        <v/>
      </c>
      <c r="E21" s="32" t="str">
        <f>IFERROR(INDEX('Prix et modèle des ECF '!$A$3:$O$236,MATCH('Option C_CCE Model selection'!$B21,'Prix et modèle des ECF '!$E$3:$E$236,0),MATCH('Option C_CCE Model selection'!E$2,'Prix et modèle des ECF '!$A$3:$O$3,0)),"")</f>
        <v/>
      </c>
      <c r="F21" s="117" t="str">
        <f>IFERROR(INDEX('Prix et modèle des ECF '!$A$3:$O$236,MATCH('Option C_CCE Model selection'!$B21,'Prix et modèle des ECF '!$E$3:$E$236,0),MATCH('Option C_CCE Model selection'!F$2,'Prix et modèle des ECF '!$A$3:$O$3,0)),"")</f>
        <v/>
      </c>
      <c r="G21" s="54"/>
      <c r="H21" s="106" t="str">
        <f>IFERROR(IF(OR(EXACT(A21,'Prix et modèle des ECF '!$AB$14),EXACT(A21,'Prix et modèle des ECF '!$AB$16),EXACT(A21,'Prix et modèle des ECF '!$AB$17),EXACT(A21,'Prix et modèle des ECF '!$AB$18),EXACT(A21,'Prix et modèle des ECF '!$AB$19),EXACT(A21,'Prix et modèle des ECF '!$AB$20),EXACT(A21,'Prix et modèle des ECF '!$AB$21),EXACT(A21,'Prix et modèle des ECF '!$AB$22),EXACT(A21,'Prix et modèle des ECF '!$AB$23),EXACT(A21,'Prix et modèle des ECF '!$AB$24),EXACT(A21,'Prix et modèle des ECF '!$AB$25),EXACT(A21,'Prix et modèle des ECF '!$AB$26),EXACT(A21,'Prix et modèle des ECF '!$AB$27)),"N/A",G21+F21),"")</f>
        <v/>
      </c>
      <c r="I21" s="73"/>
      <c r="J21" s="74" t="str">
        <f t="shared" si="0"/>
        <v/>
      </c>
      <c r="K21" s="57"/>
      <c r="L21" s="144" t="str">
        <f t="shared" si="1"/>
        <v>_12</v>
      </c>
    </row>
    <row r="22" spans="1:12" s="26" customFormat="1" ht="27" customHeight="1" x14ac:dyDescent="0.25">
      <c r="A22" s="49" t="s">
        <v>31</v>
      </c>
      <c r="B22" s="42"/>
      <c r="C22" s="29" t="str">
        <f>IFERROR(INDEX('Prix et modèle des ECF '!$A$3:$O$236,MATCH('Option C_CCE Model selection'!$B22,'Prix et modèle des ECF '!$E$3:$E$236,0),MATCH('Option C_CCE Model selection'!C$2,'Prix et modèle des ECF '!$A$3:$O$3,0)),"")</f>
        <v/>
      </c>
      <c r="D22" s="32" t="str">
        <f>IFERROR(INDEX('Prix et modèle des ECF '!$A$3:$O$236,MATCH('Option C_CCE Model selection'!$B22,'Prix et modèle des ECF '!$E$3:$E$236,0),MATCH('Option C_CCE Model selection'!D$2,'Prix et modèle des ECF '!$A$3:$O$3,0)),"")</f>
        <v/>
      </c>
      <c r="E22" s="32" t="str">
        <f>IFERROR(INDEX('Prix et modèle des ECF '!$A$3:$O$236,MATCH('Option C_CCE Model selection'!$B22,'Prix et modèle des ECF '!$E$3:$E$236,0),MATCH('Option C_CCE Model selection'!E$2,'Prix et modèle des ECF '!$A$3:$O$3,0)),"")</f>
        <v/>
      </c>
      <c r="F22" s="117" t="str">
        <f>IFERROR(INDEX('Prix et modèle des ECF '!$A$3:$O$236,MATCH('Option C_CCE Model selection'!$B22,'Prix et modèle des ECF '!$E$3:$E$236,0),MATCH('Option C_CCE Model selection'!F$2,'Prix et modèle des ECF '!$A$3:$O$3,0)),"")</f>
        <v/>
      </c>
      <c r="G22" s="54"/>
      <c r="H22" s="106" t="str">
        <f>IFERROR(IF(OR(EXACT(A22,'Prix et modèle des ECF '!$AB$14),EXACT(A22,'Prix et modèle des ECF '!$AB$16),EXACT(A22,'Prix et modèle des ECF '!$AB$17),EXACT(A22,'Prix et modèle des ECF '!$AB$18),EXACT(A22,'Prix et modèle des ECF '!$AB$19),EXACT(A22,'Prix et modèle des ECF '!$AB$20),EXACT(A22,'Prix et modèle des ECF '!$AB$21),EXACT(A22,'Prix et modèle des ECF '!$AB$22),EXACT(A22,'Prix et modèle des ECF '!$AB$23),EXACT(A22,'Prix et modèle des ECF '!$AB$24),EXACT(A22,'Prix et modèle des ECF '!$AB$25),EXACT(A22,'Prix et modèle des ECF '!$AB$26),EXACT(A22,'Prix et modèle des ECF '!$AB$27)),"N/A",G22+F22),"")</f>
        <v/>
      </c>
      <c r="I22" s="73"/>
      <c r="J22" s="74" t="str">
        <f t="shared" si="0"/>
        <v/>
      </c>
      <c r="K22" s="57"/>
      <c r="L22" s="144" t="str">
        <f t="shared" si="1"/>
        <v>_12</v>
      </c>
    </row>
    <row r="23" spans="1:12" s="26" customFormat="1" ht="27" customHeight="1" x14ac:dyDescent="0.25">
      <c r="A23" s="49" t="s">
        <v>32</v>
      </c>
      <c r="B23" s="42"/>
      <c r="C23" s="29" t="str">
        <f>IFERROR(INDEX('Prix et modèle des ECF '!$A$3:$O$236,MATCH('Option C_CCE Model selection'!$B23,'Prix et modèle des ECF '!$E$3:$E$236,0),MATCH('Option C_CCE Model selection'!C$2,'Prix et modèle des ECF '!$A$3:$O$3,0)),"")</f>
        <v/>
      </c>
      <c r="D23" s="32" t="str">
        <f>IFERROR(INDEX('Prix et modèle des ECF '!$A$3:$O$236,MATCH('Option C_CCE Model selection'!$B23,'Prix et modèle des ECF '!$E$3:$E$236,0),MATCH('Option C_CCE Model selection'!D$2,'Prix et modèle des ECF '!$A$3:$O$3,0)),"")</f>
        <v/>
      </c>
      <c r="E23" s="32" t="str">
        <f>IFERROR(INDEX('Prix et modèle des ECF '!$A$3:$O$236,MATCH('Option C_CCE Model selection'!$B23,'Prix et modèle des ECF '!$E$3:$E$236,0),MATCH('Option C_CCE Model selection'!E$2,'Prix et modèle des ECF '!$A$3:$O$3,0)),"")</f>
        <v/>
      </c>
      <c r="F23" s="117" t="str">
        <f>IFERROR(INDEX('Prix et modèle des ECF '!$A$3:$O$236,MATCH('Option C_CCE Model selection'!$B23,'Prix et modèle des ECF '!$E$3:$E$236,0),MATCH('Option C_CCE Model selection'!F$2,'Prix et modèle des ECF '!$A$3:$O$3,0)),"")</f>
        <v/>
      </c>
      <c r="G23" s="157"/>
      <c r="H23" s="106" t="str">
        <f>IFERROR(IF(OR(EXACT(A23,'Prix et modèle des ECF '!$AB$14),EXACT(A23,'Prix et modèle des ECF '!$AB$16),EXACT(A23,'Prix et modèle des ECF '!$AB$17),EXACT(A23,'Prix et modèle des ECF '!$AB$18),EXACT(A23,'Prix et modèle des ECF '!$AB$19),EXACT(A23,'Prix et modèle des ECF '!$AB$20),EXACT(A23,'Prix et modèle des ECF '!$AB$21),EXACT(A23,'Prix et modèle des ECF '!$AB$22),EXACT(A23,'Prix et modèle des ECF '!$AB$23),EXACT(A23,'Prix et modèle des ECF '!$AB$24),EXACT(A23,'Prix et modèle des ECF '!$AB$25),EXACT(A23,'Prix et modèle des ECF '!$AB$26),EXACT(A23,'Prix et modèle des ECF '!$AB$27)),"N/A",G23+F23),"")</f>
        <v>N/A</v>
      </c>
      <c r="I23" s="73"/>
      <c r="J23" s="74" t="str">
        <f t="shared" si="0"/>
        <v/>
      </c>
      <c r="K23" s="57"/>
      <c r="L23" s="144" t="str">
        <f t="shared" si="1"/>
        <v>_13</v>
      </c>
    </row>
    <row r="24" spans="1:12" s="26" customFormat="1" ht="27" customHeight="1" x14ac:dyDescent="0.25">
      <c r="A24" s="49" t="s">
        <v>33</v>
      </c>
      <c r="B24" s="42"/>
      <c r="C24" s="29" t="str">
        <f>IFERROR(INDEX('Prix et modèle des ECF '!$A$3:$O$236,MATCH('Option C_CCE Model selection'!$B24,'Prix et modèle des ECF '!$E$3:$E$236,0),MATCH('Option C_CCE Model selection'!C$2,'Prix et modèle des ECF '!$A$3:$O$3,0)),"")</f>
        <v/>
      </c>
      <c r="D24" s="143" t="str">
        <f>IFERROR(INDEX('Prix et modèle des ECF '!$A$3:$O$236,MATCH('Option C_CCE Model selection'!$B24,'Prix et modèle des ECF '!$E$3:$E$236,0),MATCH('Option C_CCE Model selection'!D$2,'Prix et modèle des ECF '!$A$3:$O$3,0)),"")</f>
        <v/>
      </c>
      <c r="E24" s="32" t="str">
        <f>IFERROR(INDEX('Prix et modèle des ECF '!$A$3:$O$236,MATCH('Option C_CCE Model selection'!$B24,'Prix et modèle des ECF '!$E$3:$E$236,0),MATCH('Option C_CCE Model selection'!E$2,'Prix et modèle des ECF '!$A$3:$O$3,0)),"")</f>
        <v/>
      </c>
      <c r="F24" s="117" t="str">
        <f>IFERROR(INDEX('Prix et modèle des ECF '!$A$3:$O$236,MATCH('Option C_CCE Model selection'!$B24,'Prix et modèle des ECF '!$E$3:$E$236,0),MATCH('Option C_CCE Model selection'!F$2,'Prix et modèle des ECF '!$A$3:$O$3,0)),"")</f>
        <v/>
      </c>
      <c r="G24" s="157"/>
      <c r="H24" s="106" t="str">
        <f>IFERROR(IF(OR(EXACT(A24,'Prix et modèle des ECF '!$AB$14),EXACT(A24,'Prix et modèle des ECF '!$AB$16),EXACT(A24,'Prix et modèle des ECF '!$AB$17),EXACT(A24,'Prix et modèle des ECF '!$AB$18),EXACT(A24,'Prix et modèle des ECF '!$AB$19),EXACT(A24,'Prix et modèle des ECF '!$AB$20),EXACT(A24,'Prix et modèle des ECF '!$AB$21),EXACT(A24,'Prix et modèle des ECF '!$AB$22),EXACT(A24,'Prix et modèle des ECF '!$AB$23),EXACT(A24,'Prix et modèle des ECF '!$AB$24),EXACT(A24,'Prix et modèle des ECF '!$AB$25),EXACT(A24,'Prix et modèle des ECF '!$AB$26),EXACT(A24,'Prix et modèle des ECF '!$AB$27)),"N/A",G24+F24),"")</f>
        <v>N/A</v>
      </c>
      <c r="I24" s="73"/>
      <c r="J24" s="74" t="str">
        <f t="shared" si="0"/>
        <v/>
      </c>
      <c r="K24" s="57"/>
      <c r="L24" s="144" t="str">
        <f t="shared" si="1"/>
        <v>_14</v>
      </c>
    </row>
    <row r="25" spans="1:12" s="26" customFormat="1" ht="27" customHeight="1" x14ac:dyDescent="0.25">
      <c r="A25" s="50" t="s">
        <v>34</v>
      </c>
      <c r="B25" s="42"/>
      <c r="C25" s="29" t="str">
        <f>IFERROR(INDEX('Prix et modèle des ECF '!$A$3:$O$236,MATCH('Option C_CCE Model selection'!$B25,'Prix et modèle des ECF '!$E$3:$E$236,0),MATCH('Option C_CCE Model selection'!C$2,'Prix et modèle des ECF '!$A$3:$O$3,0)),"")</f>
        <v/>
      </c>
      <c r="D25" s="32" t="str">
        <f>IFERROR(INDEX('Prix et modèle des ECF '!$A$3:$O$236,MATCH('Option C_CCE Model selection'!$B25,'Prix et modèle des ECF '!$E$3:$E$236,0),MATCH('Option C_CCE Model selection'!D$2,'Prix et modèle des ECF '!$A$3:$O$3,0)),"")</f>
        <v/>
      </c>
      <c r="E25" s="32" t="str">
        <f>IFERROR(INDEX('Prix et modèle des ECF '!$A$3:$O$236,MATCH('Option C_CCE Model selection'!$B25,'Prix et modèle des ECF '!$E$3:$E$236,0),MATCH('Option C_CCE Model selection'!E$2,'Prix et modèle des ECF '!$A$3:$O$3,0)),"")</f>
        <v/>
      </c>
      <c r="F25" s="117" t="str">
        <f>IFERROR(INDEX('Prix et modèle des ECF '!$A$3:$O$236,MATCH('Option C_CCE Model selection'!$B25,'Prix et modèle des ECF '!$E$3:$E$236,0),MATCH('Option C_CCE Model selection'!F$2,'Prix et modèle des ECF '!$A$3:$O$3,0)),"")</f>
        <v/>
      </c>
      <c r="G25" s="157"/>
      <c r="H25" s="106" t="str">
        <f>IFERROR(IF(OR(EXACT(A25,'Prix et modèle des ECF '!$AB$14),EXACT(A25,'Prix et modèle des ECF '!$AB$16),EXACT(A25,'Prix et modèle des ECF '!$AB$17),EXACT(A25,'Prix et modèle des ECF '!$AB$18),EXACT(A25,'Prix et modèle des ECF '!$AB$19),EXACT(A25,'Prix et modèle des ECF '!$AB$20),EXACT(A25,'Prix et modèle des ECF '!$AB$21),EXACT(A25,'Prix et modèle des ECF '!$AB$22),EXACT(A25,'Prix et modèle des ECF '!$AB$23),EXACT(A25,'Prix et modèle des ECF '!$AB$24),EXACT(A25,'Prix et modèle des ECF '!$AB$25),EXACT(A25,'Prix et modèle des ECF '!$AB$26),EXACT(A25,'Prix et modèle des ECF '!$AB$27)),"N/A",G25+F25),"")</f>
        <v>N/A</v>
      </c>
      <c r="I25" s="73"/>
      <c r="J25" s="74" t="str">
        <f t="shared" si="0"/>
        <v/>
      </c>
      <c r="K25" s="57"/>
      <c r="L25" s="144" t="str">
        <f t="shared" si="1"/>
        <v>_15</v>
      </c>
    </row>
    <row r="26" spans="1:12" s="26" customFormat="1" ht="27" customHeight="1" x14ac:dyDescent="0.25">
      <c r="A26" s="50" t="s">
        <v>35</v>
      </c>
      <c r="B26" s="42"/>
      <c r="C26" s="29" t="str">
        <f>IFERROR(INDEX('Prix et modèle des ECF '!$A$3:$O$236,MATCH('Option C_CCE Model selection'!$B26,'Prix et modèle des ECF '!$E$3:$E$236,0),MATCH('Option C_CCE Model selection'!C$2,'Prix et modèle des ECF '!$A$3:$O$3,0)),"")</f>
        <v/>
      </c>
      <c r="D26" s="32" t="str">
        <f>IFERROR(INDEX('Prix et modèle des ECF '!$A$3:$O$236,MATCH('Option C_CCE Model selection'!$B26,'Prix et modèle des ECF '!$E$3:$E$236,0),MATCH('Option C_CCE Model selection'!D$2,'Prix et modèle des ECF '!$A$3:$O$3,0)),"")</f>
        <v/>
      </c>
      <c r="E26" s="32" t="str">
        <f>IFERROR(INDEX('Prix et modèle des ECF '!$A$3:$O$236,MATCH('Option C_CCE Model selection'!$B26,'Prix et modèle des ECF '!$E$3:$E$236,0),MATCH('Option C_CCE Model selection'!E$2,'Prix et modèle des ECF '!$A$3:$O$3,0)),"")</f>
        <v/>
      </c>
      <c r="F26" s="117" t="str">
        <f>IFERROR(INDEX('Prix et modèle des ECF '!$A$3:$O$236,MATCH('Option C_CCE Model selection'!$B26,'Prix et modèle des ECF '!$E$3:$E$236,0),MATCH('Option C_CCE Model selection'!F$2,'Prix et modèle des ECF '!$A$3:$O$3,0)),"")</f>
        <v/>
      </c>
      <c r="G26" s="157"/>
      <c r="H26" s="106" t="str">
        <f>IFERROR(IF(OR(EXACT(A26,'Prix et modèle des ECF '!$AB$14),EXACT(A26,'Prix et modèle des ECF '!$AB$16),EXACT(A26,'Prix et modèle des ECF '!$AB$17),EXACT(A26,'Prix et modèle des ECF '!$AB$18),EXACT(A26,'Prix et modèle des ECF '!$AB$19),EXACT(A26,'Prix et modèle des ECF '!$AB$20),EXACT(A26,'Prix et modèle des ECF '!$AB$21),EXACT(A26,'Prix et modèle des ECF '!$AB$22),EXACT(A26,'Prix et modèle des ECF '!$AB$23),EXACT(A26,'Prix et modèle des ECF '!$AB$24),EXACT(A26,'Prix et modèle des ECF '!$AB$25),EXACT(A26,'Prix et modèle des ECF '!$AB$26),EXACT(A26,'Prix et modèle des ECF '!$AB$27)),"N/A",G26+F26),"")</f>
        <v>N/A</v>
      </c>
      <c r="I26" s="73"/>
      <c r="J26" s="74" t="str">
        <f t="shared" si="0"/>
        <v/>
      </c>
      <c r="K26" s="57"/>
      <c r="L26" s="144" t="str">
        <f t="shared" si="1"/>
        <v>_16</v>
      </c>
    </row>
    <row r="27" spans="1:12" s="26" customFormat="1" ht="27" customHeight="1" x14ac:dyDescent="0.25">
      <c r="A27" s="51" t="s">
        <v>36</v>
      </c>
      <c r="B27" s="42"/>
      <c r="C27" s="29" t="str">
        <f>IFERROR(INDEX('Prix et modèle des ECF '!$A$3:$O$236,MATCH('Option C_CCE Model selection'!$B27,'Prix et modèle des ECF '!$E$3:$E$236,0),MATCH('Option C_CCE Model selection'!C$2,'Prix et modèle des ECF '!$A$3:$O$3,0)),"")</f>
        <v/>
      </c>
      <c r="D27" s="32" t="str">
        <f>IFERROR(INDEX('Prix et modèle des ECF '!$A$3:$O$236,MATCH('Option C_CCE Model selection'!$B27,'Prix et modèle des ECF '!$E$3:$E$236,0),MATCH('Option C_CCE Model selection'!D$2,'Prix et modèle des ECF '!$A$3:$O$3,0)),"")</f>
        <v/>
      </c>
      <c r="E27" s="32" t="str">
        <f>IFERROR(INDEX('Prix et modèle des ECF '!$A$3:$O$236,MATCH('Option C_CCE Model selection'!$B27,'Prix et modèle des ECF '!$E$3:$E$236,0),MATCH('Option C_CCE Model selection'!E$2,'Prix et modèle des ECF '!$A$3:$O$3,0)),"")</f>
        <v/>
      </c>
      <c r="F27" s="117" t="str">
        <f>IFERROR(INDEX('Prix et modèle des ECF '!$A$3:$O$236,MATCH('Option C_CCE Model selection'!$B27,'Prix et modèle des ECF '!$E$3:$E$236,0),MATCH('Option C_CCE Model selection'!F$2,'Prix et modèle des ECF '!$A$3:$O$3,0)),"")</f>
        <v/>
      </c>
      <c r="G27" s="157"/>
      <c r="H27" s="106" t="str">
        <f>IFERROR(IF(OR(EXACT(A27,'Prix et modèle des ECF '!$AB$14),EXACT(A27,'Prix et modèle des ECF '!$AB$16),EXACT(A27,'Prix et modèle des ECF '!$AB$17),EXACT(A27,'Prix et modèle des ECF '!$AB$18),EXACT(A27,'Prix et modèle des ECF '!$AB$19),EXACT(A27,'Prix et modèle des ECF '!$AB$20),EXACT(A27,'Prix et modèle des ECF '!$AB$21),EXACT(A27,'Prix et modèle des ECF '!$AB$22),EXACT(A27,'Prix et modèle des ECF '!$AB$23),EXACT(A27,'Prix et modèle des ECF '!$AB$24),EXACT(A27,'Prix et modèle des ECF '!$AB$25),EXACT(A27,'Prix et modèle des ECF '!$AB$26),EXACT(A27,'Prix et modèle des ECF '!$AB$27)),"N/A",G27+F27),"")</f>
        <v>N/A</v>
      </c>
      <c r="I27" s="73"/>
      <c r="J27" s="74" t="str">
        <f t="shared" si="0"/>
        <v/>
      </c>
      <c r="K27" s="57"/>
      <c r="L27" s="144" t="str">
        <f t="shared" si="1"/>
        <v>_17</v>
      </c>
    </row>
    <row r="28" spans="1:12" s="26" customFormat="1" ht="27" customHeight="1" x14ac:dyDescent="0.25">
      <c r="A28" s="52" t="s">
        <v>37</v>
      </c>
      <c r="B28" s="42"/>
      <c r="C28" s="29" t="str">
        <f>IFERROR(INDEX('Prix et modèle des ECF '!$A$3:$O$236,MATCH('Option C_CCE Model selection'!$B28,'Prix et modèle des ECF '!$E$3:$E$236,0),MATCH('Option C_CCE Model selection'!C$2,'Prix et modèle des ECF '!$A$3:$O$3,0)),"")</f>
        <v/>
      </c>
      <c r="D28" s="32" t="str">
        <f>IFERROR(INDEX('Prix et modèle des ECF '!$A$3:$O$236,MATCH('Option C_CCE Model selection'!$B28,'Prix et modèle des ECF '!$E$3:$E$236,0),MATCH('Option C_CCE Model selection'!D$2,'Prix et modèle des ECF '!$A$3:$O$3,0)),"")</f>
        <v/>
      </c>
      <c r="E28" s="32" t="str">
        <f>IFERROR(INDEX('Prix et modèle des ECF '!$A$3:$O$236,MATCH('Option C_CCE Model selection'!$B28,'Prix et modèle des ECF '!$E$3:$E$236,0),MATCH('Option C_CCE Model selection'!E$2,'Prix et modèle des ECF '!$A$3:$O$3,0)),"")</f>
        <v/>
      </c>
      <c r="F28" s="169" t="str">
        <f>IFERROR(INDEX('Prix et modèle des ECF '!$A$3:$O$236,MATCH('Option C_CCE Model selection'!$B28,'Prix et modèle des ECF '!$E$3:$E$236,0),MATCH('Option C_CCE Model selection'!F$2,'Prix et modèle des ECF '!$A$3:$O$3,0)),"")</f>
        <v/>
      </c>
      <c r="G28" s="157"/>
      <c r="H28" s="106" t="str">
        <f>IFERROR(IF(OR(EXACT(A28,'Prix et modèle des ECF '!$AB$14),EXACT(A28,'Prix et modèle des ECF '!$AB$16),EXACT(A28,'Prix et modèle des ECF '!$AB$17),EXACT(A28,'Prix et modèle des ECF '!$AB$18),EXACT(A28,'Prix et modèle des ECF '!$AB$19),EXACT(A28,'Prix et modèle des ECF '!$AB$20),EXACT(A28,'Prix et modèle des ECF '!$AB$21),EXACT(A28,'Prix et modèle des ECF '!$AB$22),EXACT(A28,'Prix et modèle des ECF '!$AB$23),EXACT(A28,'Prix et modèle des ECF '!$AB$24),EXACT(A28,'Prix et modèle des ECF '!$AB$25),EXACT(A28,'Prix et modèle des ECF '!$AB$26),EXACT(A28,'Prix et modèle des ECF '!$AB$27)),"N/A",G28+F28),"")</f>
        <v>N/A</v>
      </c>
      <c r="I28" s="73"/>
      <c r="J28" s="74" t="str">
        <f t="shared" si="0"/>
        <v/>
      </c>
      <c r="K28" s="57"/>
      <c r="L28" s="144" t="str">
        <f t="shared" si="1"/>
        <v>_18</v>
      </c>
    </row>
    <row r="29" spans="1:12" s="26" customFormat="1" ht="27" customHeight="1" x14ac:dyDescent="0.25">
      <c r="A29" s="53" t="s">
        <v>38</v>
      </c>
      <c r="B29" s="42"/>
      <c r="C29" s="29" t="str">
        <f>IFERROR(INDEX('Prix et modèle des ECF '!$A$3:$O$236,MATCH('Option C_CCE Model selection'!$B29,'Prix et modèle des ECF '!$E$3:$E$236,0),MATCH('Option C_CCE Model selection'!C$2,'Prix et modèle des ECF '!$A$3:$O$3,0)),"")</f>
        <v/>
      </c>
      <c r="D29" s="32" t="str">
        <f>IFERROR(INDEX('Prix et modèle des ECF '!$A$3:$O$236,MATCH('Option C_CCE Model selection'!$B29,'Prix et modèle des ECF '!$E$3:$E$236,0),MATCH('Option C_CCE Model selection'!D$2,'Prix et modèle des ECF '!$A$3:$O$3,0)),"")</f>
        <v/>
      </c>
      <c r="E29" s="32" t="str">
        <f>IFERROR(INDEX('Prix et modèle des ECF '!$A$3:$O$236,MATCH('Option C_CCE Model selection'!$B29,'Prix et modèle des ECF '!$E$3:$E$236,0),MATCH('Option C_CCE Model selection'!E$2,'Prix et modèle des ECF '!$A$3:$O$3,0)),"")</f>
        <v/>
      </c>
      <c r="F29" s="169" t="str">
        <f>IFERROR(INDEX('Prix et modèle des ECF '!$A$3:$O$236,MATCH('Option C_CCE Model selection'!$B29,'Prix et modèle des ECF '!$E$3:$E$236,0),MATCH('Option C_CCE Model selection'!F$2,'Prix et modèle des ECF '!$A$3:$O$3,0)),"")</f>
        <v/>
      </c>
      <c r="G29" s="157"/>
      <c r="H29" s="106" t="str">
        <f>IFERROR(IF(OR(EXACT(A29,'Prix et modèle des ECF '!$AB$14),EXACT(A29,'Prix et modèle des ECF '!$AB$16),EXACT(A29,'Prix et modèle des ECF '!$AB$17),EXACT(A29,'Prix et modèle des ECF '!$AB$18),EXACT(A29,'Prix et modèle des ECF '!$AB$19),EXACT(A29,'Prix et modèle des ECF '!$AB$20),EXACT(A29,'Prix et modèle des ECF '!$AB$21),EXACT(A29,'Prix et modèle des ECF '!$AB$22),EXACT(A29,'Prix et modèle des ECF '!$AB$23),EXACT(A29,'Prix et modèle des ECF '!$AB$24),EXACT(A29,'Prix et modèle des ECF '!$AB$25),EXACT(A29,'Prix et modèle des ECF '!$AB$26),EXACT(A29,'Prix et modèle des ECF '!$AB$27)),"N/A",G29+F29),"")</f>
        <v>N/A</v>
      </c>
      <c r="I29" s="73"/>
      <c r="J29" s="74" t="str">
        <f t="shared" si="0"/>
        <v/>
      </c>
      <c r="K29" s="57"/>
      <c r="L29" s="144" t="str">
        <f t="shared" si="1"/>
        <v>_19</v>
      </c>
    </row>
    <row r="30" spans="1:12" s="26" customFormat="1" ht="27" customHeight="1" x14ac:dyDescent="0.25">
      <c r="A30" s="53" t="s">
        <v>39</v>
      </c>
      <c r="B30" s="42"/>
      <c r="C30" s="29" t="str">
        <f>IFERROR(INDEX('Prix et modèle des ECF '!$A$3:$O$236,MATCH('Option C_CCE Model selection'!$B30,'Prix et modèle des ECF '!$E$3:$E$236,0),MATCH('Option C_CCE Model selection'!C$2,'Prix et modèle des ECF '!$A$3:$O$3,0)),"")</f>
        <v/>
      </c>
      <c r="D30" s="32" t="str">
        <f>IFERROR(INDEX('Prix et modèle des ECF '!$A$3:$O$236,MATCH('Option C_CCE Model selection'!$B30,'Prix et modèle des ECF '!$E$3:$E$236,0),MATCH('Option C_CCE Model selection'!D$2,'Prix et modèle des ECF '!$A$3:$O$3,0)),"")</f>
        <v/>
      </c>
      <c r="E30" s="32" t="str">
        <f>IFERROR(INDEX('Prix et modèle des ECF '!$A$3:$O$236,MATCH('Option C_CCE Model selection'!$B30,'Prix et modèle des ECF '!$E$3:$E$236,0),MATCH('Option C_CCE Model selection'!E$2,'Prix et modèle des ECF '!$A$3:$O$3,0)),"")</f>
        <v/>
      </c>
      <c r="F30" s="169" t="str">
        <f>IFERROR(INDEX('Prix et modèle des ECF '!$A$3:$O$236,MATCH('Option C_CCE Model selection'!$B30,'Prix et modèle des ECF '!$E$3:$E$236,0),MATCH('Option C_CCE Model selection'!F$2,'Prix et modèle des ECF '!$A$3:$O$3,0)),"")</f>
        <v/>
      </c>
      <c r="G30" s="157"/>
      <c r="H30" s="106" t="str">
        <f>IFERROR(IF(OR(EXACT(A30,'Prix et modèle des ECF '!$AB$14),EXACT(A30,'Prix et modèle des ECF '!$AB$16),EXACT(A30,'Prix et modèle des ECF '!$AB$17),EXACT(A30,'Prix et modèle des ECF '!$AB$18),EXACT(A30,'Prix et modèle des ECF '!$AB$19),EXACT(A30,'Prix et modèle des ECF '!$AB$20),EXACT(A30,'Prix et modèle des ECF '!$AB$21),EXACT(A30,'Prix et modèle des ECF '!$AB$22),EXACT(A30,'Prix et modèle des ECF '!$AB$23),EXACT(A30,'Prix et modèle des ECF '!$AB$24),EXACT(A30,'Prix et modèle des ECF '!$AB$25),EXACT(A30,'Prix et modèle des ECF '!$AB$26),EXACT(A30,'Prix et modèle des ECF '!$AB$27)),"N/A",G30+F30),"")</f>
        <v>N/A</v>
      </c>
      <c r="I30" s="73"/>
      <c r="J30" s="74" t="str">
        <f t="shared" si="0"/>
        <v/>
      </c>
      <c r="K30" s="57"/>
      <c r="L30" s="144" t="str">
        <f t="shared" si="1"/>
        <v>_20</v>
      </c>
    </row>
    <row r="31" spans="1:12" s="26" customFormat="1" ht="27" customHeight="1" x14ac:dyDescent="0.25">
      <c r="A31" s="109" t="s">
        <v>40</v>
      </c>
      <c r="B31" s="42"/>
      <c r="C31" s="29" t="str">
        <f>IFERROR(INDEX('Prix et modèle des ECF '!$A$3:$O$236,MATCH('Option C_CCE Model selection'!$B31,'Prix et modèle des ECF '!$E$3:$E$236,0),MATCH('Option C_CCE Model selection'!C$2,'Prix et modèle des ECF '!$A$3:$O$3,0)),"")</f>
        <v/>
      </c>
      <c r="D31" s="32" t="str">
        <f>IFERROR(INDEX('Prix et modèle des ECF '!$A$3:$O$236,MATCH('Option C_CCE Model selection'!$B31,'Prix et modèle des ECF '!$E$3:$E$236,0),MATCH('Option C_CCE Model selection'!D$2,'Prix et modèle des ECF '!$A$3:$O$3,0)),"")</f>
        <v/>
      </c>
      <c r="E31" s="32" t="str">
        <f>IFERROR(INDEX('Prix et modèle des ECF '!$A$3:$O$236,MATCH('Option C_CCE Model selection'!$B31,'Prix et modèle des ECF '!$E$3:$E$236,0),MATCH('Option C_CCE Model selection'!E$2,'Prix et modèle des ECF '!$A$3:$O$3,0)),"")</f>
        <v/>
      </c>
      <c r="F31" s="169" t="str">
        <f>IFERROR(INDEX('Prix et modèle des ECF '!$A$3:$O$236,MATCH('Option C_CCE Model selection'!$B31,'Prix et modèle des ECF '!$E$3:$E$236,0),MATCH('Option C_CCE Model selection'!F$2,'Prix et modèle des ECF '!$A$3:$O$3,0)),"")</f>
        <v/>
      </c>
      <c r="G31" s="157"/>
      <c r="H31" s="106" t="str">
        <f>IFERROR(IF(OR(EXACT(A31,'Prix et modèle des ECF '!$AB$14),EXACT(A31,'Prix et modèle des ECF '!$AB$16),EXACT(A31,'Prix et modèle des ECF '!$AB$17),EXACT(A31,'Prix et modèle des ECF '!$AB$18),EXACT(A31,'Prix et modèle des ECF '!$AB$19),EXACT(A31,'Prix et modèle des ECF '!$AB$20),EXACT(A31,'Prix et modèle des ECF '!$AB$21),EXACT(A31,'Prix et modèle des ECF '!$AB$22),EXACT(A31,'Prix et modèle des ECF '!$AB$23),EXACT(A31,'Prix et modèle des ECF '!$AB$24),EXACT(A31,'Prix et modèle des ECF '!$AB$25),EXACT(A31,'Prix et modèle des ECF '!$AB$26),EXACT(A31,'Prix et modèle des ECF '!$AB$27)),"N/A",G31+F31),"")</f>
        <v>N/A</v>
      </c>
      <c r="I31" s="73"/>
      <c r="J31" s="74"/>
      <c r="K31" s="57"/>
      <c r="L31" s="144"/>
    </row>
    <row r="32" spans="1:12" s="26" customFormat="1" ht="27" customHeight="1" x14ac:dyDescent="0.25">
      <c r="A32" s="109" t="s">
        <v>41</v>
      </c>
      <c r="B32" s="42"/>
      <c r="C32" s="29" t="str">
        <f>IFERROR(INDEX('Prix et modèle des ECF '!$A$3:$O$236,MATCH('Option C_CCE Model selection'!$B32,'Prix et modèle des ECF '!$E$3:$E$236,0),MATCH('Option C_CCE Model selection'!C$2,'Prix et modèle des ECF '!$A$3:$O$3,0)),"")</f>
        <v/>
      </c>
      <c r="D32" s="32" t="str">
        <f>IFERROR(INDEX('Prix et modèle des ECF '!$A$3:$O$236,MATCH('Option C_CCE Model selection'!$B32,'Prix et modèle des ECF '!$E$3:$E$236,0),MATCH('Option C_CCE Model selection'!D$2,'Prix et modèle des ECF '!$A$3:$O$3,0)),"")</f>
        <v/>
      </c>
      <c r="E32" s="32" t="str">
        <f>IFERROR(INDEX('Prix et modèle des ECF '!$A$3:$O$236,MATCH('Option C_CCE Model selection'!$B32,'Prix et modèle des ECF '!$E$3:$E$236,0),MATCH('Option C_CCE Model selection'!E$2,'Prix et modèle des ECF '!$A$3:$O$3,0)),"")</f>
        <v/>
      </c>
      <c r="F32" s="169" t="str">
        <f>IFERROR(INDEX('Prix et modèle des ECF '!$A$3:$O$236,MATCH('Option C_CCE Model selection'!$B32,'Prix et modèle des ECF '!$E$3:$E$236,0),MATCH('Option C_CCE Model selection'!F$2,'Prix et modèle des ECF '!$A$3:$O$3,0)),"")</f>
        <v/>
      </c>
      <c r="G32" s="157"/>
      <c r="H32" s="106" t="str">
        <f>IFERROR(IF(OR(EXACT(A32,'Prix et modèle des ECF '!$AB$14),EXACT(A32,'Prix et modèle des ECF '!$AB$16),EXACT(A32,'Prix et modèle des ECF '!$AB$17),EXACT(A32,'Prix et modèle des ECF '!$AB$18),EXACT(A32,'Prix et modèle des ECF '!$AB$19),EXACT(A32,'Prix et modèle des ECF '!$AB$20),EXACT(A32,'Prix et modèle des ECF '!$AB$21),EXACT(A32,'Prix et modèle des ECF '!$AB$22),EXACT(A32,'Prix et modèle des ECF '!$AB$23),EXACT(A32,'Prix et modèle des ECF '!$AB$24),EXACT(A32,'Prix et modèle des ECF '!$AB$25),EXACT(A32,'Prix et modèle des ECF '!$AB$26),EXACT(A32,'Prix et modèle des ECF '!$AB$27)),"N/A",G32+F32),"")</f>
        <v>N/A</v>
      </c>
      <c r="I32" s="73"/>
      <c r="J32" s="74" t="str">
        <f t="shared" si="0"/>
        <v/>
      </c>
      <c r="K32" s="57"/>
      <c r="L32" s="144" t="str">
        <f t="shared" si="1"/>
        <v>_22</v>
      </c>
    </row>
    <row r="33" spans="1:12" s="26" customFormat="1" ht="27" customHeight="1" x14ac:dyDescent="0.25">
      <c r="A33" s="109" t="s">
        <v>42</v>
      </c>
      <c r="B33" s="42"/>
      <c r="C33" s="29" t="str">
        <f>IFERROR(INDEX('Prix et modèle des ECF '!$A$3:$O$236,MATCH('Option C_CCE Model selection'!$B33,'Prix et modèle des ECF '!$E$3:$E$236,0),MATCH('Option C_CCE Model selection'!C$2,'Prix et modèle des ECF '!$A$3:$O$3,0)),"")</f>
        <v/>
      </c>
      <c r="D33" s="32" t="str">
        <f>IFERROR(INDEX('Prix et modèle des ECF '!$A$3:$O$236,MATCH('Option C_CCE Model selection'!$B33,'Prix et modèle des ECF '!$E$3:$E$236,0),MATCH('Option C_CCE Model selection'!D$2,'Prix et modèle des ECF '!$A$3:$O$3,0)),"")</f>
        <v/>
      </c>
      <c r="E33" s="32" t="str">
        <f>IFERROR(INDEX('Prix et modèle des ECF '!$A$3:$O$236,MATCH('Option C_CCE Model selection'!$B33,'Prix et modèle des ECF '!$E$3:$E$236,0),MATCH('Option C_CCE Model selection'!E$2,'Prix et modèle des ECF '!$A$3:$O$3,0)),"")</f>
        <v/>
      </c>
      <c r="F33" s="169" t="str">
        <f>IFERROR(INDEX('Prix et modèle des ECF '!$A$3:$O$236,MATCH('Option C_CCE Model selection'!$B33,'Prix et modèle des ECF '!$E$3:$E$236,0),MATCH('Option C_CCE Model selection'!F$2,'Prix et modèle des ECF '!$A$3:$O$3,0)),"")</f>
        <v/>
      </c>
      <c r="G33" s="157"/>
      <c r="H33" s="106" t="str">
        <f>IFERROR(IF(OR(EXACT(A33,'Prix et modèle des ECF '!$AB$14),EXACT(A33,'Prix et modèle des ECF '!$AB$16),EXACT(A33,'Prix et modèle des ECF '!$AB$17),EXACT(A33,'Prix et modèle des ECF '!$AB$18),EXACT(A33,'Prix et modèle des ECF '!$AB$19),EXACT(A33,'Prix et modèle des ECF '!$AB$20),EXACT(A33,'Prix et modèle des ECF '!$AB$21),EXACT(A33,'Prix et modèle des ECF '!$AB$22),EXACT(A33,'Prix et modèle des ECF '!$AB$23),EXACT(A33,'Prix et modèle des ECF '!$AB$24),EXACT(A33,'Prix et modèle des ECF '!$AB$25),EXACT(A33,'Prix et modèle des ECF '!$AB$26),EXACT(A33,'Prix et modèle des ECF '!$AB$27)),"N/A",G33+F33),"")</f>
        <v>N/A</v>
      </c>
      <c r="I33" s="73"/>
      <c r="J33" s="74" t="str">
        <f t="shared" si="0"/>
        <v/>
      </c>
      <c r="K33" s="57"/>
      <c r="L33" s="144" t="str">
        <f t="shared" si="1"/>
        <v>_23</v>
      </c>
    </row>
    <row r="34" spans="1:12" s="26" customFormat="1" ht="27" customHeight="1" x14ac:dyDescent="0.25">
      <c r="A34" s="109" t="s">
        <v>43</v>
      </c>
      <c r="B34" s="42"/>
      <c r="C34" s="29" t="str">
        <f>IFERROR(INDEX('Prix et modèle des ECF '!$A$3:$O$236,MATCH('Option C_CCE Model selection'!$B34,'Prix et modèle des ECF '!$E$3:$E$236,0),MATCH('Option C_CCE Model selection'!C$2,'Prix et modèle des ECF '!$A$3:$O$3,0)),"")</f>
        <v/>
      </c>
      <c r="D34" s="32" t="str">
        <f>IFERROR(INDEX('Prix et modèle des ECF '!$A$3:$O$236,MATCH('Option C_CCE Model selection'!$B34,'Prix et modèle des ECF '!$E$3:$E$236,0),MATCH('Option C_CCE Model selection'!D$2,'Prix et modèle des ECF '!$A$3:$O$3,0)),"")</f>
        <v/>
      </c>
      <c r="E34" s="32" t="str">
        <f>IFERROR(INDEX('Prix et modèle des ECF '!$A$3:$O$236,MATCH('Option C_CCE Model selection'!$B34,'Prix et modèle des ECF '!$E$3:$E$236,0),MATCH('Option C_CCE Model selection'!E$2,'Prix et modèle des ECF '!$A$3:$O$3,0)),"")</f>
        <v/>
      </c>
      <c r="F34" s="169" t="str">
        <f>IFERROR(INDEX('Prix et modèle des ECF '!$A$3:$O$236,MATCH('Option C_CCE Model selection'!$B34,'Prix et modèle des ECF '!$E$3:$E$236,0),MATCH('Option C_CCE Model selection'!F$2,'Prix et modèle des ECF '!$A$3:$O$3,0)),"")</f>
        <v/>
      </c>
      <c r="G34" s="157"/>
      <c r="H34" s="106" t="str">
        <f>IFERROR(IF(OR(EXACT(A34,'Prix et modèle des ECF '!$AB$14),EXACT(A34,'Prix et modèle des ECF '!$AB$16),EXACT(A34,'Prix et modèle des ECF '!$AB$17),EXACT(A34,'Prix et modèle des ECF '!$AB$18),EXACT(A34,'Prix et modèle des ECF '!$AB$19),EXACT(A34,'Prix et modèle des ECF '!$AB$20),EXACT(A34,'Prix et modèle des ECF '!$AB$21),EXACT(A34,'Prix et modèle des ECF '!$AB$22),EXACT(A34,'Prix et modèle des ECF '!$AB$23),EXACT(A34,'Prix et modèle des ECF '!$AB$24),EXACT(A34,'Prix et modèle des ECF '!$AB$25),EXACT(A34,'Prix et modèle des ECF '!$AB$26),EXACT(A34,'Prix et modèle des ECF '!$AB$27)),"N/A",G34+F34),"")</f>
        <v>N/A</v>
      </c>
      <c r="I34" s="73"/>
      <c r="J34" s="74" t="str">
        <f t="shared" si="0"/>
        <v/>
      </c>
      <c r="K34" s="57"/>
      <c r="L34" s="144" t="str">
        <f t="shared" si="1"/>
        <v>_24</v>
      </c>
    </row>
    <row r="35" spans="1:12" s="26" customFormat="1" ht="15" x14ac:dyDescent="0.25">
      <c r="A35" s="314" t="s">
        <v>44</v>
      </c>
      <c r="B35" s="315"/>
      <c r="C35" s="315"/>
      <c r="D35" s="315"/>
      <c r="E35" s="315"/>
      <c r="F35" s="315"/>
      <c r="G35" s="315"/>
      <c r="H35" s="315"/>
      <c r="I35" s="331">
        <f>SUM(J4:J34)-SUMIF(L4:L34,"_3.",J4:J34)-SUMIF(L4:L34,"_4.",J4:J34)</f>
        <v>0</v>
      </c>
      <c r="J35" s="332"/>
      <c r="K35" s="59"/>
      <c r="L35" s="57"/>
    </row>
    <row r="36" spans="1:12" ht="15" x14ac:dyDescent="0.25">
      <c r="D36"/>
      <c r="E36"/>
      <c r="F36"/>
      <c r="G36"/>
      <c r="H36"/>
      <c r="I36"/>
      <c r="J36"/>
      <c r="K36"/>
      <c r="L36"/>
    </row>
    <row r="37" spans="1:12" s="26" customFormat="1" ht="15" customHeight="1" x14ac:dyDescent="0.25">
      <c r="A37" s="309" t="s">
        <v>241</v>
      </c>
      <c r="B37" s="310"/>
      <c r="C37" s="310"/>
      <c r="D37" s="310"/>
      <c r="E37" s="310"/>
      <c r="F37" s="310"/>
      <c r="G37" s="310"/>
      <c r="H37" s="311"/>
      <c r="I37" s="312">
        <v>1000</v>
      </c>
      <c r="J37" s="313"/>
      <c r="K37" s="59"/>
      <c r="L37" s="57"/>
    </row>
    <row r="38" spans="1:12" s="26" customFormat="1" ht="15" customHeight="1" x14ac:dyDescent="0.25">
      <c r="A38" s="309" t="s">
        <v>242</v>
      </c>
      <c r="B38" s="310"/>
      <c r="C38" s="310"/>
      <c r="D38" s="310"/>
      <c r="E38" s="310"/>
      <c r="F38" s="310"/>
      <c r="G38" s="310"/>
      <c r="H38" s="311"/>
      <c r="I38" s="312">
        <v>150</v>
      </c>
      <c r="J38" s="313"/>
      <c r="K38" s="59"/>
      <c r="L38" s="57"/>
    </row>
    <row r="39" spans="1:12" s="26" customFormat="1" ht="15" customHeight="1" x14ac:dyDescent="0.25">
      <c r="A39" s="309" t="s">
        <v>243</v>
      </c>
      <c r="B39" s="310"/>
      <c r="C39" s="310"/>
      <c r="D39" s="310"/>
      <c r="E39" s="310"/>
      <c r="F39" s="310"/>
      <c r="G39" s="310"/>
      <c r="H39" s="311"/>
      <c r="I39" s="312">
        <v>150</v>
      </c>
      <c r="J39" s="313"/>
      <c r="K39" s="59"/>
      <c r="L39" s="57"/>
    </row>
    <row r="40" spans="1:12" s="26" customFormat="1" ht="15" customHeight="1" x14ac:dyDescent="0.25">
      <c r="A40" s="309" t="s">
        <v>244</v>
      </c>
      <c r="B40" s="310"/>
      <c r="C40" s="310"/>
      <c r="D40" s="310"/>
      <c r="E40" s="310"/>
      <c r="F40" s="310"/>
      <c r="G40" s="310"/>
      <c r="H40" s="311"/>
      <c r="I40" s="312">
        <v>150</v>
      </c>
      <c r="J40" s="313"/>
      <c r="K40" s="59"/>
      <c r="L40" s="57"/>
    </row>
    <row r="41" spans="1:12" s="26" customFormat="1" ht="15" customHeight="1" x14ac:dyDescent="0.25">
      <c r="A41" s="309" t="s">
        <v>245</v>
      </c>
      <c r="B41" s="310"/>
      <c r="C41" s="310"/>
      <c r="D41" s="310"/>
      <c r="E41" s="310"/>
      <c r="F41" s="310"/>
      <c r="G41" s="310"/>
      <c r="H41" s="311"/>
      <c r="I41" s="312">
        <v>2</v>
      </c>
      <c r="J41" s="313"/>
      <c r="K41" s="59"/>
      <c r="L41" s="57"/>
    </row>
    <row r="42" spans="1:12" s="26" customFormat="1" ht="15" customHeight="1" x14ac:dyDescent="0.25">
      <c r="A42" s="309" t="s">
        <v>246</v>
      </c>
      <c r="B42" s="310"/>
      <c r="C42" s="310"/>
      <c r="D42" s="310"/>
      <c r="E42" s="310"/>
      <c r="F42" s="310"/>
      <c r="G42" s="310"/>
      <c r="H42" s="311"/>
      <c r="I42" s="312">
        <v>10</v>
      </c>
      <c r="J42" s="313"/>
      <c r="K42" s="59"/>
      <c r="L42" s="57"/>
    </row>
    <row r="43" spans="1:12" s="26" customFormat="1" ht="15" customHeight="1" x14ac:dyDescent="0.25">
      <c r="A43" s="309" t="s">
        <v>247</v>
      </c>
      <c r="B43" s="310"/>
      <c r="C43" s="310"/>
      <c r="D43" s="310"/>
      <c r="E43" s="310"/>
      <c r="F43" s="310"/>
      <c r="G43" s="310"/>
      <c r="H43" s="311"/>
      <c r="I43" s="312">
        <v>60</v>
      </c>
      <c r="J43" s="313"/>
      <c r="K43" s="59"/>
      <c r="L43" s="57"/>
    </row>
    <row r="44" spans="1:12" s="26" customFormat="1" ht="15" customHeight="1" x14ac:dyDescent="0.25">
      <c r="A44" s="309" t="s">
        <v>248</v>
      </c>
      <c r="B44" s="310"/>
      <c r="C44" s="310"/>
      <c r="D44" s="310"/>
      <c r="E44" s="310"/>
      <c r="F44" s="310"/>
      <c r="G44" s="310"/>
      <c r="H44" s="311"/>
      <c r="I44" s="352">
        <v>0.1</v>
      </c>
      <c r="J44" s="353"/>
      <c r="K44" s="59"/>
      <c r="L44" s="57"/>
    </row>
    <row r="45" spans="1:12" ht="15" customHeight="1" x14ac:dyDescent="0.25">
      <c r="A45" s="349" t="s">
        <v>45</v>
      </c>
      <c r="B45" s="350"/>
      <c r="C45" s="350"/>
      <c r="D45" s="350"/>
      <c r="E45" s="350"/>
      <c r="F45" s="350"/>
      <c r="G45" s="350"/>
      <c r="H45" s="351"/>
      <c r="I45" s="338">
        <f>(I37*SUM(I$4:I$6))+(I38*SUM($I$9:$I$19))+(I39*I20)+(I40*SUM($I$21:$I$22))+(I41*SUM($I$23:$I$24))+(I42*SUM($I$25:$I$26))+(I43*$I$27)+(I44*$I$28)</f>
        <v>0</v>
      </c>
      <c r="J45" s="339"/>
    </row>
    <row r="46" spans="1:12" s="59" customFormat="1" ht="15" x14ac:dyDescent="0.25">
      <c r="D46" s="58"/>
      <c r="E46" s="58"/>
      <c r="F46" s="58"/>
      <c r="G46" s="58"/>
      <c r="H46" s="58"/>
      <c r="I46" s="58"/>
      <c r="J46" s="58"/>
    </row>
    <row r="47" spans="1:12" s="26" customFormat="1" ht="15" customHeight="1" x14ac:dyDescent="0.25">
      <c r="A47" s="333" t="s">
        <v>46</v>
      </c>
      <c r="B47" s="334"/>
      <c r="C47" s="334"/>
      <c r="D47" s="334"/>
      <c r="E47" s="334"/>
      <c r="F47" s="334"/>
      <c r="G47" s="334"/>
      <c r="H47" s="334"/>
      <c r="I47" s="331">
        <f>I35*1.06+I45</f>
        <v>0</v>
      </c>
      <c r="J47" s="332"/>
      <c r="K47" s="59"/>
      <c r="L47" s="57"/>
    </row>
    <row r="48" spans="1:12" ht="15" x14ac:dyDescent="0.25"/>
    <row r="49" spans="1:12" ht="15" customHeight="1" x14ac:dyDescent="0.25">
      <c r="A49" s="325" t="s">
        <v>47</v>
      </c>
      <c r="B49" s="326"/>
      <c r="C49" s="326"/>
      <c r="D49" s="326"/>
      <c r="E49" s="326"/>
      <c r="F49" s="326"/>
      <c r="G49" s="326"/>
      <c r="H49" s="327"/>
      <c r="I49" s="345"/>
      <c r="J49" s="346"/>
    </row>
    <row r="50" spans="1:12" ht="15" customHeight="1" x14ac:dyDescent="0.25">
      <c r="A50" s="328" t="s">
        <v>48</v>
      </c>
      <c r="B50" s="329"/>
      <c r="C50" s="329"/>
      <c r="D50" s="329"/>
      <c r="E50" s="329"/>
      <c r="F50" s="329"/>
      <c r="G50" s="329"/>
      <c r="H50" s="330"/>
      <c r="I50" s="338">
        <f>I35*I$49</f>
        <v>0</v>
      </c>
      <c r="J50" s="339"/>
    </row>
    <row r="51" spans="1:12" ht="15" x14ac:dyDescent="0.25">
      <c r="D51"/>
      <c r="E51"/>
      <c r="F51"/>
      <c r="G51"/>
      <c r="H51"/>
      <c r="I51"/>
      <c r="J51"/>
      <c r="K51"/>
      <c r="L51"/>
    </row>
    <row r="52" spans="1:12" ht="15.75" customHeight="1" x14ac:dyDescent="0.25">
      <c r="A52" s="340" t="s">
        <v>49</v>
      </c>
      <c r="B52" s="341"/>
      <c r="C52" s="341"/>
      <c r="D52" s="341"/>
      <c r="E52" s="341"/>
      <c r="F52" s="341"/>
      <c r="G52" s="341"/>
      <c r="H52" s="341"/>
      <c r="I52" s="356">
        <f>SUMIF(L4:L34,"_3.",J4:J34)+SUMIF(L4:L34,"_4.",J4:J34)</f>
        <v>0</v>
      </c>
      <c r="J52" s="357"/>
    </row>
    <row r="53" spans="1:12" ht="15" x14ac:dyDescent="0.25">
      <c r="A53" s="342" t="s">
        <v>222</v>
      </c>
      <c r="B53" s="342"/>
      <c r="C53" s="342"/>
      <c r="D53" s="342"/>
      <c r="E53" s="342"/>
      <c r="F53" s="342"/>
      <c r="G53" s="342"/>
      <c r="H53" s="342"/>
      <c r="I53" s="358"/>
      <c r="J53" s="346"/>
    </row>
    <row r="54" spans="1:12" ht="15" x14ac:dyDescent="0.25">
      <c r="A54" s="335" t="s">
        <v>223</v>
      </c>
      <c r="B54" s="336"/>
      <c r="C54" s="336"/>
      <c r="D54" s="336"/>
      <c r="E54" s="336"/>
      <c r="F54" s="336"/>
      <c r="G54" s="336"/>
      <c r="H54" s="337"/>
      <c r="I54" s="359">
        <f>I52*I53</f>
        <v>0</v>
      </c>
      <c r="J54" s="339"/>
    </row>
    <row r="55" spans="1:12" ht="27" customHeight="1" thickBot="1" x14ac:dyDescent="0.3">
      <c r="D55"/>
      <c r="E55"/>
      <c r="F55"/>
      <c r="G55"/>
      <c r="H55"/>
      <c r="I55"/>
      <c r="J55"/>
    </row>
    <row r="56" spans="1:12" ht="27" customHeight="1" thickBot="1" x14ac:dyDescent="0.3">
      <c r="A56" s="320" t="s">
        <v>50</v>
      </c>
      <c r="B56" s="321"/>
      <c r="C56" s="321"/>
      <c r="D56" s="321"/>
      <c r="E56" s="321"/>
      <c r="F56" s="321"/>
      <c r="G56" s="321"/>
      <c r="H56" s="322"/>
      <c r="I56" s="323">
        <f>I47+I50+I52+I54</f>
        <v>0</v>
      </c>
      <c r="J56" s="324"/>
    </row>
  </sheetData>
  <sheetProtection algorithmName="SHA-512" hashValue="lfSUmLSFQO+J9XtoKFnCa5XanNVcYyxRgIR4NeMYF5baEl9kIRM67FzRMPG/U7zd2rE6UFBiqB3NaKWcJ6iMSg==" saltValue="d1Vk3OC2hWAAx2rHYby54g==" spinCount="100000" sheet="1" sort="0" autoFilter="0" pivotTables="0"/>
  <dataConsolidate link="1"/>
  <mergeCells count="35">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A38:H38"/>
    <mergeCell ref="A39:H39"/>
    <mergeCell ref="A40:H40"/>
    <mergeCell ref="A41:H41"/>
    <mergeCell ref="A42:H42"/>
    <mergeCell ref="A43:H43"/>
    <mergeCell ref="I38:J38"/>
    <mergeCell ref="I39:J39"/>
    <mergeCell ref="I40:J40"/>
    <mergeCell ref="I41:J41"/>
    <mergeCell ref="I42:J42"/>
    <mergeCell ref="I43:J43"/>
    <mergeCell ref="A44:H44"/>
    <mergeCell ref="I44:J44"/>
  </mergeCells>
  <conditionalFormatting sqref="C5:F34 H5:H34">
    <cfRule type="cellIs" dxfId="69" priority="81" operator="equal">
      <formula>"N/A"</formula>
    </cfRule>
  </conditionalFormatting>
  <conditionalFormatting sqref="C4:F4 H4">
    <cfRule type="cellIs" dxfId="68" priority="6" operator="equal">
      <formula>"N/A"</formula>
    </cfRule>
  </conditionalFormatting>
  <dataValidations disablePrompts="1" count="3">
    <dataValidation type="list" allowBlank="1" showInputMessage="1" showErrorMessage="1" sqref="A4:A34" xr:uid="{AC8ECE12-3823-495B-BFB6-219FB43288B3}">
      <formula1>typeofequipment</formula1>
    </dataValidation>
    <dataValidation type="list" allowBlank="1" showInputMessage="1" showErrorMessage="1" sqref="B4:B34" xr:uid="{BCD6FE61-2C64-4388-9CFA-61836F785F73}">
      <formula1>INDIRECT(SUBSTITUTE(A4,"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DFDE2037-FF31-4893-B85A-66D5FBFD24AF}">
      <formula1>200</formula1>
      <formula2>38000</formula2>
    </dataValidation>
  </dataValidations>
  <pageMargins left="0.7" right="0.7" top="0.75" bottom="0.75" header="0.3" footer="0.3"/>
  <pageSetup scale="36" fitToHeight="0" orientation="landscape" r:id="rId1"/>
  <ignoredErrors>
    <ignoredError sqref="L32:L34 L4:L30" unlockedFormula="1"/>
  </ignoredErrors>
  <extLst>
    <ext xmlns:x14="http://schemas.microsoft.com/office/spreadsheetml/2009/9/main" uri="{78C0D931-6437-407d-A8EE-F0AAD7539E65}">
      <x14:conditionalFormattings>
        <x14:conditionalFormatting xmlns:xm="http://schemas.microsoft.com/office/excel/2006/main">
          <x14:cfRule type="cellIs" priority="10" operator="equal" id="{59A016E0-B886-41DB-B09D-287E398AAFEF}">
            <xm:f>'Prix et modèle des ECF '!$AB$4</xm:f>
            <x14:dxf>
              <fill>
                <patternFill>
                  <bgColor theme="5" tint="0.79998168889431442"/>
                </patternFill>
              </fill>
            </x14:dxf>
          </x14:cfRule>
          <x14:cfRule type="cellIs" priority="11" operator="equal" id="{3A2CB832-2AF6-4B24-A512-7FB62F2982EF}">
            <xm:f>'Prix et modèle des ECF '!$AB$5</xm:f>
            <x14:dxf>
              <fill>
                <patternFill>
                  <bgColor theme="4" tint="0.79998168889431442"/>
                </patternFill>
              </fill>
            </x14:dxf>
          </x14:cfRule>
          <x14:cfRule type="cellIs" priority="12" operator="equal" id="{3E6DBA70-2729-4D48-8F24-3BEEB6A07388}">
            <xm:f>'Prix et modèle des ECF '!$AB$6</xm:f>
            <x14:dxf>
              <fill>
                <patternFill>
                  <bgColor theme="3" tint="0.59996337778862885"/>
                </patternFill>
              </fill>
            </x14:dxf>
          </x14:cfRule>
          <x14:cfRule type="cellIs" priority="13" operator="equal" id="{2BD946F9-9163-46FB-8F9E-2F300929E9FB}">
            <xm:f>'Prix et modèle des ECF '!$AB$7</xm:f>
            <x14:dxf>
              <font>
                <color theme="0"/>
              </font>
              <fill>
                <patternFill>
                  <bgColor theme="5" tint="-0.24994659260841701"/>
                </patternFill>
              </fill>
            </x14:dxf>
          </x14:cfRule>
          <xm:sqref>A4:A34</xm:sqref>
        </x14:conditionalFormatting>
        <x14:conditionalFormatting xmlns:xm="http://schemas.microsoft.com/office/excel/2006/main">
          <x14:cfRule type="expression" priority="5068" id="{C0BEC08C-A30E-499B-9987-F9F5FDCEE0D6}">
            <xm:f>OR(A1='Prix et modèle des ECF '!$AB$14,A1='Prix et modèle des ECF '!$AB$17,A1='Prix et modèle des ECF '!$AB$19,A1='Prix et modèle des ECF '!#REF!,A1='Prix et modèle des ECF '!$AB$22)</xm:f>
            <x14:dxf>
              <font>
                <color theme="1"/>
              </font>
              <fill>
                <patternFill>
                  <bgColor theme="1" tint="0.499984740745262"/>
                </patternFill>
              </fill>
            </x14:dxf>
          </x14:cfRule>
          <xm:sqref>G1:G3</xm:sqref>
        </x14:conditionalFormatting>
        <x14:conditionalFormatting xmlns:xm="http://schemas.microsoft.com/office/excel/2006/main">
          <x14:cfRule type="cellIs" priority="5069" operator="equal" id="{2CD378A7-AB76-4A70-B60A-29003498FB52}">
            <xm:f>'Prix et modèle des ECF '!$AB$22</xm:f>
            <x14:dxf>
              <fill>
                <patternFill>
                  <bgColor rgb="FFFFFF00"/>
                </patternFill>
              </fill>
            </x14:dxf>
          </x14:cfRule>
          <x14:cfRule type="cellIs" priority="5070" operator="equal" id="{0D52424A-BD2B-4020-B9B7-A5213667D9E6}">
            <xm:f>'Prix et modèle des ECF '!$AB$27</xm:f>
            <x14:dxf>
              <font>
                <color theme="0"/>
              </font>
              <fill>
                <patternFill>
                  <bgColor rgb="FF7030A0"/>
                </patternFill>
              </fill>
            </x14:dxf>
          </x14:cfRule>
          <x14:cfRule type="cellIs" priority="5071" operator="equal" id="{FBC23021-D2C0-4443-87C9-7BFE8826939B}">
            <xm:f>'Prix et modèle des ECF '!$AB$26</xm:f>
            <x14:dxf>
              <font>
                <color theme="0"/>
              </font>
              <fill>
                <patternFill>
                  <bgColor theme="9" tint="-0.24994659260841701"/>
                </patternFill>
              </fill>
            </x14:dxf>
          </x14:cfRule>
          <x14:cfRule type="cellIs" priority="5072" operator="equal" id="{14AC591E-82C9-4D80-9185-DB37BDD02C51}">
            <xm:f>'Prix et modèle des ECF '!$AB$25</xm:f>
            <x14:dxf>
              <font>
                <color theme="0"/>
              </font>
              <fill>
                <patternFill>
                  <bgColor theme="4" tint="-0.24994659260841701"/>
                </patternFill>
              </fill>
            </x14:dxf>
          </x14:cfRule>
          <x14:cfRule type="cellIs" priority="5073" operator="equal" id="{68776573-9622-4F36-8AC2-F07DB516568B}">
            <xm:f>'Prix et modèle des ECF '!$AB$24</xm:f>
            <x14:dxf>
              <fill>
                <patternFill>
                  <bgColor rgb="FFFF99FF"/>
                </patternFill>
              </fill>
            </x14:dxf>
          </x14:cfRule>
          <x14:cfRule type="cellIs" priority="5074" operator="equal" id="{592D3FEC-86A2-49B5-8072-5BA728A350DF}">
            <xm:f>'Prix et modèle des ECF '!$AB$23</xm:f>
            <x14:dxf>
              <font>
                <color theme="0"/>
              </font>
              <fill>
                <patternFill>
                  <bgColor rgb="FF9900CC"/>
                </patternFill>
              </fill>
            </x14:dxf>
          </x14:cfRule>
          <x14:cfRule type="cellIs" priority="5075" operator="equal" id="{B9E4FFEA-8CBB-497E-B49A-4572FF542A63}">
            <xm:f>'Prix et modèle des ECF '!$AB$22</xm:f>
            <x14:dxf>
              <fill>
                <patternFill>
                  <bgColor rgb="FFFFC000"/>
                </patternFill>
              </fill>
            </x14:dxf>
          </x14:cfRule>
          <x14:cfRule type="cellIs" priority="5076" operator="equal" id="{73899991-E141-4A21-AA6F-ABF5FA433E61}">
            <xm:f>'Prix et modèle des ECF '!$AB$22</xm:f>
            <x14:dxf>
              <font>
                <color theme="1"/>
              </font>
              <fill>
                <patternFill>
                  <bgColor rgb="FFCCCCFF"/>
                </patternFill>
              </fill>
            </x14:dxf>
          </x14:cfRule>
          <x14:cfRule type="cellIs" priority="5077" operator="equal" id="{CF4C666A-6421-42EA-ABCA-DCD11677A836}">
            <xm:f>'Prix et modèle des ECF '!#REF!</xm:f>
            <x14:dxf>
              <font>
                <color theme="1"/>
              </font>
              <fill>
                <patternFill>
                  <bgColor rgb="FFCCCCFF"/>
                </patternFill>
              </fill>
            </x14:dxf>
          </x14:cfRule>
          <x14:cfRule type="cellIs" priority="5078" operator="equal" id="{0AF5456E-1BE2-4AF4-834E-F2B91FAE6924}">
            <xm:f>'Prix et modèle des ECF '!$AB$19</xm:f>
            <x14:dxf>
              <font>
                <color theme="1"/>
              </font>
              <fill>
                <patternFill>
                  <bgColor theme="5" tint="0.59996337778862885"/>
                </patternFill>
              </fill>
            </x14:dxf>
          </x14:cfRule>
          <x14:cfRule type="cellIs" priority="5079" operator="equal" id="{E5D79548-C026-4E68-82A2-C969CAAD670F}">
            <xm:f>'Prix et modèle des ECF '!$AB$17</xm:f>
            <x14:dxf>
              <font>
                <color theme="1"/>
              </font>
              <fill>
                <patternFill>
                  <bgColor theme="5" tint="0.79998168889431442"/>
                </patternFill>
              </fill>
            </x14:dxf>
          </x14:cfRule>
          <x14:cfRule type="cellIs" priority="5080" operator="equal" id="{A9CA0DAF-7D50-4A8B-B336-4F5CED05C70A}">
            <xm:f>'Prix et modèle des ECF '!$AB$15</xm:f>
            <x14:dxf>
              <font>
                <color theme="1"/>
              </font>
              <fill>
                <patternFill>
                  <bgColor theme="9" tint="0.59996337778862885"/>
                </patternFill>
              </fill>
            </x14:dxf>
          </x14:cfRule>
          <x14:cfRule type="cellIs" priority="5081" operator="equal" id="{10D53CCA-AFCF-4553-931F-4ABDFE07F80B}">
            <xm:f>'Prix et modèle des ECF '!$AB$14</xm:f>
            <x14:dxf>
              <font>
                <color theme="1"/>
              </font>
              <fill>
                <patternFill>
                  <bgColor theme="9" tint="0.79998168889431442"/>
                </patternFill>
              </fill>
            </x14:dxf>
          </x14:cfRule>
          <x14:cfRule type="cellIs" priority="5082" operator="equal" id="{03F8123E-B345-43B4-837E-481BFC86BA36}">
            <xm:f>'Prix et modèle des ECF '!$AB$13</xm:f>
            <x14:dxf>
              <font>
                <color theme="0"/>
              </font>
              <fill>
                <patternFill>
                  <bgColor theme="1" tint="0.24994659260841701"/>
                </patternFill>
              </fill>
            </x14:dxf>
          </x14:cfRule>
          <x14:cfRule type="cellIs" priority="5083" operator="equal" id="{9099B3B0-2A85-4C6F-B507-E98EFF354D4F}">
            <xm:f>'Prix et modèle des ECF '!$AB$12</xm:f>
            <x14:dxf>
              <font>
                <color theme="0"/>
              </font>
              <fill>
                <patternFill>
                  <bgColor theme="0" tint="-0.499984740745262"/>
                </patternFill>
              </fill>
            </x14:dxf>
          </x14:cfRule>
          <x14:cfRule type="cellIs" priority="5084" operator="equal" id="{7FAAD732-B0F8-4CF8-A31C-8CF922FF76F1}">
            <xm:f>'Prix et modèle des ECF '!$AB$11</xm:f>
            <x14:dxf>
              <font>
                <color theme="1"/>
              </font>
              <fill>
                <patternFill>
                  <bgColor theme="0" tint="-0.14996795556505021"/>
                </patternFill>
              </fill>
            </x14:dxf>
          </x14:cfRule>
          <x14:cfRule type="cellIs" priority="5085" operator="equal" id="{0D36A1C7-54CB-4B30-B849-8478A94A4620}">
            <xm:f>'Prix et modèle des ECF '!#REF!</xm:f>
            <x14:dxf>
              <font>
                <color theme="1"/>
              </font>
              <fill>
                <patternFill>
                  <bgColor theme="7" tint="0.79998168889431442"/>
                </patternFill>
              </fill>
            </x14:dxf>
          </x14:cfRule>
          <x14:cfRule type="cellIs" priority="5086" operator="equal" id="{E80B3E37-B8E2-4D00-88BE-494D87BD39E6}">
            <xm:f>'Prix et modèle des ECF '!$AB$10</xm:f>
            <x14:dxf>
              <font>
                <color theme="0"/>
              </font>
              <fill>
                <patternFill>
                  <bgColor theme="4" tint="-0.24994659260841701"/>
                </patternFill>
              </fill>
            </x14:dxf>
          </x14:cfRule>
          <x14:cfRule type="cellIs" priority="5087" operator="equal" id="{01A7EB81-3E86-4071-AB03-C5658ECF7CFD}">
            <xm:f>'Prix et modèle des ECF '!$AB$9</xm:f>
            <x14:dxf>
              <font>
                <color theme="1"/>
              </font>
              <fill>
                <patternFill>
                  <bgColor theme="4" tint="0.39994506668294322"/>
                </patternFill>
              </fill>
            </x14:dxf>
          </x14:cfRule>
          <x14:cfRule type="cellIs" priority="5088" operator="equal" id="{D5426A0E-DE67-4641-A1D4-2ED0890699CB}">
            <xm:f>'Prix et modèle des ECF '!$AB$8</xm:f>
            <x14:dxf>
              <font>
                <color theme="1"/>
              </font>
              <fill>
                <patternFill>
                  <bgColor theme="4" tint="0.79998168889431442"/>
                </patternFill>
              </fill>
            </x14:dxf>
          </x14:cfRule>
          <xm:sqref>A1:A3</xm:sqref>
        </x14:conditionalFormatting>
        <x14:conditionalFormatting xmlns:xm="http://schemas.microsoft.com/office/excel/2006/main">
          <x14:cfRule type="cellIs" priority="5090" operator="equal" id="{DE247398-911C-413B-B99D-68B9E9EA6352}">
            <xm:f>'Prix et modèle des ECF '!$AB$16</xm:f>
            <x14:dxf>
              <font>
                <color theme="1"/>
              </font>
              <fill>
                <patternFill>
                  <bgColor theme="7" tint="0.79998168889431442"/>
                </patternFill>
              </fill>
            </x14:dxf>
          </x14:cfRule>
          <x14:cfRule type="cellIs" priority="5091" operator="equal" id="{1A341564-A837-4D4B-A41C-5EAE549FE079}">
            <xm:f>'Prix et modèle des ECF '!$AB$18</xm:f>
            <x14:dxf>
              <font>
                <color theme="1"/>
              </font>
              <fill>
                <patternFill>
                  <bgColor rgb="FFCCCCFF"/>
                </patternFill>
              </fill>
            </x14:dxf>
          </x14:cfRule>
          <x14:cfRule type="cellIs" priority="5092" operator="equal" id="{9E0342AE-3701-4FEF-87D8-2D61F99769C3}">
            <xm:f>'Prix et modèle des ECF '!$AB$20</xm:f>
            <x14:dxf>
              <fill>
                <patternFill>
                  <bgColor rgb="FFFFC000"/>
                </patternFill>
              </fill>
            </x14:dxf>
          </x14:cfRule>
          <x14:cfRule type="cellIs" priority="5093" operator="equal" id="{348511C0-C383-4F9C-88BA-F9758F0F95DD}">
            <xm:f>'Prix et modèle des ECF '!$AB$22</xm:f>
            <x14:dxf>
              <fill>
                <patternFill>
                  <bgColor rgb="FFFFFF00"/>
                </patternFill>
              </fill>
            </x14:dxf>
          </x14:cfRule>
          <x14:cfRule type="cellIs" priority="5094" operator="equal" id="{5CA76537-3110-4CEB-8FC1-811EDFEC5F7E}">
            <xm:f>'Prix et modèle des ECF '!$AB$23</xm:f>
            <x14:dxf>
              <font>
                <color theme="0"/>
              </font>
              <fill>
                <patternFill>
                  <bgColor rgb="FF9900CC"/>
                </patternFill>
              </fill>
            </x14:dxf>
          </x14:cfRule>
          <x14:cfRule type="cellIs" priority="5095" operator="equal" id="{6B47B4BA-6472-4973-9801-AB598DC7EDCB}">
            <xm:f>'Prix et modèle des ECF '!$AB$24</xm:f>
            <x14:dxf>
              <fill>
                <patternFill>
                  <bgColor rgb="FFFF99FF"/>
                </patternFill>
              </fill>
            </x14:dxf>
          </x14:cfRule>
          <x14:cfRule type="cellIs" priority="5096" operator="equal" id="{59DCAF54-E09B-4A4D-9ACB-628F6570D3FD}">
            <xm:f>'Prix et modèle des ECF '!$AB$25</xm:f>
            <x14:dxf>
              <font>
                <color theme="0"/>
              </font>
              <fill>
                <patternFill>
                  <bgColor theme="4" tint="-0.24994659260841701"/>
                </patternFill>
              </fill>
            </x14:dxf>
          </x14:cfRule>
          <x14:cfRule type="cellIs" priority="5097" operator="equal" id="{9FDDAEBB-690E-443F-AA23-CF659287F04C}">
            <xm:f>'Prix et modèle des ECF '!$AB$26</xm:f>
            <x14:dxf>
              <font>
                <color theme="0"/>
              </font>
              <fill>
                <patternFill>
                  <bgColor theme="9" tint="-0.24994659260841701"/>
                </patternFill>
              </fill>
            </x14:dxf>
          </x14:cfRule>
          <x14:cfRule type="cellIs" priority="5098" operator="equal" id="{5EE4CD64-D9F8-49C0-84F1-FA31F61F0964}">
            <xm:f>'Prix et modèle des ECF '!$AB$27</xm:f>
            <x14:dxf>
              <font>
                <color theme="0"/>
              </font>
              <fill>
                <patternFill>
                  <bgColor rgb="FF7030A0"/>
                </patternFill>
              </fill>
            </x14:dxf>
          </x14:cfRule>
          <x14:cfRule type="cellIs" priority="5099" operator="equal" id="{3CE60F06-E02C-4112-B305-3F47070A4E95}">
            <xm:f>'Prix et modèle des ECF '!$AB$8</xm:f>
            <x14:dxf>
              <font>
                <color theme="1"/>
              </font>
              <fill>
                <patternFill>
                  <bgColor theme="4" tint="0.79998168889431442"/>
                </patternFill>
              </fill>
            </x14:dxf>
          </x14:cfRule>
          <x14:cfRule type="cellIs" priority="5100" operator="equal" id="{2DABE148-5642-4763-98E6-4E292A1DD34E}">
            <xm:f>'Prix et modèle des ECF '!$AB$9</xm:f>
            <x14:dxf>
              <font>
                <color theme="1"/>
              </font>
              <fill>
                <patternFill>
                  <bgColor theme="4" tint="0.39994506668294322"/>
                </patternFill>
              </fill>
            </x14:dxf>
          </x14:cfRule>
          <x14:cfRule type="cellIs" priority="5101" operator="equal" id="{6485E7D5-09D5-451C-BF62-DA62B86CB8AD}">
            <xm:f>'Prix et modèle des ECF '!$AB$10</xm:f>
            <x14:dxf>
              <font>
                <color theme="0"/>
              </font>
              <fill>
                <patternFill>
                  <bgColor theme="4" tint="-0.24994659260841701"/>
                </patternFill>
              </fill>
            </x14:dxf>
          </x14:cfRule>
          <x14:cfRule type="cellIs" priority="5102" operator="equal" id="{97B428FC-FC32-4E57-88FB-B27AFF916395}">
            <xm:f>'Prix et modèle des ECF '!$AB$11</xm:f>
            <x14:dxf>
              <font>
                <color theme="1"/>
              </font>
              <fill>
                <patternFill>
                  <bgColor theme="0" tint="-0.14996795556505021"/>
                </patternFill>
              </fill>
            </x14:dxf>
          </x14:cfRule>
          <x14:cfRule type="cellIs" priority="5103" operator="equal" id="{D5B0A0BB-CBE1-414A-BCDD-C54217BA8542}">
            <xm:f>'Prix et modèle des ECF '!$AB$12</xm:f>
            <x14:dxf>
              <font>
                <color theme="0"/>
              </font>
              <fill>
                <patternFill>
                  <bgColor theme="0" tint="-0.499984740745262"/>
                </patternFill>
              </fill>
            </x14:dxf>
          </x14:cfRule>
          <x14:cfRule type="cellIs" priority="5104" operator="equal" id="{761D60FD-9BA0-4CC5-954A-789036B13871}">
            <xm:f>'Prix et modèle des ECF '!$AB$13</xm:f>
            <x14:dxf>
              <font>
                <color theme="0"/>
              </font>
              <fill>
                <patternFill>
                  <bgColor theme="1" tint="0.24994659260841701"/>
                </patternFill>
              </fill>
            </x14:dxf>
          </x14:cfRule>
          <x14:cfRule type="cellIs" priority="5105" operator="equal" id="{5A4649E4-969D-4ECE-9F92-7B4162C65C38}">
            <xm:f>'Prix et modèle des ECF '!$AB$14</xm:f>
            <x14:dxf>
              <font>
                <color theme="1"/>
              </font>
              <fill>
                <patternFill>
                  <bgColor theme="9" tint="0.79998168889431442"/>
                </patternFill>
              </fill>
            </x14:dxf>
          </x14:cfRule>
          <x14:cfRule type="cellIs" priority="5106" operator="equal" id="{77058751-AF21-471F-911D-835F0FE80A1C}">
            <xm:f>'Prix et modèle des ECF '!$AB$15</xm:f>
            <x14:dxf>
              <font>
                <color theme="1"/>
              </font>
              <fill>
                <patternFill>
                  <bgColor theme="9" tint="0.59996337778862885"/>
                </patternFill>
              </fill>
            </x14:dxf>
          </x14:cfRule>
          <x14:cfRule type="cellIs" priority="5107" operator="equal" id="{13B78085-DB73-41A5-91AD-8C8B38827105}">
            <xm:f>'Prix et modèle des ECF '!$AB$17</xm:f>
            <x14:dxf>
              <font>
                <color theme="1"/>
              </font>
              <fill>
                <patternFill>
                  <bgColor theme="5" tint="0.79998168889431442"/>
                </patternFill>
              </fill>
            </x14:dxf>
          </x14:cfRule>
          <x14:cfRule type="cellIs" priority="5108" operator="equal" id="{741BF1C1-4B94-46E3-A7A0-07472E18B5D8}">
            <xm:f>'Prix et modèle des ECF '!$AB$19</xm:f>
            <x14:dxf>
              <font>
                <color theme="1"/>
              </font>
              <fill>
                <patternFill>
                  <bgColor theme="5" tint="0.59996337778862885"/>
                </patternFill>
              </fill>
            </x14:dxf>
          </x14:cfRule>
          <x14:cfRule type="cellIs" priority="5109" operator="equal" id="{05DFAB49-951D-4FD4-B6D3-AA9F7AB278DD}">
            <xm:f>'Prix et modèle des ECF '!$AB$22</xm:f>
            <x14:dxf>
              <font>
                <color theme="1"/>
              </font>
              <fill>
                <patternFill>
                  <bgColor rgb="FF9999FF"/>
                </patternFill>
              </fill>
            </x14:dxf>
          </x14:cfRule>
          <xm:sqref>A4:A34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236"/>
  <sheetViews>
    <sheetView showGridLines="0" zoomScale="70" zoomScaleNormal="70" zoomScaleSheetLayoutView="25" workbookViewId="0">
      <pane xSplit="1" ySplit="3" topLeftCell="B4" activePane="bottomRight" state="frozen"/>
      <selection pane="topRight"/>
      <selection pane="bottomLeft"/>
      <selection pane="bottomRight" activeCell="E183" sqref="E183"/>
    </sheetView>
  </sheetViews>
  <sheetFormatPr defaultColWidth="9.140625" defaultRowHeight="15" outlineLevelCol="2" x14ac:dyDescent="0.25"/>
  <cols>
    <col min="1" max="1" width="5.42578125" customWidth="1"/>
    <col min="2" max="2" width="30.28515625" customWidth="1"/>
    <col min="3" max="3" width="15.42578125" customWidth="1"/>
    <col min="4" max="4" width="18.42578125" style="25" customWidth="1"/>
    <col min="5" max="5" width="39.42578125" style="25" customWidth="1"/>
    <col min="6" max="15" width="15.42578125" customWidth="1"/>
    <col min="16" max="16" width="9.140625" customWidth="1"/>
    <col min="17" max="26" width="10.42578125" customWidth="1"/>
    <col min="27" max="27" width="9.140625" customWidth="1"/>
    <col min="28" max="30" width="9.140625" customWidth="1" outlineLevel="2"/>
    <col min="31" max="34" width="9.140625" customWidth="1" outlineLevel="1"/>
    <col min="35" max="35" width="10.5703125" customWidth="1" outlineLevel="1"/>
  </cols>
  <sheetData>
    <row r="1" spans="1:36" ht="23.25" customHeight="1" thickBot="1" x14ac:dyDescent="0.3">
      <c r="A1" s="28" t="s">
        <v>318</v>
      </c>
      <c r="B1" s="27"/>
      <c r="C1" s="27"/>
      <c r="D1" s="27"/>
      <c r="E1" s="36"/>
      <c r="F1" s="36"/>
      <c r="G1" s="140"/>
      <c r="H1" s="36"/>
      <c r="I1" s="36"/>
      <c r="J1" s="36"/>
      <c r="K1" s="36"/>
      <c r="L1" s="36"/>
      <c r="M1" s="36"/>
      <c r="N1" s="36"/>
      <c r="O1" s="59"/>
      <c r="P1" s="59"/>
      <c r="Q1" s="59"/>
      <c r="R1" s="59"/>
      <c r="S1" s="59"/>
      <c r="T1" s="59"/>
      <c r="U1" s="59"/>
      <c r="V1" s="59"/>
      <c r="W1" s="59"/>
      <c r="X1" s="59"/>
      <c r="Y1" s="59"/>
      <c r="Z1" s="59"/>
    </row>
    <row r="2" spans="1:36" ht="89.25" customHeight="1" thickBot="1" x14ac:dyDescent="0.3">
      <c r="E2" s="38"/>
      <c r="F2" s="59"/>
      <c r="G2" s="59"/>
      <c r="H2" s="59"/>
      <c r="I2" s="59"/>
      <c r="J2" s="361" t="s">
        <v>405</v>
      </c>
      <c r="K2" s="362"/>
      <c r="L2" s="363" t="s">
        <v>406</v>
      </c>
      <c r="M2" s="364"/>
      <c r="N2" s="59"/>
      <c r="O2" s="59"/>
      <c r="P2" s="59"/>
      <c r="Q2" s="59"/>
      <c r="R2" s="59"/>
      <c r="S2" s="59"/>
      <c r="T2" s="59"/>
      <c r="U2" s="59"/>
      <c r="V2" s="59"/>
      <c r="W2" s="59"/>
      <c r="X2" s="59"/>
      <c r="Y2" s="59"/>
      <c r="Z2" s="59"/>
    </row>
    <row r="3" spans="1:36" s="8" customFormat="1" ht="40.5" customHeight="1" thickTop="1" x14ac:dyDescent="0.25">
      <c r="A3" s="5" t="s">
        <v>53</v>
      </c>
      <c r="B3" s="5" t="s">
        <v>319</v>
      </c>
      <c r="C3" s="5" t="s">
        <v>320</v>
      </c>
      <c r="D3" s="7" t="s">
        <v>321</v>
      </c>
      <c r="E3" s="7" t="s">
        <v>322</v>
      </c>
      <c r="F3" s="5" t="s">
        <v>323</v>
      </c>
      <c r="G3" s="5" t="s">
        <v>324</v>
      </c>
      <c r="H3" s="5" t="s">
        <v>325</v>
      </c>
      <c r="I3" s="118" t="s">
        <v>326</v>
      </c>
      <c r="J3" s="151" t="s">
        <v>327</v>
      </c>
      <c r="K3" s="152" t="s">
        <v>328</v>
      </c>
      <c r="L3" s="121" t="s">
        <v>329</v>
      </c>
      <c r="M3" s="127" t="s">
        <v>330</v>
      </c>
      <c r="N3" s="121" t="s">
        <v>331</v>
      </c>
      <c r="O3" s="5" t="s">
        <v>332</v>
      </c>
      <c r="P3" s="40"/>
      <c r="Q3" s="160"/>
      <c r="R3" s="40"/>
      <c r="S3" s="40"/>
      <c r="T3" s="40"/>
      <c r="U3" s="40"/>
      <c r="V3" s="40"/>
      <c r="W3" s="40"/>
      <c r="X3" s="40"/>
      <c r="Y3" s="40"/>
      <c r="Z3" s="40"/>
      <c r="AB3" s="23" t="s">
        <v>5</v>
      </c>
      <c r="AI3" s="8" t="s">
        <v>54</v>
      </c>
    </row>
    <row r="4" spans="1:36" s="131" customFormat="1" ht="40.5" customHeight="1" x14ac:dyDescent="0.25">
      <c r="A4" s="134">
        <v>1</v>
      </c>
      <c r="B4" s="14" t="s">
        <v>407</v>
      </c>
      <c r="C4" s="133" t="s">
        <v>51</v>
      </c>
      <c r="D4" s="138" t="s">
        <v>55</v>
      </c>
      <c r="E4" s="133" t="s">
        <v>479</v>
      </c>
      <c r="F4" s="135">
        <v>10000</v>
      </c>
      <c r="G4" s="129" t="s">
        <v>56</v>
      </c>
      <c r="H4" s="129" t="s">
        <v>56</v>
      </c>
      <c r="I4" s="136">
        <v>16405.458999999999</v>
      </c>
      <c r="J4" s="141">
        <v>11000</v>
      </c>
      <c r="K4" s="153">
        <v>15000</v>
      </c>
      <c r="L4" s="122" t="s">
        <v>57</v>
      </c>
      <c r="M4" s="124" t="s">
        <v>57</v>
      </c>
      <c r="N4" s="122">
        <f t="shared" ref="N4:N34" si="0">I4+J4</f>
        <v>27405.458999999999</v>
      </c>
      <c r="O4" s="4">
        <f t="shared" ref="O4:O34" si="1">I4+K4</f>
        <v>31405.458999999999</v>
      </c>
      <c r="P4" s="130"/>
      <c r="Q4" s="130"/>
      <c r="R4" s="130"/>
      <c r="S4" s="130"/>
      <c r="T4" s="130"/>
      <c r="U4" s="130"/>
      <c r="V4" s="130"/>
      <c r="W4" s="130"/>
      <c r="X4" s="130"/>
      <c r="Y4" s="130"/>
      <c r="Z4" s="130"/>
      <c r="AB4" s="137" t="s">
        <v>18</v>
      </c>
      <c r="AD4" s="3" t="str">
        <f>SUBSTITUTE(AB4," ","")</f>
        <v>_1.Walkincoldrooms</v>
      </c>
    </row>
    <row r="5" spans="1:36" s="131" customFormat="1" ht="40.5" customHeight="1" x14ac:dyDescent="0.25">
      <c r="A5" s="134">
        <f>A4+1</f>
        <v>2</v>
      </c>
      <c r="B5" s="14" t="s">
        <v>407</v>
      </c>
      <c r="C5" s="134" t="s">
        <v>51</v>
      </c>
      <c r="D5" s="138" t="s">
        <v>58</v>
      </c>
      <c r="E5" s="134" t="s">
        <v>480</v>
      </c>
      <c r="F5" s="135">
        <v>10000</v>
      </c>
      <c r="G5" s="129" t="s">
        <v>56</v>
      </c>
      <c r="H5" s="129" t="s">
        <v>56</v>
      </c>
      <c r="I5" s="136">
        <v>11900</v>
      </c>
      <c r="J5" s="141">
        <v>11000</v>
      </c>
      <c r="K5" s="142">
        <v>15000</v>
      </c>
      <c r="L5" s="122" t="s">
        <v>57</v>
      </c>
      <c r="M5" s="124" t="s">
        <v>57</v>
      </c>
      <c r="N5" s="122">
        <f t="shared" si="0"/>
        <v>22900</v>
      </c>
      <c r="O5" s="4">
        <f t="shared" si="1"/>
        <v>26900</v>
      </c>
      <c r="P5" s="130"/>
      <c r="Q5" s="130"/>
      <c r="R5" s="130"/>
      <c r="S5" s="130"/>
      <c r="T5" s="130"/>
      <c r="U5" s="130"/>
      <c r="V5" s="130"/>
      <c r="W5" s="130"/>
      <c r="X5" s="130"/>
      <c r="Y5" s="130"/>
      <c r="Z5" s="3"/>
      <c r="AB5" s="156" t="s">
        <v>19</v>
      </c>
      <c r="AD5" s="3" t="str">
        <f>SUBSTITUTE(AB5," ","")</f>
        <v>_2.Walkincoldroomswithfreezers</v>
      </c>
    </row>
    <row r="6" spans="1:36" s="131" customFormat="1" ht="40.5" customHeight="1" x14ac:dyDescent="0.25">
      <c r="A6" s="134">
        <f t="shared" ref="A6:A77" si="2">A5+1</f>
        <v>3</v>
      </c>
      <c r="B6" s="14" t="s">
        <v>407</v>
      </c>
      <c r="C6" s="134" t="s">
        <v>51</v>
      </c>
      <c r="D6" s="138" t="s">
        <v>59</v>
      </c>
      <c r="E6" s="134" t="s">
        <v>481</v>
      </c>
      <c r="F6" s="135">
        <v>10000</v>
      </c>
      <c r="G6" s="129" t="s">
        <v>56</v>
      </c>
      <c r="H6" s="129" t="s">
        <v>56</v>
      </c>
      <c r="I6" s="136">
        <v>17076.5</v>
      </c>
      <c r="J6" s="141">
        <v>11000</v>
      </c>
      <c r="K6" s="142">
        <v>15000</v>
      </c>
      <c r="L6" s="122" t="s">
        <v>57</v>
      </c>
      <c r="M6" s="124" t="s">
        <v>57</v>
      </c>
      <c r="N6" s="122">
        <f t="shared" si="0"/>
        <v>28076.5</v>
      </c>
      <c r="O6" s="4">
        <f t="shared" si="1"/>
        <v>32076.5</v>
      </c>
      <c r="P6" s="130"/>
      <c r="Q6" s="130"/>
      <c r="R6" s="130"/>
      <c r="S6" s="130"/>
      <c r="T6" s="130"/>
      <c r="U6" s="130"/>
      <c r="V6" s="130"/>
      <c r="W6" s="130"/>
      <c r="X6" s="130"/>
      <c r="Y6" s="130"/>
      <c r="Z6" s="3"/>
      <c r="AB6" s="156" t="s">
        <v>20</v>
      </c>
      <c r="AD6" s="3" t="str">
        <f>SUBSTITUTE(AB6," ","")</f>
        <v>_3.ShorttermleaseforWalkincoldrooms</v>
      </c>
    </row>
    <row r="7" spans="1:36" s="131" customFormat="1" ht="40.5" customHeight="1" x14ac:dyDescent="0.25">
      <c r="A7" s="134">
        <f t="shared" si="2"/>
        <v>4</v>
      </c>
      <c r="B7" s="14" t="s">
        <v>407</v>
      </c>
      <c r="C7" s="134" t="s">
        <v>51</v>
      </c>
      <c r="D7" s="138" t="s">
        <v>60</v>
      </c>
      <c r="E7" s="134" t="s">
        <v>482</v>
      </c>
      <c r="F7" s="135">
        <v>10000</v>
      </c>
      <c r="G7" s="129" t="s">
        <v>56</v>
      </c>
      <c r="H7" s="129" t="s">
        <v>56</v>
      </c>
      <c r="I7" s="136">
        <v>19658.8</v>
      </c>
      <c r="J7" s="141">
        <v>11000</v>
      </c>
      <c r="K7" s="142">
        <v>15000</v>
      </c>
      <c r="L7" s="122" t="s">
        <v>57</v>
      </c>
      <c r="M7" s="124" t="s">
        <v>57</v>
      </c>
      <c r="N7" s="122">
        <f t="shared" si="0"/>
        <v>30658.799999999999</v>
      </c>
      <c r="O7" s="4">
        <f t="shared" si="1"/>
        <v>34658.800000000003</v>
      </c>
      <c r="P7" s="130"/>
      <c r="Q7" s="130"/>
      <c r="R7" s="130"/>
      <c r="S7" s="130"/>
      <c r="T7" s="130"/>
      <c r="U7" s="130"/>
      <c r="V7" s="130"/>
      <c r="W7" s="130"/>
      <c r="X7" s="130"/>
      <c r="Y7" s="130"/>
      <c r="Z7" s="130"/>
      <c r="AB7" s="137" t="s">
        <v>22</v>
      </c>
      <c r="AD7" s="3" t="str">
        <f>SUBSTITUTE(AB7," ","")</f>
        <v>_4.LeasingWalkincoldroomsorfreezerroom</v>
      </c>
      <c r="AE7" s="3"/>
      <c r="AF7" s="3"/>
      <c r="AG7" s="3"/>
      <c r="AH7" s="3"/>
      <c r="AI7" s="3" t="s">
        <v>61</v>
      </c>
      <c r="AJ7" s="3"/>
    </row>
    <row r="8" spans="1:36" s="131" customFormat="1" ht="40.5" customHeight="1" thickBot="1" x14ac:dyDescent="0.3">
      <c r="A8" s="134">
        <f t="shared" si="2"/>
        <v>5</v>
      </c>
      <c r="B8" s="14" t="s">
        <v>407</v>
      </c>
      <c r="C8" s="134" t="s">
        <v>51</v>
      </c>
      <c r="D8" s="138" t="s">
        <v>62</v>
      </c>
      <c r="E8" s="134" t="s">
        <v>483</v>
      </c>
      <c r="F8" s="135">
        <v>10000</v>
      </c>
      <c r="G8" s="129" t="s">
        <v>56</v>
      </c>
      <c r="H8" s="129" t="s">
        <v>56</v>
      </c>
      <c r="I8" s="136">
        <v>15368.849999999999</v>
      </c>
      <c r="J8" s="141">
        <v>11000</v>
      </c>
      <c r="K8" s="142">
        <v>15000</v>
      </c>
      <c r="L8" s="122" t="s">
        <v>57</v>
      </c>
      <c r="M8" s="124" t="s">
        <v>57</v>
      </c>
      <c r="N8" s="122">
        <f t="shared" si="0"/>
        <v>26368.85</v>
      </c>
      <c r="O8" s="4">
        <f t="shared" si="1"/>
        <v>30368.85</v>
      </c>
      <c r="P8" s="130"/>
      <c r="Q8" s="130"/>
      <c r="R8" s="130"/>
      <c r="S8" s="130"/>
      <c r="T8" s="130"/>
      <c r="U8" s="130"/>
      <c r="V8" s="130"/>
      <c r="W8" s="130"/>
      <c r="X8" s="130"/>
      <c r="Y8" s="130"/>
      <c r="Z8" s="130"/>
      <c r="AB8" s="24" t="s">
        <v>24</v>
      </c>
      <c r="AC8" s="3"/>
      <c r="AD8" s="3" t="str">
        <f t="shared" ref="AD8:AD13" si="3">SUBSTITUTE(AB8," ","")</f>
        <v>_5.OngridILR_withoutfreezercomp.</v>
      </c>
      <c r="AE8" s="3"/>
      <c r="AF8" s="3"/>
      <c r="AG8" s="3"/>
      <c r="AH8" s="3"/>
      <c r="AI8" s="3" t="s">
        <v>63</v>
      </c>
      <c r="AJ8" s="3"/>
    </row>
    <row r="9" spans="1:36" s="131" customFormat="1" ht="40.5" customHeight="1" thickBot="1" x14ac:dyDescent="0.3">
      <c r="A9" s="134">
        <f t="shared" si="2"/>
        <v>6</v>
      </c>
      <c r="B9" s="14" t="s">
        <v>407</v>
      </c>
      <c r="C9" s="134" t="s">
        <v>21</v>
      </c>
      <c r="D9" s="138" t="s">
        <v>55</v>
      </c>
      <c r="E9" s="134" t="s">
        <v>484</v>
      </c>
      <c r="F9" s="133">
        <v>30000</v>
      </c>
      <c r="G9" s="129" t="s">
        <v>56</v>
      </c>
      <c r="H9" s="129" t="s">
        <v>56</v>
      </c>
      <c r="I9" s="136">
        <v>23777.223399999999</v>
      </c>
      <c r="J9" s="141">
        <v>16500</v>
      </c>
      <c r="K9" s="142">
        <v>23000</v>
      </c>
      <c r="L9" s="122" t="s">
        <v>57</v>
      </c>
      <c r="M9" s="124" t="s">
        <v>57</v>
      </c>
      <c r="N9" s="122">
        <f t="shared" si="0"/>
        <v>40277.223400000003</v>
      </c>
      <c r="O9" s="4">
        <f t="shared" si="1"/>
        <v>46777.223400000003</v>
      </c>
      <c r="P9" s="130"/>
      <c r="Q9" s="130"/>
      <c r="R9" s="130"/>
      <c r="S9" s="130"/>
      <c r="T9" s="130"/>
      <c r="U9" s="130"/>
      <c r="V9" s="130"/>
      <c r="W9" s="130"/>
      <c r="X9" s="130"/>
      <c r="Y9" s="130"/>
      <c r="Z9" s="130"/>
      <c r="AB9" s="24" t="s">
        <v>25</v>
      </c>
      <c r="AC9" s="12"/>
      <c r="AD9" s="3" t="str">
        <f t="shared" si="3"/>
        <v>_6.OngridILR_withfreezercomp.</v>
      </c>
      <c r="AE9" s="3"/>
      <c r="AF9" s="3"/>
      <c r="AG9" s="3"/>
      <c r="AH9" s="3"/>
      <c r="AI9" s="3" t="s">
        <v>64</v>
      </c>
      <c r="AJ9" s="3"/>
    </row>
    <row r="10" spans="1:36" s="131" customFormat="1" ht="40.5" customHeight="1" thickBot="1" x14ac:dyDescent="0.3">
      <c r="A10" s="134">
        <f t="shared" si="2"/>
        <v>7</v>
      </c>
      <c r="B10" s="14" t="s">
        <v>407</v>
      </c>
      <c r="C10" s="134" t="s">
        <v>21</v>
      </c>
      <c r="D10" s="138" t="s">
        <v>58</v>
      </c>
      <c r="E10" s="134" t="s">
        <v>485</v>
      </c>
      <c r="F10" s="133">
        <v>30000</v>
      </c>
      <c r="G10" s="129" t="s">
        <v>56</v>
      </c>
      <c r="H10" s="129" t="s">
        <v>56</v>
      </c>
      <c r="I10" s="136">
        <v>18900</v>
      </c>
      <c r="J10" s="141">
        <v>16500</v>
      </c>
      <c r="K10" s="142">
        <v>23000</v>
      </c>
      <c r="L10" s="122" t="s">
        <v>57</v>
      </c>
      <c r="M10" s="124" t="s">
        <v>57</v>
      </c>
      <c r="N10" s="122">
        <f t="shared" si="0"/>
        <v>35400</v>
      </c>
      <c r="O10" s="4">
        <f t="shared" si="1"/>
        <v>41900</v>
      </c>
      <c r="P10" s="130"/>
      <c r="Q10" s="130"/>
      <c r="R10" s="130"/>
      <c r="S10" s="130"/>
      <c r="T10" s="130"/>
      <c r="U10" s="130"/>
      <c r="V10" s="130"/>
      <c r="W10" s="130"/>
      <c r="X10" s="130"/>
      <c r="Y10" s="130"/>
      <c r="Z10" s="130"/>
      <c r="AB10" s="24" t="s">
        <v>26</v>
      </c>
      <c r="AC10" s="12"/>
      <c r="AD10" s="3" t="str">
        <f t="shared" si="3"/>
        <v>_7.Ongridfreezers</v>
      </c>
      <c r="AE10" s="3"/>
      <c r="AF10" s="3"/>
      <c r="AG10" s="3"/>
      <c r="AH10" s="3"/>
      <c r="AI10" s="24"/>
      <c r="AJ10" s="3"/>
    </row>
    <row r="11" spans="1:36" s="131" customFormat="1" ht="40.5" customHeight="1" thickBot="1" x14ac:dyDescent="0.3">
      <c r="A11" s="134">
        <f t="shared" si="2"/>
        <v>8</v>
      </c>
      <c r="B11" s="14" t="s">
        <v>407</v>
      </c>
      <c r="C11" s="134" t="s">
        <v>21</v>
      </c>
      <c r="D11" s="138" t="s">
        <v>58</v>
      </c>
      <c r="E11" s="134" t="s">
        <v>486</v>
      </c>
      <c r="F11" s="133">
        <v>30000</v>
      </c>
      <c r="G11" s="129" t="s">
        <v>56</v>
      </c>
      <c r="H11" s="129" t="s">
        <v>56</v>
      </c>
      <c r="I11" s="136">
        <v>22600</v>
      </c>
      <c r="J11" s="141">
        <v>16500</v>
      </c>
      <c r="K11" s="142">
        <v>23000</v>
      </c>
      <c r="L11" s="122" t="s">
        <v>57</v>
      </c>
      <c r="M11" s="124" t="s">
        <v>57</v>
      </c>
      <c r="N11" s="122">
        <f t="shared" si="0"/>
        <v>39100</v>
      </c>
      <c r="O11" s="4">
        <f t="shared" si="1"/>
        <v>45600</v>
      </c>
      <c r="P11" s="130"/>
      <c r="Q11" s="130"/>
      <c r="R11" s="130"/>
      <c r="S11" s="130"/>
      <c r="T11" s="130"/>
      <c r="U11" s="130"/>
      <c r="V11" s="130"/>
      <c r="W11" s="130"/>
      <c r="X11" s="130"/>
      <c r="Y11" s="130"/>
      <c r="Z11" s="130"/>
      <c r="AB11" s="24" t="s">
        <v>27</v>
      </c>
      <c r="AC11" s="12"/>
      <c r="AD11" s="3" t="str">
        <f t="shared" si="3"/>
        <v>_8.OffgridSDDrefrigerators_withoutfreezercomp.</v>
      </c>
      <c r="AE11" s="3"/>
      <c r="AF11" s="3"/>
      <c r="AG11" s="3"/>
      <c r="AH11" s="3"/>
      <c r="AI11" s="24"/>
      <c r="AJ11" s="3"/>
    </row>
    <row r="12" spans="1:36" s="131" customFormat="1" ht="40.5" customHeight="1" thickBot="1" x14ac:dyDescent="0.3">
      <c r="A12" s="134">
        <f t="shared" si="2"/>
        <v>9</v>
      </c>
      <c r="B12" s="14" t="s">
        <v>407</v>
      </c>
      <c r="C12" s="134" t="s">
        <v>21</v>
      </c>
      <c r="D12" s="138" t="s">
        <v>59</v>
      </c>
      <c r="E12" s="134" t="s">
        <v>487</v>
      </c>
      <c r="F12" s="133">
        <v>30000</v>
      </c>
      <c r="G12" s="129" t="s">
        <v>56</v>
      </c>
      <c r="H12" s="129" t="s">
        <v>56</v>
      </c>
      <c r="I12" s="136">
        <v>23573.899999999998</v>
      </c>
      <c r="J12" s="141">
        <v>16500</v>
      </c>
      <c r="K12" s="142">
        <v>23000</v>
      </c>
      <c r="L12" s="122" t="s">
        <v>57</v>
      </c>
      <c r="M12" s="124" t="s">
        <v>57</v>
      </c>
      <c r="N12" s="122">
        <f t="shared" si="0"/>
        <v>40073.899999999994</v>
      </c>
      <c r="O12" s="4">
        <f t="shared" si="1"/>
        <v>46573.899999999994</v>
      </c>
      <c r="P12" s="130"/>
      <c r="Q12" s="130"/>
      <c r="R12" s="130"/>
      <c r="S12" s="130"/>
      <c r="T12" s="130"/>
      <c r="U12" s="130"/>
      <c r="V12" s="130"/>
      <c r="W12" s="130"/>
      <c r="X12" s="130"/>
      <c r="Y12" s="130"/>
      <c r="Z12" s="130"/>
      <c r="AB12" s="24" t="s">
        <v>28</v>
      </c>
      <c r="AC12" s="13"/>
      <c r="AD12" s="3" t="str">
        <f t="shared" si="3"/>
        <v>_9.OffgridSDDrefrigerators_withfreezercomp.</v>
      </c>
      <c r="AE12" s="3"/>
      <c r="AF12" s="3"/>
      <c r="AG12" s="3"/>
      <c r="AH12" s="3"/>
      <c r="AI12" s="24"/>
      <c r="AJ12" s="3"/>
    </row>
    <row r="13" spans="1:36" s="131" customFormat="1" ht="40.5" customHeight="1" x14ac:dyDescent="0.25">
      <c r="A13" s="134">
        <f t="shared" si="2"/>
        <v>10</v>
      </c>
      <c r="B13" s="14" t="s">
        <v>407</v>
      </c>
      <c r="C13" s="134" t="s">
        <v>21</v>
      </c>
      <c r="D13" s="138" t="s">
        <v>59</v>
      </c>
      <c r="E13" s="134" t="s">
        <v>488</v>
      </c>
      <c r="F13" s="133">
        <v>30000</v>
      </c>
      <c r="G13" s="129" t="s">
        <v>56</v>
      </c>
      <c r="H13" s="129" t="s">
        <v>56</v>
      </c>
      <c r="I13" s="136">
        <v>26120.5</v>
      </c>
      <c r="J13" s="141">
        <v>16500</v>
      </c>
      <c r="K13" s="142">
        <v>23000</v>
      </c>
      <c r="L13" s="122" t="s">
        <v>57</v>
      </c>
      <c r="M13" s="124" t="s">
        <v>57</v>
      </c>
      <c r="N13" s="122">
        <f t="shared" si="0"/>
        <v>42620.5</v>
      </c>
      <c r="O13" s="4">
        <f t="shared" si="1"/>
        <v>49120.5</v>
      </c>
      <c r="P13" s="130"/>
      <c r="Q13" s="130"/>
      <c r="R13" s="130"/>
      <c r="S13" s="130"/>
      <c r="T13" s="130"/>
      <c r="U13" s="130"/>
      <c r="V13" s="130"/>
      <c r="W13" s="130"/>
      <c r="X13" s="130"/>
      <c r="Y13" s="130"/>
      <c r="Z13" s="130"/>
      <c r="AB13" s="3" t="s">
        <v>29</v>
      </c>
      <c r="AC13" s="3"/>
      <c r="AD13" s="3" t="str">
        <f t="shared" si="3"/>
        <v>_10.OffgridSDDfreezer</v>
      </c>
      <c r="AE13" s="3"/>
      <c r="AF13" s="3"/>
      <c r="AG13" s="3"/>
      <c r="AH13" s="3"/>
      <c r="AI13" s="24"/>
      <c r="AJ13" s="3"/>
    </row>
    <row r="14" spans="1:36" s="131" customFormat="1" ht="40.5" customHeight="1" x14ac:dyDescent="0.25">
      <c r="A14" s="134">
        <f t="shared" si="2"/>
        <v>11</v>
      </c>
      <c r="B14" s="14" t="s">
        <v>407</v>
      </c>
      <c r="C14" s="134" t="s">
        <v>21</v>
      </c>
      <c r="D14" s="138" t="s">
        <v>60</v>
      </c>
      <c r="E14" s="134" t="s">
        <v>489</v>
      </c>
      <c r="F14" s="133">
        <v>30000</v>
      </c>
      <c r="G14" s="129" t="s">
        <v>56</v>
      </c>
      <c r="H14" s="129" t="s">
        <v>56</v>
      </c>
      <c r="I14" s="136">
        <v>26072.899999999998</v>
      </c>
      <c r="J14" s="141">
        <v>16500</v>
      </c>
      <c r="K14" s="142">
        <v>23000</v>
      </c>
      <c r="L14" s="122" t="s">
        <v>57</v>
      </c>
      <c r="M14" s="124" t="s">
        <v>57</v>
      </c>
      <c r="N14" s="122">
        <f t="shared" si="0"/>
        <v>42572.899999999994</v>
      </c>
      <c r="O14" s="4">
        <f t="shared" si="1"/>
        <v>49072.899999999994</v>
      </c>
      <c r="P14" s="130"/>
      <c r="Q14" s="130"/>
      <c r="R14" s="130"/>
      <c r="S14" s="130"/>
      <c r="T14" s="130"/>
      <c r="U14" s="130"/>
      <c r="V14" s="130"/>
      <c r="W14" s="130"/>
      <c r="X14" s="130"/>
      <c r="Y14" s="130"/>
      <c r="Z14" s="130"/>
      <c r="AB14" s="24" t="s">
        <v>30</v>
      </c>
      <c r="AC14" s="3"/>
      <c r="AD14" s="3" t="str">
        <f t="shared" ref="AD14:AD21" si="4">SUBSTITUTE(AB14," ","")</f>
        <v>_11.Temperaturemonitoringdevice_30DTR</v>
      </c>
      <c r="AE14" s="3"/>
      <c r="AF14" s="3"/>
      <c r="AG14" s="3"/>
      <c r="AH14" s="3"/>
      <c r="AI14" s="24"/>
      <c r="AJ14" s="3"/>
    </row>
    <row r="15" spans="1:36" s="131" customFormat="1" ht="40.5" customHeight="1" x14ac:dyDescent="0.25">
      <c r="A15" s="134">
        <f t="shared" si="2"/>
        <v>12</v>
      </c>
      <c r="B15" s="14" t="s">
        <v>407</v>
      </c>
      <c r="C15" s="134" t="s">
        <v>21</v>
      </c>
      <c r="D15" s="138" t="s">
        <v>60</v>
      </c>
      <c r="E15" s="134" t="s">
        <v>490</v>
      </c>
      <c r="F15" s="133">
        <v>30000</v>
      </c>
      <c r="G15" s="129" t="s">
        <v>56</v>
      </c>
      <c r="H15" s="129" t="s">
        <v>56</v>
      </c>
      <c r="I15" s="136">
        <v>26775</v>
      </c>
      <c r="J15" s="141">
        <v>16500</v>
      </c>
      <c r="K15" s="142">
        <v>23000</v>
      </c>
      <c r="L15" s="122" t="s">
        <v>57</v>
      </c>
      <c r="M15" s="124" t="s">
        <v>57</v>
      </c>
      <c r="N15" s="122">
        <f t="shared" si="0"/>
        <v>43275</v>
      </c>
      <c r="O15" s="4">
        <f t="shared" si="1"/>
        <v>49775</v>
      </c>
      <c r="P15" s="130"/>
      <c r="Q15" s="130"/>
      <c r="R15" s="130"/>
      <c r="S15" s="130"/>
      <c r="T15" s="130"/>
      <c r="U15" s="130"/>
      <c r="V15" s="130"/>
      <c r="W15" s="130"/>
      <c r="X15" s="130"/>
      <c r="Y15" s="130"/>
      <c r="Z15" s="130"/>
      <c r="AB15" s="24" t="s">
        <v>31</v>
      </c>
      <c r="AC15" s="3"/>
      <c r="AD15" s="3" t="str">
        <f t="shared" si="4"/>
        <v>_12.Remotetemperaturemonitoringdevices_RTMDs</v>
      </c>
      <c r="AE15" s="3"/>
      <c r="AF15" s="3"/>
      <c r="AG15" s="3"/>
      <c r="AH15" s="3"/>
      <c r="AI15" s="3"/>
      <c r="AJ15" s="3"/>
    </row>
    <row r="16" spans="1:36" s="131" customFormat="1" ht="40.5" customHeight="1" x14ac:dyDescent="0.25">
      <c r="A16" s="134">
        <f t="shared" si="2"/>
        <v>13</v>
      </c>
      <c r="B16" s="14" t="s">
        <v>407</v>
      </c>
      <c r="C16" s="134" t="s">
        <v>21</v>
      </c>
      <c r="D16" s="138" t="s">
        <v>62</v>
      </c>
      <c r="E16" s="134" t="s">
        <v>491</v>
      </c>
      <c r="F16" s="133">
        <v>30000</v>
      </c>
      <c r="G16" s="129" t="s">
        <v>56</v>
      </c>
      <c r="H16" s="129" t="s">
        <v>56</v>
      </c>
      <c r="I16" s="136">
        <v>22225.629999999997</v>
      </c>
      <c r="J16" s="141">
        <v>16500</v>
      </c>
      <c r="K16" s="142">
        <v>23000</v>
      </c>
      <c r="L16" s="122" t="s">
        <v>57</v>
      </c>
      <c r="M16" s="124" t="s">
        <v>57</v>
      </c>
      <c r="N16" s="122">
        <f t="shared" si="0"/>
        <v>38725.629999999997</v>
      </c>
      <c r="O16" s="4">
        <f t="shared" si="1"/>
        <v>45225.63</v>
      </c>
      <c r="P16" s="130"/>
      <c r="Q16" s="130"/>
      <c r="R16" s="130"/>
      <c r="S16" s="130"/>
      <c r="T16" s="130"/>
      <c r="U16" s="130"/>
      <c r="V16" s="130"/>
      <c r="W16" s="130"/>
      <c r="X16" s="130"/>
      <c r="Y16" s="130"/>
      <c r="Z16" s="130"/>
      <c r="AB16" s="24" t="s">
        <v>32</v>
      </c>
      <c r="AC16" s="3"/>
      <c r="AD16" s="3" t="str">
        <f t="shared" ref="AD16" si="5">SUBSTITUTE(AB16," ","")</f>
        <v>_13.Standardvaccinecarriers</v>
      </c>
      <c r="AE16" s="3"/>
      <c r="AF16" s="3"/>
      <c r="AG16" s="3"/>
      <c r="AH16" s="3"/>
      <c r="AI16" s="3"/>
      <c r="AJ16" s="3"/>
    </row>
    <row r="17" spans="1:36" s="131" customFormat="1" ht="40.5" customHeight="1" x14ac:dyDescent="0.25">
      <c r="A17" s="134">
        <f t="shared" si="2"/>
        <v>14</v>
      </c>
      <c r="B17" s="14" t="s">
        <v>407</v>
      </c>
      <c r="C17" s="134" t="s">
        <v>21</v>
      </c>
      <c r="D17" s="138" t="s">
        <v>62</v>
      </c>
      <c r="E17" s="134" t="s">
        <v>492</v>
      </c>
      <c r="F17" s="133">
        <v>30000</v>
      </c>
      <c r="G17" s="129" t="s">
        <v>56</v>
      </c>
      <c r="H17" s="129" t="s">
        <v>56</v>
      </c>
      <c r="I17" s="136">
        <v>25318.44</v>
      </c>
      <c r="J17" s="141">
        <v>16500</v>
      </c>
      <c r="K17" s="142">
        <v>23000</v>
      </c>
      <c r="L17" s="122" t="s">
        <v>57</v>
      </c>
      <c r="M17" s="124" t="s">
        <v>57</v>
      </c>
      <c r="N17" s="122">
        <f t="shared" si="0"/>
        <v>41818.44</v>
      </c>
      <c r="O17" s="4">
        <f t="shared" si="1"/>
        <v>48318.44</v>
      </c>
      <c r="P17" s="130"/>
      <c r="Q17" s="130"/>
      <c r="R17" s="130"/>
      <c r="S17" s="130"/>
      <c r="T17" s="130"/>
      <c r="U17" s="130"/>
      <c r="V17" s="130"/>
      <c r="W17" s="130"/>
      <c r="X17" s="130"/>
      <c r="Y17" s="130"/>
      <c r="Z17" s="130"/>
      <c r="AB17" s="24" t="s">
        <v>33</v>
      </c>
      <c r="AC17" s="3"/>
      <c r="AD17" s="3" t="str">
        <f t="shared" si="4"/>
        <v>_14.Freezefreevaccinecarriers</v>
      </c>
      <c r="AE17" s="3"/>
      <c r="AF17" s="3"/>
      <c r="AG17" s="3"/>
      <c r="AH17" s="3"/>
      <c r="AI17" s="24"/>
      <c r="AJ17" s="3"/>
    </row>
    <row r="18" spans="1:36" s="131" customFormat="1" ht="40.5" customHeight="1" x14ac:dyDescent="0.25">
      <c r="A18" s="134">
        <f t="shared" si="2"/>
        <v>15</v>
      </c>
      <c r="B18" s="14" t="s">
        <v>407</v>
      </c>
      <c r="C18" s="134" t="s">
        <v>65</v>
      </c>
      <c r="D18" s="138" t="s">
        <v>55</v>
      </c>
      <c r="E18" s="134" t="s">
        <v>493</v>
      </c>
      <c r="F18" s="133">
        <v>40000</v>
      </c>
      <c r="G18" s="129" t="s">
        <v>56</v>
      </c>
      <c r="H18" s="129" t="s">
        <v>56</v>
      </c>
      <c r="I18" s="136">
        <v>25132.633399999999</v>
      </c>
      <c r="J18" s="141">
        <v>18500</v>
      </c>
      <c r="K18" s="142">
        <v>26000</v>
      </c>
      <c r="L18" s="122" t="s">
        <v>57</v>
      </c>
      <c r="M18" s="124" t="s">
        <v>57</v>
      </c>
      <c r="N18" s="122">
        <f t="shared" si="0"/>
        <v>43632.633399999999</v>
      </c>
      <c r="O18" s="4">
        <f t="shared" si="1"/>
        <v>51132.633399999999</v>
      </c>
      <c r="P18" s="130"/>
      <c r="Q18" s="130"/>
      <c r="R18" s="130"/>
      <c r="S18" s="130"/>
      <c r="T18" s="130"/>
      <c r="U18" s="130"/>
      <c r="V18" s="130"/>
      <c r="W18" s="130"/>
      <c r="X18" s="130"/>
      <c r="Y18" s="130"/>
      <c r="Z18" s="130"/>
      <c r="AA18" s="3"/>
      <c r="AB18" s="24" t="s">
        <v>34</v>
      </c>
      <c r="AC18" s="3"/>
      <c r="AD18" s="3" t="str">
        <f t="shared" ref="AD18" si="6">SUBSTITUTE(AB18," ","")</f>
        <v>_15.Standardvaccinecoldboxes</v>
      </c>
      <c r="AE18" s="3"/>
      <c r="AF18" s="3"/>
      <c r="AG18" s="3"/>
      <c r="AH18" s="3"/>
      <c r="AI18" s="24"/>
      <c r="AJ18" s="3"/>
    </row>
    <row r="19" spans="1:36" s="131" customFormat="1" ht="40.5" customHeight="1" x14ac:dyDescent="0.25">
      <c r="A19" s="134">
        <f t="shared" si="2"/>
        <v>16</v>
      </c>
      <c r="B19" s="14" t="s">
        <v>407</v>
      </c>
      <c r="C19" s="134" t="s">
        <v>65</v>
      </c>
      <c r="D19" s="138" t="s">
        <v>58</v>
      </c>
      <c r="E19" s="134" t="s">
        <v>494</v>
      </c>
      <c r="F19" s="133">
        <v>40000</v>
      </c>
      <c r="G19" s="129" t="s">
        <v>56</v>
      </c>
      <c r="H19" s="129" t="s">
        <v>56</v>
      </c>
      <c r="I19" s="136">
        <v>21100</v>
      </c>
      <c r="J19" s="141">
        <v>18500</v>
      </c>
      <c r="K19" s="142">
        <v>26000</v>
      </c>
      <c r="L19" s="122" t="s">
        <v>57</v>
      </c>
      <c r="M19" s="124" t="s">
        <v>57</v>
      </c>
      <c r="N19" s="122">
        <f t="shared" si="0"/>
        <v>39600</v>
      </c>
      <c r="O19" s="4">
        <f t="shared" si="1"/>
        <v>47100</v>
      </c>
      <c r="P19" s="130"/>
      <c r="Q19" s="130"/>
      <c r="R19" s="130"/>
      <c r="S19" s="130"/>
      <c r="T19" s="130"/>
      <c r="U19" s="130"/>
      <c r="V19" s="130"/>
      <c r="W19" s="130"/>
      <c r="X19" s="130"/>
      <c r="Y19" s="130"/>
      <c r="Z19" s="130"/>
      <c r="AB19" s="24" t="s">
        <v>35</v>
      </c>
      <c r="AC19" s="3"/>
      <c r="AD19" s="3" t="str">
        <f t="shared" si="4"/>
        <v>_16.Freezefreecoldboxes</v>
      </c>
      <c r="AE19" s="3"/>
      <c r="AF19" s="3"/>
      <c r="AG19" s="3"/>
      <c r="AH19" s="3"/>
      <c r="AI19" s="24"/>
      <c r="AJ19" s="3"/>
    </row>
    <row r="20" spans="1:36" s="131" customFormat="1" ht="40.5" customHeight="1" x14ac:dyDescent="0.25">
      <c r="A20" s="134">
        <f t="shared" si="2"/>
        <v>17</v>
      </c>
      <c r="B20" s="14" t="s">
        <v>407</v>
      </c>
      <c r="C20" s="134" t="s">
        <v>65</v>
      </c>
      <c r="D20" s="138" t="s">
        <v>58</v>
      </c>
      <c r="E20" s="134" t="s">
        <v>495</v>
      </c>
      <c r="F20" s="133">
        <v>40000</v>
      </c>
      <c r="G20" s="129" t="s">
        <v>56</v>
      </c>
      <c r="H20" s="129" t="s">
        <v>56</v>
      </c>
      <c r="I20" s="136">
        <v>23100</v>
      </c>
      <c r="J20" s="141">
        <v>18500</v>
      </c>
      <c r="K20" s="142">
        <v>26000</v>
      </c>
      <c r="L20" s="122" t="s">
        <v>57</v>
      </c>
      <c r="M20" s="124" t="s">
        <v>57</v>
      </c>
      <c r="N20" s="122">
        <f t="shared" si="0"/>
        <v>41600</v>
      </c>
      <c r="O20" s="4">
        <f t="shared" si="1"/>
        <v>49100</v>
      </c>
      <c r="P20" s="130"/>
      <c r="Q20" s="130"/>
      <c r="R20" s="130"/>
      <c r="S20" s="130"/>
      <c r="T20" s="130"/>
      <c r="U20" s="130"/>
      <c r="V20" s="130"/>
      <c r="W20" s="130"/>
      <c r="X20" s="130"/>
      <c r="Y20" s="130"/>
      <c r="Z20" s="130"/>
      <c r="AB20" s="3" t="s">
        <v>36</v>
      </c>
      <c r="AC20" s="3"/>
      <c r="AD20" s="3" t="str">
        <f t="shared" si="4"/>
        <v>_17.Voltageregulatorsforequipment</v>
      </c>
      <c r="AE20" s="3"/>
      <c r="AF20" s="3"/>
      <c r="AG20" s="3"/>
      <c r="AH20" s="3"/>
      <c r="AI20" s="24"/>
      <c r="AJ20" s="3"/>
    </row>
    <row r="21" spans="1:36" s="131" customFormat="1" ht="40.5" customHeight="1" x14ac:dyDescent="0.25">
      <c r="A21" s="134">
        <f t="shared" si="2"/>
        <v>18</v>
      </c>
      <c r="B21" s="14" t="s">
        <v>407</v>
      </c>
      <c r="C21" s="134" t="s">
        <v>65</v>
      </c>
      <c r="D21" s="138" t="s">
        <v>59</v>
      </c>
      <c r="E21" s="134" t="s">
        <v>496</v>
      </c>
      <c r="F21" s="133">
        <v>40000</v>
      </c>
      <c r="G21" s="129" t="s">
        <v>56</v>
      </c>
      <c r="H21" s="129" t="s">
        <v>56</v>
      </c>
      <c r="I21" s="136">
        <v>26596.5</v>
      </c>
      <c r="J21" s="141">
        <v>18500</v>
      </c>
      <c r="K21" s="142">
        <v>26000</v>
      </c>
      <c r="L21" s="122" t="s">
        <v>57</v>
      </c>
      <c r="M21" s="124" t="s">
        <v>57</v>
      </c>
      <c r="N21" s="122">
        <f t="shared" si="0"/>
        <v>45096.5</v>
      </c>
      <c r="O21" s="4">
        <f t="shared" si="1"/>
        <v>52596.5</v>
      </c>
      <c r="P21" s="130"/>
      <c r="Q21" s="130"/>
      <c r="R21" s="130"/>
      <c r="S21" s="130"/>
      <c r="T21" s="130"/>
      <c r="U21" s="130"/>
      <c r="V21" s="130"/>
      <c r="W21" s="130"/>
      <c r="X21" s="130"/>
      <c r="Y21" s="130"/>
      <c r="Z21" s="130"/>
      <c r="AB21" s="165" t="s">
        <v>37</v>
      </c>
      <c r="AD21" s="3" t="str">
        <f t="shared" si="4"/>
        <v>_18.Icepacks</v>
      </c>
      <c r="AF21" s="3"/>
      <c r="AG21" s="3"/>
      <c r="AH21" s="3"/>
      <c r="AI21" s="3"/>
      <c r="AJ21" s="3"/>
    </row>
    <row r="22" spans="1:36" s="131" customFormat="1" ht="40.5" customHeight="1" x14ac:dyDescent="0.25">
      <c r="A22" s="134">
        <f t="shared" si="2"/>
        <v>19</v>
      </c>
      <c r="B22" s="14" t="s">
        <v>407</v>
      </c>
      <c r="C22" s="134" t="s">
        <v>65</v>
      </c>
      <c r="D22" s="138" t="s">
        <v>59</v>
      </c>
      <c r="E22" s="134" t="s">
        <v>497</v>
      </c>
      <c r="F22" s="133">
        <v>40000</v>
      </c>
      <c r="G22" s="129" t="s">
        <v>56</v>
      </c>
      <c r="H22" s="129" t="s">
        <v>56</v>
      </c>
      <c r="I22" s="136">
        <v>30404.5</v>
      </c>
      <c r="J22" s="141">
        <v>18500</v>
      </c>
      <c r="K22" s="142">
        <v>26000</v>
      </c>
      <c r="L22" s="122" t="s">
        <v>57</v>
      </c>
      <c r="M22" s="124" t="s">
        <v>57</v>
      </c>
      <c r="N22" s="122">
        <f t="shared" si="0"/>
        <v>48904.5</v>
      </c>
      <c r="O22" s="4">
        <f t="shared" si="1"/>
        <v>56404.5</v>
      </c>
      <c r="P22" s="130"/>
      <c r="Q22" s="130"/>
      <c r="R22" s="130"/>
      <c r="S22" s="130"/>
      <c r="T22" s="130"/>
      <c r="U22" s="130"/>
      <c r="V22" s="130"/>
      <c r="W22" s="130"/>
      <c r="X22" s="130"/>
      <c r="Y22" s="130"/>
      <c r="Z22" s="130"/>
      <c r="AB22" s="24" t="s">
        <v>38</v>
      </c>
      <c r="AC22" s="3"/>
      <c r="AD22" s="3" t="str">
        <f t="shared" ref="AD22:AD27" si="7">SUBSTITUTE(AB22," ","")</f>
        <v>_19.SparepartsfornewILRequipmentwithoutfreezer</v>
      </c>
      <c r="AE22" s="3"/>
      <c r="AF22" s="3"/>
      <c r="AG22" s="3"/>
      <c r="AH22" s="3"/>
      <c r="AI22" s="24"/>
      <c r="AJ22" s="3"/>
    </row>
    <row r="23" spans="1:36" s="131" customFormat="1" ht="40.5" customHeight="1" x14ac:dyDescent="0.25">
      <c r="A23" s="134">
        <f t="shared" si="2"/>
        <v>20</v>
      </c>
      <c r="B23" s="14" t="s">
        <v>407</v>
      </c>
      <c r="C23" s="134" t="s">
        <v>65</v>
      </c>
      <c r="D23" s="138" t="s">
        <v>60</v>
      </c>
      <c r="E23" s="134" t="s">
        <v>498</v>
      </c>
      <c r="F23" s="133">
        <v>40000</v>
      </c>
      <c r="G23" s="129" t="s">
        <v>56</v>
      </c>
      <c r="H23" s="129" t="s">
        <v>56</v>
      </c>
      <c r="I23" s="136">
        <v>27988.799999999999</v>
      </c>
      <c r="J23" s="141">
        <v>18500</v>
      </c>
      <c r="K23" s="142">
        <v>26000</v>
      </c>
      <c r="L23" s="122" t="s">
        <v>57</v>
      </c>
      <c r="M23" s="124" t="s">
        <v>57</v>
      </c>
      <c r="N23" s="122">
        <f t="shared" si="0"/>
        <v>46488.800000000003</v>
      </c>
      <c r="O23" s="4">
        <f t="shared" si="1"/>
        <v>53988.800000000003</v>
      </c>
      <c r="P23" s="130"/>
      <c r="Q23" s="130"/>
      <c r="R23" s="130"/>
      <c r="S23" s="130"/>
      <c r="T23" s="130"/>
      <c r="U23" s="130"/>
      <c r="V23" s="130"/>
      <c r="W23" s="130"/>
      <c r="X23" s="130"/>
      <c r="Y23" s="130"/>
      <c r="Z23" s="130"/>
      <c r="AB23" s="3" t="s">
        <v>39</v>
      </c>
      <c r="AC23" s="3"/>
      <c r="AD23" s="3" t="str">
        <f t="shared" si="7"/>
        <v>_20.SparepartsfornewILRequipmentwithfreezer</v>
      </c>
      <c r="AE23" s="3"/>
      <c r="AF23" s="3"/>
      <c r="AG23" s="3"/>
      <c r="AH23" s="3"/>
      <c r="AI23" s="3"/>
      <c r="AJ23" s="3"/>
    </row>
    <row r="24" spans="1:36" s="131" customFormat="1" ht="40.5" customHeight="1" x14ac:dyDescent="0.25">
      <c r="A24" s="134">
        <f t="shared" si="2"/>
        <v>21</v>
      </c>
      <c r="B24" s="14" t="s">
        <v>407</v>
      </c>
      <c r="C24" s="134" t="s">
        <v>65</v>
      </c>
      <c r="D24" s="138" t="s">
        <v>60</v>
      </c>
      <c r="E24" s="134" t="s">
        <v>499</v>
      </c>
      <c r="F24" s="133">
        <v>40000</v>
      </c>
      <c r="G24" s="129" t="s">
        <v>56</v>
      </c>
      <c r="H24" s="129" t="s">
        <v>56</v>
      </c>
      <c r="I24" s="136">
        <v>28702.799999999999</v>
      </c>
      <c r="J24" s="141">
        <v>18500</v>
      </c>
      <c r="K24" s="142">
        <v>26000</v>
      </c>
      <c r="L24" s="122" t="s">
        <v>57</v>
      </c>
      <c r="M24" s="124" t="s">
        <v>57</v>
      </c>
      <c r="N24" s="122">
        <f t="shared" si="0"/>
        <v>47202.8</v>
      </c>
      <c r="O24" s="4">
        <f t="shared" si="1"/>
        <v>54702.8</v>
      </c>
      <c r="P24" s="130"/>
      <c r="Q24" s="130"/>
      <c r="R24" s="130"/>
      <c r="S24" s="130"/>
      <c r="T24" s="130"/>
      <c r="U24" s="130"/>
      <c r="V24" s="130"/>
      <c r="W24" s="130"/>
      <c r="X24" s="130"/>
      <c r="Y24" s="130"/>
      <c r="Z24" s="130"/>
      <c r="AB24" s="3" t="s">
        <v>40</v>
      </c>
      <c r="AC24" s="3"/>
      <c r="AD24" s="3" t="str">
        <f t="shared" si="7"/>
        <v>_21.Sparepartsfornewfreezerequipment</v>
      </c>
      <c r="AE24" s="3"/>
    </row>
    <row r="25" spans="1:36" s="131" customFormat="1" ht="40.5" customHeight="1" x14ac:dyDescent="0.25">
      <c r="A25" s="134">
        <f t="shared" si="2"/>
        <v>22</v>
      </c>
      <c r="B25" s="14" t="s">
        <v>407</v>
      </c>
      <c r="C25" s="134" t="s">
        <v>65</v>
      </c>
      <c r="D25" s="138" t="s">
        <v>62</v>
      </c>
      <c r="E25" s="134" t="s">
        <v>500</v>
      </c>
      <c r="F25" s="133">
        <v>40000</v>
      </c>
      <c r="G25" s="129" t="s">
        <v>56</v>
      </c>
      <c r="H25" s="129" t="s">
        <v>56</v>
      </c>
      <c r="I25" s="136">
        <v>25007.85</v>
      </c>
      <c r="J25" s="141">
        <v>18500</v>
      </c>
      <c r="K25" s="142">
        <v>26000</v>
      </c>
      <c r="L25" s="122" t="s">
        <v>57</v>
      </c>
      <c r="M25" s="124" t="s">
        <v>57</v>
      </c>
      <c r="N25" s="122">
        <f t="shared" si="0"/>
        <v>43507.85</v>
      </c>
      <c r="O25" s="4">
        <f t="shared" si="1"/>
        <v>51007.85</v>
      </c>
      <c r="P25" s="130"/>
      <c r="Q25" s="130"/>
      <c r="R25" s="130"/>
      <c r="S25" s="130"/>
      <c r="T25" s="130"/>
      <c r="U25" s="130"/>
      <c r="V25" s="130"/>
      <c r="W25" s="130"/>
      <c r="X25" s="130"/>
      <c r="Y25" s="130"/>
      <c r="Z25" s="130"/>
      <c r="AB25" s="3" t="s">
        <v>41</v>
      </c>
      <c r="AC25" s="3"/>
      <c r="AD25" s="3" t="str">
        <f t="shared" si="7"/>
        <v>_22.SparepartsfornewSDDwithoutfreezercomp.</v>
      </c>
    </row>
    <row r="26" spans="1:36" s="131" customFormat="1" ht="40.5" customHeight="1" x14ac:dyDescent="0.25">
      <c r="A26" s="134">
        <f t="shared" si="2"/>
        <v>23</v>
      </c>
      <c r="B26" s="14" t="s">
        <v>407</v>
      </c>
      <c r="C26" s="134" t="s">
        <v>65</v>
      </c>
      <c r="D26" s="138" t="s">
        <v>62</v>
      </c>
      <c r="E26" s="134" t="s">
        <v>501</v>
      </c>
      <c r="F26" s="133">
        <v>40000</v>
      </c>
      <c r="G26" s="129" t="s">
        <v>56</v>
      </c>
      <c r="H26" s="129" t="s">
        <v>56</v>
      </c>
      <c r="I26" s="136">
        <v>28492.17</v>
      </c>
      <c r="J26" s="141">
        <v>18500</v>
      </c>
      <c r="K26" s="142">
        <v>26000</v>
      </c>
      <c r="L26" s="122" t="s">
        <v>57</v>
      </c>
      <c r="M26" s="124" t="s">
        <v>57</v>
      </c>
      <c r="N26" s="122">
        <f t="shared" si="0"/>
        <v>46992.17</v>
      </c>
      <c r="O26" s="4">
        <f t="shared" si="1"/>
        <v>54492.17</v>
      </c>
      <c r="P26" s="130"/>
      <c r="Q26" s="130"/>
      <c r="R26" s="130"/>
      <c r="S26" s="130"/>
      <c r="T26" s="130"/>
      <c r="U26" s="130"/>
      <c r="V26" s="130"/>
      <c r="W26" s="130"/>
      <c r="X26" s="130"/>
      <c r="Y26" s="130"/>
      <c r="Z26" s="130"/>
      <c r="AB26" s="3" t="s">
        <v>42</v>
      </c>
      <c r="AC26" s="3"/>
      <c r="AD26" s="3" t="str">
        <f t="shared" si="7"/>
        <v>_23.SparepartsfornewSDDwithfreezercomp.</v>
      </c>
    </row>
    <row r="27" spans="1:36" s="131" customFormat="1" ht="40.5" customHeight="1" x14ac:dyDescent="0.25">
      <c r="A27" s="134">
        <f t="shared" si="2"/>
        <v>24</v>
      </c>
      <c r="B27" s="14" t="s">
        <v>408</v>
      </c>
      <c r="C27" s="134" t="s">
        <v>65</v>
      </c>
      <c r="D27" s="138" t="s">
        <v>58</v>
      </c>
      <c r="E27" s="134" t="s">
        <v>502</v>
      </c>
      <c r="F27" s="133">
        <v>25000</v>
      </c>
      <c r="G27" s="133">
        <v>15000</v>
      </c>
      <c r="H27" s="129" t="s">
        <v>56</v>
      </c>
      <c r="I27" s="136">
        <v>27500</v>
      </c>
      <c r="J27" s="141">
        <v>26000</v>
      </c>
      <c r="K27" s="142">
        <v>38000</v>
      </c>
      <c r="L27" s="122" t="s">
        <v>57</v>
      </c>
      <c r="M27" s="124" t="s">
        <v>57</v>
      </c>
      <c r="N27" s="122">
        <f t="shared" si="0"/>
        <v>53500</v>
      </c>
      <c r="O27" s="4">
        <f t="shared" si="1"/>
        <v>65500</v>
      </c>
      <c r="P27" s="130"/>
      <c r="Q27" s="130"/>
      <c r="R27" s="130"/>
      <c r="S27" s="130"/>
      <c r="T27" s="130"/>
      <c r="U27" s="130"/>
      <c r="V27" s="130"/>
      <c r="W27" s="130"/>
      <c r="X27" s="130"/>
      <c r="Y27" s="130"/>
      <c r="Z27" s="130"/>
      <c r="AB27" s="3" t="s">
        <v>43</v>
      </c>
      <c r="AC27" s="3"/>
      <c r="AD27" s="3" t="str">
        <f t="shared" si="7"/>
        <v>_24.SparepartsfornewSDDfreezer</v>
      </c>
    </row>
    <row r="28" spans="1:36" s="131" customFormat="1" ht="40.5" customHeight="1" x14ac:dyDescent="0.25">
      <c r="A28" s="134">
        <f t="shared" si="2"/>
        <v>25</v>
      </c>
      <c r="B28" s="14" t="s">
        <v>408</v>
      </c>
      <c r="C28" s="134" t="s">
        <v>65</v>
      </c>
      <c r="D28" s="138" t="s">
        <v>58</v>
      </c>
      <c r="E28" s="134" t="s">
        <v>503</v>
      </c>
      <c r="F28" s="133">
        <v>25000</v>
      </c>
      <c r="G28" s="133">
        <v>15000</v>
      </c>
      <c r="H28" s="129" t="s">
        <v>56</v>
      </c>
      <c r="I28" s="136">
        <v>36500</v>
      </c>
      <c r="J28" s="141">
        <v>26000</v>
      </c>
      <c r="K28" s="142">
        <v>38000</v>
      </c>
      <c r="L28" s="122" t="s">
        <v>57</v>
      </c>
      <c r="M28" s="124" t="s">
        <v>57</v>
      </c>
      <c r="N28" s="122">
        <f t="shared" si="0"/>
        <v>62500</v>
      </c>
      <c r="O28" s="4">
        <f t="shared" si="1"/>
        <v>74500</v>
      </c>
      <c r="P28" s="130"/>
      <c r="Q28" s="130"/>
      <c r="R28" s="130"/>
      <c r="S28" s="130"/>
      <c r="T28" s="130"/>
      <c r="U28" s="130"/>
      <c r="V28" s="130"/>
      <c r="W28" s="130"/>
      <c r="X28" s="130"/>
      <c r="Y28" s="130"/>
      <c r="Z28" s="130"/>
      <c r="AB28" s="132"/>
    </row>
    <row r="29" spans="1:36" s="131" customFormat="1" ht="40.5" customHeight="1" x14ac:dyDescent="0.25">
      <c r="A29" s="134">
        <f t="shared" si="2"/>
        <v>26</v>
      </c>
      <c r="B29" s="14" t="s">
        <v>408</v>
      </c>
      <c r="C29" s="134" t="s">
        <v>65</v>
      </c>
      <c r="D29" s="138" t="s">
        <v>59</v>
      </c>
      <c r="E29" s="134" t="s">
        <v>504</v>
      </c>
      <c r="F29" s="133">
        <v>25000</v>
      </c>
      <c r="G29" s="133">
        <v>15000</v>
      </c>
      <c r="H29" s="129" t="s">
        <v>56</v>
      </c>
      <c r="I29" s="136">
        <v>34596</v>
      </c>
      <c r="J29" s="141">
        <v>26000</v>
      </c>
      <c r="K29" s="142">
        <v>38000</v>
      </c>
      <c r="L29" s="122" t="s">
        <v>57</v>
      </c>
      <c r="M29" s="124" t="s">
        <v>57</v>
      </c>
      <c r="N29" s="122">
        <f t="shared" si="0"/>
        <v>60596</v>
      </c>
      <c r="O29" s="4">
        <f t="shared" si="1"/>
        <v>72596</v>
      </c>
      <c r="P29" s="130"/>
      <c r="Q29" s="130"/>
      <c r="R29" s="130"/>
      <c r="S29" s="130"/>
      <c r="T29" s="130"/>
      <c r="U29" s="130"/>
      <c r="V29" s="130"/>
      <c r="W29" s="130"/>
      <c r="X29" s="130"/>
      <c r="Y29" s="130"/>
      <c r="Z29" s="130"/>
      <c r="AB29" s="132"/>
    </row>
    <row r="30" spans="1:36" s="131" customFormat="1" ht="40.5" customHeight="1" x14ac:dyDescent="0.25">
      <c r="A30" s="134">
        <f t="shared" si="2"/>
        <v>27</v>
      </c>
      <c r="B30" s="14" t="s">
        <v>408</v>
      </c>
      <c r="C30" s="134" t="s">
        <v>65</v>
      </c>
      <c r="D30" s="138" t="s">
        <v>59</v>
      </c>
      <c r="E30" s="134" t="s">
        <v>505</v>
      </c>
      <c r="F30" s="133">
        <v>25000</v>
      </c>
      <c r="G30" s="133">
        <v>15000</v>
      </c>
      <c r="H30" s="129" t="s">
        <v>56</v>
      </c>
      <c r="I30" s="136">
        <v>43099</v>
      </c>
      <c r="J30" s="141">
        <v>26000</v>
      </c>
      <c r="K30" s="142">
        <v>38000</v>
      </c>
      <c r="L30" s="122" t="s">
        <v>57</v>
      </c>
      <c r="M30" s="124" t="s">
        <v>57</v>
      </c>
      <c r="N30" s="122">
        <f t="shared" si="0"/>
        <v>69099</v>
      </c>
      <c r="O30" s="4">
        <f t="shared" si="1"/>
        <v>81099</v>
      </c>
      <c r="P30" s="130"/>
      <c r="Q30" s="130"/>
      <c r="R30" s="130"/>
      <c r="S30" s="130"/>
      <c r="T30" s="130"/>
      <c r="U30" s="130"/>
      <c r="V30" s="130"/>
      <c r="W30" s="130"/>
      <c r="X30" s="130"/>
      <c r="Y30" s="130"/>
      <c r="Z30" s="130"/>
      <c r="AB30" s="132"/>
    </row>
    <row r="31" spans="1:36" s="131" customFormat="1" ht="40.5" customHeight="1" x14ac:dyDescent="0.25">
      <c r="A31" s="134">
        <f t="shared" si="2"/>
        <v>28</v>
      </c>
      <c r="B31" s="14" t="s">
        <v>408</v>
      </c>
      <c r="C31" s="134" t="s">
        <v>65</v>
      </c>
      <c r="D31" s="138" t="s">
        <v>60</v>
      </c>
      <c r="E31" s="134" t="s">
        <v>506</v>
      </c>
      <c r="F31" s="133">
        <v>25000</v>
      </c>
      <c r="G31" s="133">
        <v>15000</v>
      </c>
      <c r="H31" s="129" t="s">
        <v>56</v>
      </c>
      <c r="I31" s="136">
        <v>45439</v>
      </c>
      <c r="J31" s="141">
        <v>26000</v>
      </c>
      <c r="K31" s="142">
        <v>38000</v>
      </c>
      <c r="L31" s="122" t="s">
        <v>57</v>
      </c>
      <c r="M31" s="124" t="s">
        <v>57</v>
      </c>
      <c r="N31" s="122">
        <f t="shared" si="0"/>
        <v>71439</v>
      </c>
      <c r="O31" s="4">
        <f t="shared" si="1"/>
        <v>83439</v>
      </c>
      <c r="P31" s="130"/>
      <c r="Q31" s="130"/>
      <c r="R31" s="130"/>
      <c r="S31" s="130"/>
      <c r="T31" s="130"/>
      <c r="U31" s="130"/>
      <c r="V31" s="130"/>
      <c r="W31" s="130"/>
      <c r="X31" s="130"/>
      <c r="Y31" s="130"/>
      <c r="Z31" s="130"/>
      <c r="AB31" s="132"/>
    </row>
    <row r="32" spans="1:36" s="131" customFormat="1" ht="40.5" customHeight="1" x14ac:dyDescent="0.25">
      <c r="A32" s="134">
        <f t="shared" si="2"/>
        <v>29</v>
      </c>
      <c r="B32" s="14" t="s">
        <v>408</v>
      </c>
      <c r="C32" s="134" t="s">
        <v>65</v>
      </c>
      <c r="D32" s="138" t="s">
        <v>60</v>
      </c>
      <c r="E32" s="134" t="s">
        <v>507</v>
      </c>
      <c r="F32" s="133">
        <v>25000</v>
      </c>
      <c r="G32" s="133">
        <v>15000</v>
      </c>
      <c r="H32" s="129" t="s">
        <v>56</v>
      </c>
      <c r="I32" s="136">
        <v>48339</v>
      </c>
      <c r="J32" s="141">
        <v>26000</v>
      </c>
      <c r="K32" s="142">
        <v>38000</v>
      </c>
      <c r="L32" s="122" t="s">
        <v>57</v>
      </c>
      <c r="M32" s="124" t="s">
        <v>57</v>
      </c>
      <c r="N32" s="122">
        <f t="shared" si="0"/>
        <v>74339</v>
      </c>
      <c r="O32" s="4">
        <f t="shared" si="1"/>
        <v>86339</v>
      </c>
      <c r="P32" s="130"/>
      <c r="Q32" s="130"/>
      <c r="R32" s="130"/>
      <c r="S32" s="130"/>
      <c r="T32" s="130"/>
      <c r="U32" s="130"/>
      <c r="V32" s="130"/>
      <c r="W32" s="130"/>
      <c r="X32" s="130"/>
      <c r="Y32" s="130"/>
      <c r="Z32" s="130"/>
      <c r="AB32" s="132"/>
    </row>
    <row r="33" spans="1:28" s="131" customFormat="1" ht="40.5" customHeight="1" x14ac:dyDescent="0.25">
      <c r="A33" s="134">
        <f t="shared" si="2"/>
        <v>30</v>
      </c>
      <c r="B33" s="14" t="s">
        <v>408</v>
      </c>
      <c r="C33" s="134" t="s">
        <v>65</v>
      </c>
      <c r="D33" s="138" t="s">
        <v>62</v>
      </c>
      <c r="E33" s="134" t="s">
        <v>508</v>
      </c>
      <c r="F33" s="133">
        <v>25000</v>
      </c>
      <c r="G33" s="133">
        <v>15000</v>
      </c>
      <c r="H33" s="129" t="s">
        <v>56</v>
      </c>
      <c r="I33" s="136">
        <v>38626</v>
      </c>
      <c r="J33" s="141">
        <v>26000</v>
      </c>
      <c r="K33" s="142">
        <v>38000</v>
      </c>
      <c r="L33" s="122" t="s">
        <v>57</v>
      </c>
      <c r="M33" s="124" t="s">
        <v>57</v>
      </c>
      <c r="N33" s="122">
        <f t="shared" si="0"/>
        <v>64626</v>
      </c>
      <c r="O33" s="4">
        <f t="shared" si="1"/>
        <v>76626</v>
      </c>
      <c r="P33" s="130"/>
      <c r="Q33" s="130"/>
      <c r="R33" s="130"/>
      <c r="S33" s="130"/>
      <c r="T33" s="130"/>
      <c r="U33" s="130"/>
      <c r="V33" s="130"/>
      <c r="W33" s="130"/>
      <c r="X33" s="130"/>
      <c r="Y33" s="130"/>
      <c r="Z33" s="130"/>
      <c r="AB33" s="132"/>
    </row>
    <row r="34" spans="1:28" s="131" customFormat="1" ht="40.5" customHeight="1" x14ac:dyDescent="0.25">
      <c r="A34" s="134">
        <f t="shared" si="2"/>
        <v>31</v>
      </c>
      <c r="B34" s="14" t="s">
        <v>408</v>
      </c>
      <c r="C34" s="134" t="s">
        <v>65</v>
      </c>
      <c r="D34" s="138" t="s">
        <v>62</v>
      </c>
      <c r="E34" s="134" t="s">
        <v>509</v>
      </c>
      <c r="F34" s="133">
        <v>25000</v>
      </c>
      <c r="G34" s="133">
        <v>15000</v>
      </c>
      <c r="H34" s="129" t="s">
        <v>56</v>
      </c>
      <c r="I34" s="136">
        <v>45680</v>
      </c>
      <c r="J34" s="141">
        <v>26000</v>
      </c>
      <c r="K34" s="142">
        <v>38000</v>
      </c>
      <c r="L34" s="122" t="s">
        <v>57</v>
      </c>
      <c r="M34" s="124" t="s">
        <v>57</v>
      </c>
      <c r="N34" s="122">
        <f t="shared" si="0"/>
        <v>71680</v>
      </c>
      <c r="O34" s="4">
        <f t="shared" si="1"/>
        <v>83680</v>
      </c>
      <c r="P34" s="130"/>
      <c r="Q34" s="130"/>
      <c r="R34" s="130"/>
      <c r="S34" s="130"/>
      <c r="T34" s="130"/>
      <c r="U34" s="130"/>
      <c r="V34" s="130"/>
      <c r="W34" s="130"/>
      <c r="X34" s="130"/>
      <c r="Y34" s="130"/>
      <c r="Z34" s="130"/>
      <c r="AB34" s="132"/>
    </row>
    <row r="35" spans="1:28" s="131" customFormat="1" ht="40.5" customHeight="1" x14ac:dyDescent="0.25">
      <c r="A35" s="134">
        <f t="shared" si="2"/>
        <v>32</v>
      </c>
      <c r="B35" s="14" t="s">
        <v>421</v>
      </c>
      <c r="C35" s="134" t="s">
        <v>66</v>
      </c>
      <c r="D35" s="138" t="s">
        <v>62</v>
      </c>
      <c r="E35" s="228" t="s">
        <v>309</v>
      </c>
      <c r="F35" s="133">
        <v>20000</v>
      </c>
      <c r="G35" s="133">
        <v>20000</v>
      </c>
      <c r="H35" s="129" t="s">
        <v>56</v>
      </c>
      <c r="I35" s="136">
        <f>18357*1.16</f>
        <v>21294.12</v>
      </c>
      <c r="J35" s="141">
        <v>18500</v>
      </c>
      <c r="K35" s="142">
        <v>26000</v>
      </c>
      <c r="L35" s="122" t="s">
        <v>57</v>
      </c>
      <c r="M35" s="124" t="s">
        <v>57</v>
      </c>
      <c r="N35" s="122">
        <f t="shared" ref="N35:N42" si="8">I35+J35</f>
        <v>39794.119999999995</v>
      </c>
      <c r="O35" s="4">
        <f t="shared" ref="O35:O42" si="9">I35+K35</f>
        <v>47294.119999999995</v>
      </c>
      <c r="P35" s="130"/>
      <c r="Q35" s="130"/>
      <c r="R35" s="130"/>
      <c r="S35" s="130"/>
      <c r="T35" s="130"/>
      <c r="U35" s="130"/>
      <c r="V35" s="130"/>
      <c r="W35" s="130"/>
      <c r="X35" s="130"/>
      <c r="Y35" s="130"/>
      <c r="Z35" s="130"/>
      <c r="AB35" s="132"/>
    </row>
    <row r="36" spans="1:28" s="131" customFormat="1" ht="40.5" customHeight="1" x14ac:dyDescent="0.25">
      <c r="A36" s="134">
        <f t="shared" si="2"/>
        <v>33</v>
      </c>
      <c r="B36" s="14" t="s">
        <v>421</v>
      </c>
      <c r="C36" s="134" t="s">
        <v>66</v>
      </c>
      <c r="D36" s="138" t="s">
        <v>62</v>
      </c>
      <c r="E36" s="228" t="s">
        <v>310</v>
      </c>
      <c r="F36" s="133">
        <v>20000</v>
      </c>
      <c r="G36" s="133">
        <v>20000</v>
      </c>
      <c r="H36" s="129" t="s">
        <v>56</v>
      </c>
      <c r="I36" s="136">
        <f>20673*1.16</f>
        <v>23980.679999999997</v>
      </c>
      <c r="J36" s="141">
        <v>18500</v>
      </c>
      <c r="K36" s="142">
        <v>26000</v>
      </c>
      <c r="L36" s="122" t="s">
        <v>57</v>
      </c>
      <c r="M36" s="124" t="s">
        <v>57</v>
      </c>
      <c r="N36" s="122">
        <f t="shared" si="8"/>
        <v>42480.679999999993</v>
      </c>
      <c r="O36" s="4">
        <f t="shared" si="9"/>
        <v>49980.679999999993</v>
      </c>
      <c r="P36" s="130"/>
      <c r="Q36" s="130"/>
      <c r="R36" s="130"/>
      <c r="S36" s="130"/>
      <c r="T36" s="130"/>
      <c r="U36" s="130"/>
      <c r="V36" s="130"/>
      <c r="W36" s="130"/>
      <c r="X36" s="130"/>
      <c r="Y36" s="130"/>
      <c r="Z36" s="130"/>
      <c r="AB36" s="132"/>
    </row>
    <row r="37" spans="1:28" s="131" customFormat="1" ht="40.5" customHeight="1" x14ac:dyDescent="0.25">
      <c r="A37" s="134">
        <f t="shared" si="2"/>
        <v>34</v>
      </c>
      <c r="B37" s="14" t="s">
        <v>421</v>
      </c>
      <c r="C37" s="134" t="s">
        <v>66</v>
      </c>
      <c r="D37" s="138" t="s">
        <v>58</v>
      </c>
      <c r="E37" s="228" t="s">
        <v>311</v>
      </c>
      <c r="F37" s="133">
        <v>20000</v>
      </c>
      <c r="G37" s="133">
        <v>20000</v>
      </c>
      <c r="H37" s="129" t="s">
        <v>56</v>
      </c>
      <c r="I37" s="136">
        <v>18200</v>
      </c>
      <c r="J37" s="141">
        <v>18500</v>
      </c>
      <c r="K37" s="142">
        <v>26000</v>
      </c>
      <c r="L37" s="122" t="s">
        <v>57</v>
      </c>
      <c r="M37" s="124" t="s">
        <v>57</v>
      </c>
      <c r="N37" s="122">
        <f t="shared" si="8"/>
        <v>36700</v>
      </c>
      <c r="O37" s="4">
        <f t="shared" si="9"/>
        <v>44200</v>
      </c>
      <c r="P37" s="130"/>
      <c r="Q37" s="130"/>
      <c r="R37" s="130"/>
      <c r="S37" s="130"/>
      <c r="T37" s="130"/>
      <c r="U37" s="130"/>
      <c r="V37" s="130"/>
      <c r="W37" s="130"/>
      <c r="X37" s="130"/>
      <c r="Y37" s="130"/>
      <c r="Z37" s="130"/>
      <c r="AB37" s="132"/>
    </row>
    <row r="38" spans="1:28" s="131" customFormat="1" ht="40.5" customHeight="1" x14ac:dyDescent="0.25">
      <c r="A38" s="134">
        <f t="shared" si="2"/>
        <v>35</v>
      </c>
      <c r="B38" s="14" t="s">
        <v>421</v>
      </c>
      <c r="C38" s="134" t="s">
        <v>66</v>
      </c>
      <c r="D38" s="138" t="s">
        <v>58</v>
      </c>
      <c r="E38" s="228" t="s">
        <v>312</v>
      </c>
      <c r="F38" s="133">
        <v>20000</v>
      </c>
      <c r="G38" s="133">
        <v>20000</v>
      </c>
      <c r="H38" s="129" t="s">
        <v>56</v>
      </c>
      <c r="I38" s="136">
        <v>21900</v>
      </c>
      <c r="J38" s="141">
        <v>18500</v>
      </c>
      <c r="K38" s="142">
        <v>26000</v>
      </c>
      <c r="L38" s="122" t="s">
        <v>57</v>
      </c>
      <c r="M38" s="124" t="s">
        <v>57</v>
      </c>
      <c r="N38" s="122">
        <f t="shared" si="8"/>
        <v>40400</v>
      </c>
      <c r="O38" s="4">
        <f t="shared" si="9"/>
        <v>47900</v>
      </c>
      <c r="P38" s="130"/>
      <c r="Q38" s="130"/>
      <c r="R38" s="130"/>
      <c r="S38" s="130"/>
      <c r="T38" s="130"/>
      <c r="U38" s="130"/>
      <c r="V38" s="130"/>
      <c r="W38" s="130"/>
      <c r="X38" s="130"/>
      <c r="Y38" s="130"/>
      <c r="Z38" s="130"/>
      <c r="AB38" s="132"/>
    </row>
    <row r="39" spans="1:28" s="131" customFormat="1" ht="40.5" customHeight="1" x14ac:dyDescent="0.25">
      <c r="A39" s="134">
        <f t="shared" si="2"/>
        <v>36</v>
      </c>
      <c r="B39" s="14" t="s">
        <v>421</v>
      </c>
      <c r="C39" s="134" t="s">
        <v>66</v>
      </c>
      <c r="D39" s="138" t="s">
        <v>59</v>
      </c>
      <c r="E39" s="228" t="s">
        <v>313</v>
      </c>
      <c r="F39" s="133">
        <v>20000</v>
      </c>
      <c r="G39" s="133">
        <v>20000</v>
      </c>
      <c r="H39" s="129" t="s">
        <v>56</v>
      </c>
      <c r="I39" s="136">
        <f>19340*1.16</f>
        <v>22434.399999999998</v>
      </c>
      <c r="J39" s="141">
        <v>18500</v>
      </c>
      <c r="K39" s="142">
        <v>26000</v>
      </c>
      <c r="L39" s="122" t="s">
        <v>57</v>
      </c>
      <c r="M39" s="124" t="s">
        <v>57</v>
      </c>
      <c r="N39" s="122">
        <f t="shared" si="8"/>
        <v>40934.399999999994</v>
      </c>
      <c r="O39" s="4">
        <f t="shared" si="9"/>
        <v>48434.399999999994</v>
      </c>
      <c r="P39" s="130"/>
      <c r="Q39" s="130"/>
      <c r="R39" s="130"/>
      <c r="S39" s="130"/>
      <c r="T39" s="130"/>
      <c r="U39" s="130"/>
      <c r="V39" s="130"/>
      <c r="W39" s="130"/>
      <c r="X39" s="130"/>
      <c r="Y39" s="130"/>
      <c r="Z39" s="130"/>
      <c r="AB39" s="132"/>
    </row>
    <row r="40" spans="1:28" s="131" customFormat="1" ht="40.5" customHeight="1" x14ac:dyDescent="0.25">
      <c r="A40" s="134">
        <f t="shared" si="2"/>
        <v>37</v>
      </c>
      <c r="B40" s="14" t="s">
        <v>421</v>
      </c>
      <c r="C40" s="134" t="s">
        <v>66</v>
      </c>
      <c r="D40" s="138" t="s">
        <v>59</v>
      </c>
      <c r="E40" s="228" t="s">
        <v>314</v>
      </c>
      <c r="F40" s="133">
        <v>20000</v>
      </c>
      <c r="G40" s="133">
        <v>20000</v>
      </c>
      <c r="H40" s="129" t="s">
        <v>56</v>
      </c>
      <c r="I40" s="136">
        <f>25250*1.16</f>
        <v>29289.999999999996</v>
      </c>
      <c r="J40" s="141">
        <v>18500</v>
      </c>
      <c r="K40" s="142">
        <v>26000</v>
      </c>
      <c r="L40" s="122" t="s">
        <v>57</v>
      </c>
      <c r="M40" s="124" t="s">
        <v>57</v>
      </c>
      <c r="N40" s="122">
        <f t="shared" si="8"/>
        <v>47790</v>
      </c>
      <c r="O40" s="4">
        <f t="shared" si="9"/>
        <v>55290</v>
      </c>
      <c r="P40" s="130"/>
      <c r="Q40" s="130"/>
      <c r="R40" s="130"/>
      <c r="S40" s="130"/>
      <c r="T40" s="130"/>
      <c r="U40" s="130"/>
      <c r="V40" s="130"/>
      <c r="W40" s="130"/>
      <c r="X40" s="130"/>
      <c r="Y40" s="130"/>
      <c r="Z40" s="130"/>
      <c r="AB40" s="132"/>
    </row>
    <row r="41" spans="1:28" s="131" customFormat="1" ht="40.5" customHeight="1" x14ac:dyDescent="0.25">
      <c r="A41" s="134">
        <f t="shared" si="2"/>
        <v>38</v>
      </c>
      <c r="B41" s="14" t="s">
        <v>421</v>
      </c>
      <c r="C41" s="134" t="s">
        <v>66</v>
      </c>
      <c r="D41" s="138" t="s">
        <v>60</v>
      </c>
      <c r="E41" s="228" t="s">
        <v>315</v>
      </c>
      <c r="F41" s="133">
        <v>20000</v>
      </c>
      <c r="G41" s="133">
        <v>20000</v>
      </c>
      <c r="H41" s="129" t="s">
        <v>56</v>
      </c>
      <c r="I41" s="136">
        <f>24235*1.16</f>
        <v>28112.6</v>
      </c>
      <c r="J41" s="141">
        <v>18500</v>
      </c>
      <c r="K41" s="142">
        <v>26000</v>
      </c>
      <c r="L41" s="122" t="s">
        <v>57</v>
      </c>
      <c r="M41" s="124" t="s">
        <v>57</v>
      </c>
      <c r="N41" s="122">
        <f t="shared" si="8"/>
        <v>46612.6</v>
      </c>
      <c r="O41" s="4">
        <f t="shared" si="9"/>
        <v>54112.6</v>
      </c>
      <c r="P41" s="130"/>
      <c r="Q41" s="130"/>
      <c r="R41" s="130"/>
      <c r="S41" s="130"/>
      <c r="T41" s="130"/>
      <c r="U41" s="130"/>
      <c r="V41" s="130"/>
      <c r="W41" s="130"/>
      <c r="X41" s="130"/>
      <c r="Y41" s="130"/>
      <c r="Z41" s="130"/>
      <c r="AB41" s="132"/>
    </row>
    <row r="42" spans="1:28" s="131" customFormat="1" ht="40.5" customHeight="1" x14ac:dyDescent="0.25">
      <c r="A42" s="134">
        <f t="shared" si="2"/>
        <v>39</v>
      </c>
      <c r="B42" s="14" t="s">
        <v>421</v>
      </c>
      <c r="C42" s="134" t="s">
        <v>66</v>
      </c>
      <c r="D42" s="138" t="s">
        <v>60</v>
      </c>
      <c r="E42" s="228" t="s">
        <v>316</v>
      </c>
      <c r="F42" s="133">
        <v>20000</v>
      </c>
      <c r="G42" s="133">
        <v>20000</v>
      </c>
      <c r="H42" s="129" t="s">
        <v>56</v>
      </c>
      <c r="I42" s="136">
        <f>24830*1.16</f>
        <v>28802.799999999999</v>
      </c>
      <c r="J42" s="141">
        <v>18500</v>
      </c>
      <c r="K42" s="142">
        <v>26000</v>
      </c>
      <c r="L42" s="122" t="s">
        <v>57</v>
      </c>
      <c r="M42" s="124" t="s">
        <v>57</v>
      </c>
      <c r="N42" s="122">
        <f t="shared" si="8"/>
        <v>47302.8</v>
      </c>
      <c r="O42" s="4">
        <f t="shared" si="9"/>
        <v>54802.8</v>
      </c>
      <c r="P42" s="130"/>
      <c r="Q42" s="130"/>
      <c r="R42" s="130"/>
      <c r="S42" s="130"/>
      <c r="T42" s="130"/>
      <c r="U42" s="130"/>
      <c r="V42" s="130"/>
      <c r="W42" s="130"/>
      <c r="X42" s="130"/>
      <c r="Y42" s="130"/>
      <c r="Z42" s="130"/>
      <c r="AB42" s="132"/>
    </row>
    <row r="43" spans="1:28" s="131" customFormat="1" ht="40.5" customHeight="1" x14ac:dyDescent="0.25">
      <c r="A43" s="134">
        <f t="shared" si="2"/>
        <v>40</v>
      </c>
      <c r="B43" s="14" t="s">
        <v>422</v>
      </c>
      <c r="C43" s="134" t="s">
        <v>51</v>
      </c>
      <c r="D43" s="138" t="s">
        <v>56</v>
      </c>
      <c r="E43" s="134" t="s">
        <v>51</v>
      </c>
      <c r="F43" s="133">
        <v>10000</v>
      </c>
      <c r="G43" s="129" t="s">
        <v>56</v>
      </c>
      <c r="H43" s="129" t="s">
        <v>56</v>
      </c>
      <c r="I43" s="136">
        <v>5500</v>
      </c>
      <c r="J43" s="141" t="s">
        <v>57</v>
      </c>
      <c r="K43" s="142" t="s">
        <v>57</v>
      </c>
      <c r="L43" s="122" t="s">
        <v>57</v>
      </c>
      <c r="M43" s="124" t="s">
        <v>57</v>
      </c>
      <c r="N43" s="122">
        <f t="shared" ref="N43" si="10">I43</f>
        <v>5500</v>
      </c>
      <c r="O43" s="122">
        <f t="shared" ref="O43" si="11">I43</f>
        <v>5500</v>
      </c>
      <c r="P43" s="130"/>
      <c r="Q43" s="130"/>
      <c r="R43" s="130"/>
      <c r="S43" s="130"/>
      <c r="T43" s="130"/>
      <c r="U43" s="130"/>
      <c r="V43" s="130"/>
      <c r="W43" s="130"/>
      <c r="X43" s="130"/>
      <c r="Y43" s="130"/>
      <c r="Z43" s="130"/>
      <c r="AB43" s="132"/>
    </row>
    <row r="44" spans="1:28" s="131" customFormat="1" ht="40.5" customHeight="1" x14ac:dyDescent="0.25">
      <c r="A44" s="134">
        <f t="shared" si="2"/>
        <v>41</v>
      </c>
      <c r="B44" s="14" t="s">
        <v>422</v>
      </c>
      <c r="C44" s="134" t="s">
        <v>66</v>
      </c>
      <c r="D44" s="138" t="s">
        <v>56</v>
      </c>
      <c r="E44" s="134" t="s">
        <v>66</v>
      </c>
      <c r="F44" s="133">
        <v>20000</v>
      </c>
      <c r="G44" s="129" t="s">
        <v>56</v>
      </c>
      <c r="H44" s="129" t="s">
        <v>56</v>
      </c>
      <c r="I44" s="136">
        <v>8500</v>
      </c>
      <c r="J44" s="141" t="s">
        <v>57</v>
      </c>
      <c r="K44" s="142" t="s">
        <v>57</v>
      </c>
      <c r="L44" s="122" t="s">
        <v>57</v>
      </c>
      <c r="M44" s="124" t="s">
        <v>57</v>
      </c>
      <c r="N44" s="122">
        <f t="shared" ref="N44:N46" si="12">I44</f>
        <v>8500</v>
      </c>
      <c r="O44" s="122">
        <f t="shared" ref="O44:O46" si="13">I44</f>
        <v>8500</v>
      </c>
      <c r="P44" s="130"/>
      <c r="Q44" s="130"/>
      <c r="R44" s="130"/>
      <c r="S44" s="130"/>
      <c r="T44" s="130"/>
      <c r="U44" s="130"/>
      <c r="V44" s="130"/>
      <c r="W44" s="130"/>
      <c r="X44" s="130"/>
      <c r="Y44" s="130"/>
      <c r="Z44" s="130"/>
      <c r="AB44" s="132"/>
    </row>
    <row r="45" spans="1:28" s="131" customFormat="1" ht="40.5" customHeight="1" x14ac:dyDescent="0.25">
      <c r="A45" s="134">
        <f t="shared" si="2"/>
        <v>42</v>
      </c>
      <c r="B45" s="14" t="s">
        <v>422</v>
      </c>
      <c r="C45" s="134" t="s">
        <v>21</v>
      </c>
      <c r="D45" s="138" t="s">
        <v>56</v>
      </c>
      <c r="E45" s="134" t="s">
        <v>21</v>
      </c>
      <c r="F45" s="133">
        <v>30000</v>
      </c>
      <c r="G45" s="129" t="s">
        <v>56</v>
      </c>
      <c r="H45" s="129" t="s">
        <v>56</v>
      </c>
      <c r="I45" s="136">
        <v>8500</v>
      </c>
      <c r="J45" s="154" t="s">
        <v>57</v>
      </c>
      <c r="K45" s="155" t="s">
        <v>57</v>
      </c>
      <c r="L45" s="122" t="s">
        <v>57</v>
      </c>
      <c r="M45" s="124" t="s">
        <v>57</v>
      </c>
      <c r="N45" s="122">
        <f t="shared" si="12"/>
        <v>8500</v>
      </c>
      <c r="O45" s="122">
        <f t="shared" si="13"/>
        <v>8500</v>
      </c>
      <c r="P45" s="130"/>
      <c r="Q45" s="130"/>
      <c r="R45" s="130"/>
      <c r="S45" s="130"/>
      <c r="T45" s="130"/>
      <c r="U45" s="130"/>
      <c r="V45" s="130"/>
      <c r="W45" s="130"/>
      <c r="X45" s="130"/>
      <c r="Y45" s="130"/>
      <c r="Z45" s="130"/>
      <c r="AB45" s="132"/>
    </row>
    <row r="46" spans="1:28" s="131" customFormat="1" ht="40.5" customHeight="1" x14ac:dyDescent="0.25">
      <c r="A46" s="134">
        <f t="shared" si="2"/>
        <v>43</v>
      </c>
      <c r="B46" s="14" t="s">
        <v>422</v>
      </c>
      <c r="C46" s="134" t="s">
        <v>65</v>
      </c>
      <c r="D46" s="138" t="s">
        <v>56</v>
      </c>
      <c r="E46" s="134" t="s">
        <v>65</v>
      </c>
      <c r="F46" s="133">
        <v>40000</v>
      </c>
      <c r="G46" s="129" t="s">
        <v>56</v>
      </c>
      <c r="H46" s="129" t="s">
        <v>56</v>
      </c>
      <c r="I46" s="136">
        <v>9500</v>
      </c>
      <c r="J46" s="154" t="s">
        <v>57</v>
      </c>
      <c r="K46" s="155" t="s">
        <v>57</v>
      </c>
      <c r="L46" s="122" t="s">
        <v>57</v>
      </c>
      <c r="M46" s="124" t="s">
        <v>57</v>
      </c>
      <c r="N46" s="122">
        <f t="shared" si="12"/>
        <v>9500</v>
      </c>
      <c r="O46" s="122">
        <f t="shared" si="13"/>
        <v>9500</v>
      </c>
      <c r="P46" s="130"/>
      <c r="Q46" s="130"/>
      <c r="R46" s="130"/>
      <c r="S46" s="130"/>
      <c r="T46" s="130"/>
      <c r="U46" s="130"/>
      <c r="V46" s="130"/>
      <c r="W46" s="130"/>
      <c r="X46" s="130"/>
      <c r="Y46" s="130"/>
      <c r="Z46" s="130"/>
      <c r="AB46" s="132"/>
    </row>
    <row r="47" spans="1:28" s="131" customFormat="1" ht="40.5" customHeight="1" x14ac:dyDescent="0.25">
      <c r="A47" s="134">
        <f t="shared" si="2"/>
        <v>44</v>
      </c>
      <c r="B47" s="14" t="s">
        <v>423</v>
      </c>
      <c r="C47" s="134" t="s">
        <v>51</v>
      </c>
      <c r="D47" s="138" t="s">
        <v>56</v>
      </c>
      <c r="E47" s="134" t="s">
        <v>52</v>
      </c>
      <c r="F47" s="133">
        <v>10000</v>
      </c>
      <c r="G47" s="133" t="s">
        <v>56</v>
      </c>
      <c r="H47" s="129" t="s">
        <v>56</v>
      </c>
      <c r="I47" s="136">
        <v>16550</v>
      </c>
      <c r="J47" s="154" t="s">
        <v>57</v>
      </c>
      <c r="K47" s="155" t="s">
        <v>57</v>
      </c>
      <c r="L47" s="122" t="s">
        <v>57</v>
      </c>
      <c r="M47" s="124" t="s">
        <v>57</v>
      </c>
      <c r="N47" s="122">
        <f>I47</f>
        <v>16550</v>
      </c>
      <c r="O47" s="122">
        <f>I47</f>
        <v>16550</v>
      </c>
      <c r="P47" s="130"/>
      <c r="Q47" s="130"/>
      <c r="R47" s="130"/>
      <c r="S47" s="130"/>
      <c r="T47" s="130"/>
      <c r="U47" s="130"/>
      <c r="V47" s="130"/>
      <c r="W47" s="130"/>
      <c r="X47" s="130"/>
      <c r="Y47" s="130"/>
      <c r="Z47" s="130"/>
      <c r="AB47" s="132"/>
    </row>
    <row r="48" spans="1:28" s="131" customFormat="1" ht="40.5" customHeight="1" x14ac:dyDescent="0.25">
      <c r="A48" s="134">
        <f t="shared" si="2"/>
        <v>45</v>
      </c>
      <c r="B48" s="14" t="s">
        <v>423</v>
      </c>
      <c r="C48" s="134" t="s">
        <v>66</v>
      </c>
      <c r="D48" s="138" t="s">
        <v>56</v>
      </c>
      <c r="E48" s="134" t="s">
        <v>67</v>
      </c>
      <c r="F48" s="133">
        <v>20000</v>
      </c>
      <c r="G48" s="133" t="s">
        <v>56</v>
      </c>
      <c r="H48" s="129" t="s">
        <v>56</v>
      </c>
      <c r="I48" s="136">
        <v>26605.25</v>
      </c>
      <c r="J48" s="154" t="s">
        <v>57</v>
      </c>
      <c r="K48" s="155" t="s">
        <v>57</v>
      </c>
      <c r="L48" s="122" t="s">
        <v>57</v>
      </c>
      <c r="M48" s="124" t="s">
        <v>57</v>
      </c>
      <c r="N48" s="122">
        <f t="shared" ref="N48:N50" si="14">I48</f>
        <v>26605.25</v>
      </c>
      <c r="O48" s="122">
        <f t="shared" ref="O48:O50" si="15">I48</f>
        <v>26605.25</v>
      </c>
      <c r="P48" s="130"/>
      <c r="Q48" s="130"/>
      <c r="R48" s="130"/>
      <c r="S48" s="130"/>
      <c r="T48" s="130"/>
      <c r="U48" s="130"/>
      <c r="V48" s="130"/>
      <c r="W48" s="130"/>
      <c r="X48" s="130"/>
      <c r="Y48" s="130"/>
      <c r="Z48" s="130"/>
      <c r="AB48" s="132"/>
    </row>
    <row r="49" spans="1:30" s="131" customFormat="1" ht="40.5" customHeight="1" x14ac:dyDescent="0.25">
      <c r="A49" s="134">
        <f t="shared" si="2"/>
        <v>46</v>
      </c>
      <c r="B49" s="14" t="s">
        <v>423</v>
      </c>
      <c r="C49" s="134" t="s">
        <v>21</v>
      </c>
      <c r="D49" s="138" t="s">
        <v>56</v>
      </c>
      <c r="E49" s="134" t="s">
        <v>23</v>
      </c>
      <c r="F49" s="133">
        <v>30000</v>
      </c>
      <c r="G49" s="133" t="s">
        <v>56</v>
      </c>
      <c r="H49" s="129" t="s">
        <v>56</v>
      </c>
      <c r="I49" s="136">
        <v>25318.44</v>
      </c>
      <c r="J49" s="154" t="s">
        <v>57</v>
      </c>
      <c r="K49" s="155" t="s">
        <v>57</v>
      </c>
      <c r="L49" s="122" t="s">
        <v>57</v>
      </c>
      <c r="M49" s="124" t="s">
        <v>57</v>
      </c>
      <c r="N49" s="122">
        <f t="shared" si="14"/>
        <v>25318.44</v>
      </c>
      <c r="O49" s="122">
        <f t="shared" si="15"/>
        <v>25318.44</v>
      </c>
      <c r="P49" s="130"/>
      <c r="Q49" s="130"/>
      <c r="R49" s="130"/>
      <c r="S49" s="130"/>
      <c r="T49" s="130"/>
      <c r="U49" s="130"/>
      <c r="V49" s="130"/>
      <c r="W49" s="130"/>
      <c r="X49" s="130"/>
      <c r="Y49" s="130"/>
      <c r="Z49" s="130"/>
    </row>
    <row r="50" spans="1:30" s="131" customFormat="1" ht="40.5" customHeight="1" x14ac:dyDescent="0.25">
      <c r="A50" s="134">
        <f t="shared" si="2"/>
        <v>47</v>
      </c>
      <c r="B50" s="14" t="s">
        <v>423</v>
      </c>
      <c r="C50" s="134" t="s">
        <v>65</v>
      </c>
      <c r="D50" s="138" t="s">
        <v>56</v>
      </c>
      <c r="E50" s="134" t="s">
        <v>68</v>
      </c>
      <c r="F50" s="133">
        <v>40000</v>
      </c>
      <c r="G50" s="133" t="s">
        <v>56</v>
      </c>
      <c r="H50" s="129" t="s">
        <v>56</v>
      </c>
      <c r="I50" s="136">
        <v>28492.17</v>
      </c>
      <c r="J50" s="154" t="s">
        <v>57</v>
      </c>
      <c r="K50" s="155" t="s">
        <v>57</v>
      </c>
      <c r="L50" s="122" t="s">
        <v>57</v>
      </c>
      <c r="M50" s="124" t="s">
        <v>57</v>
      </c>
      <c r="N50" s="122">
        <f t="shared" si="14"/>
        <v>28492.17</v>
      </c>
      <c r="O50" s="122">
        <f t="shared" si="15"/>
        <v>28492.17</v>
      </c>
      <c r="P50" s="130"/>
      <c r="Q50" s="130"/>
      <c r="R50" s="130"/>
      <c r="S50" s="130"/>
      <c r="T50" s="130"/>
      <c r="U50" s="130"/>
      <c r="V50" s="130"/>
      <c r="W50" s="130"/>
      <c r="X50" s="130"/>
      <c r="Y50" s="130"/>
      <c r="Z50" s="130"/>
    </row>
    <row r="51" spans="1:30" s="3" customFormat="1" ht="27" customHeight="1" thickBot="1" x14ac:dyDescent="0.3">
      <c r="A51" s="134">
        <f t="shared" si="2"/>
        <v>48</v>
      </c>
      <c r="B51" s="14" t="s">
        <v>424</v>
      </c>
      <c r="C51" s="71" t="s">
        <v>72</v>
      </c>
      <c r="D51" s="72" t="s">
        <v>73</v>
      </c>
      <c r="E51" s="72" t="s">
        <v>74</v>
      </c>
      <c r="F51" s="34">
        <v>36.5</v>
      </c>
      <c r="G51" s="34" t="s">
        <v>56</v>
      </c>
      <c r="H51" s="34">
        <v>5.0791666666666666</v>
      </c>
      <c r="I51" s="119">
        <v>3548</v>
      </c>
      <c r="J51" s="123">
        <v>400</v>
      </c>
      <c r="K51" s="124">
        <v>1350</v>
      </c>
      <c r="L51" s="122" t="s">
        <v>57</v>
      </c>
      <c r="M51" s="124" t="s">
        <v>57</v>
      </c>
      <c r="N51" s="122">
        <v>3948</v>
      </c>
      <c r="O51" s="4">
        <v>4898</v>
      </c>
      <c r="P51" s="39"/>
      <c r="Q51" s="39"/>
      <c r="R51" s="39"/>
      <c r="S51" s="39"/>
      <c r="T51" s="39"/>
      <c r="U51" s="39"/>
      <c r="V51" s="39"/>
      <c r="W51" s="39"/>
      <c r="X51" s="39"/>
      <c r="Y51" s="39"/>
      <c r="Z51" s="39"/>
      <c r="AB51" s="131"/>
      <c r="AC51" s="131"/>
      <c r="AD51" s="131"/>
    </row>
    <row r="52" spans="1:30" s="3" customFormat="1" ht="27" customHeight="1" thickBot="1" x14ac:dyDescent="0.3">
      <c r="A52" s="134">
        <f t="shared" si="2"/>
        <v>49</v>
      </c>
      <c r="B52" s="14" t="s">
        <v>424</v>
      </c>
      <c r="C52" s="71" t="s">
        <v>72</v>
      </c>
      <c r="D52" s="72" t="s">
        <v>76</v>
      </c>
      <c r="E52" s="84" t="s">
        <v>77</v>
      </c>
      <c r="F52" s="34">
        <v>50</v>
      </c>
      <c r="G52" s="34" t="s">
        <v>56</v>
      </c>
      <c r="H52" s="34">
        <v>5.625</v>
      </c>
      <c r="I52" s="119">
        <v>1500</v>
      </c>
      <c r="J52" s="123">
        <v>400</v>
      </c>
      <c r="K52" s="124">
        <v>1350</v>
      </c>
      <c r="L52" s="122" t="s">
        <v>57</v>
      </c>
      <c r="M52" s="124" t="s">
        <v>57</v>
      </c>
      <c r="N52" s="122">
        <v>1900</v>
      </c>
      <c r="O52" s="4">
        <v>2850</v>
      </c>
      <c r="P52" s="39"/>
      <c r="Q52" s="365" t="s">
        <v>71</v>
      </c>
      <c r="R52" s="366"/>
      <c r="S52" s="366"/>
      <c r="T52" s="366"/>
      <c r="U52" s="366"/>
      <c r="V52" s="366"/>
      <c r="W52" s="366"/>
      <c r="X52" s="366"/>
      <c r="Y52" s="366"/>
      <c r="Z52" s="367"/>
      <c r="AA52" s="12"/>
      <c r="AB52" s="131"/>
      <c r="AC52" s="131"/>
      <c r="AD52" s="131"/>
    </row>
    <row r="53" spans="1:30" s="3" customFormat="1" ht="27" customHeight="1" thickBot="1" x14ac:dyDescent="0.3">
      <c r="A53" s="134">
        <f t="shared" si="2"/>
        <v>50</v>
      </c>
      <c r="B53" s="14" t="s">
        <v>424</v>
      </c>
      <c r="C53" s="71" t="s">
        <v>72</v>
      </c>
      <c r="D53" s="72" t="s">
        <v>70</v>
      </c>
      <c r="E53" s="84" t="s">
        <v>78</v>
      </c>
      <c r="F53" s="34">
        <v>51</v>
      </c>
      <c r="G53" s="34" t="s">
        <v>56</v>
      </c>
      <c r="H53" s="34">
        <v>2.2916666666666665</v>
      </c>
      <c r="I53" s="119">
        <v>999</v>
      </c>
      <c r="J53" s="123">
        <v>400</v>
      </c>
      <c r="K53" s="124">
        <v>1350</v>
      </c>
      <c r="L53" s="122" t="s">
        <v>57</v>
      </c>
      <c r="M53" s="124" t="s">
        <v>57</v>
      </c>
      <c r="N53" s="122">
        <v>1399</v>
      </c>
      <c r="O53" s="4">
        <v>2349</v>
      </c>
      <c r="P53" s="39"/>
      <c r="Q53" s="368" t="s">
        <v>317</v>
      </c>
      <c r="R53" s="369"/>
      <c r="S53" s="369"/>
      <c r="T53" s="369"/>
      <c r="U53" s="369"/>
      <c r="V53" s="369"/>
      <c r="W53" s="369"/>
      <c r="X53" s="369"/>
      <c r="Y53" s="369"/>
      <c r="Z53" s="370"/>
      <c r="AA53" s="12"/>
    </row>
    <row r="54" spans="1:30" s="3" customFormat="1" ht="27" customHeight="1" thickBot="1" x14ac:dyDescent="0.3">
      <c r="A54" s="134">
        <f t="shared" si="2"/>
        <v>51</v>
      </c>
      <c r="B54" s="14" t="s">
        <v>424</v>
      </c>
      <c r="C54" s="71" t="s">
        <v>80</v>
      </c>
      <c r="D54" s="72" t="s">
        <v>81</v>
      </c>
      <c r="E54" s="72" t="s">
        <v>82</v>
      </c>
      <c r="F54" s="34">
        <v>60</v>
      </c>
      <c r="G54" s="34" t="s">
        <v>56</v>
      </c>
      <c r="H54" s="34">
        <v>2.25</v>
      </c>
      <c r="I54" s="119">
        <v>1393</v>
      </c>
      <c r="J54" s="123">
        <v>400</v>
      </c>
      <c r="K54" s="124">
        <v>1350</v>
      </c>
      <c r="L54" s="122" t="s">
        <v>57</v>
      </c>
      <c r="M54" s="124" t="s">
        <v>57</v>
      </c>
      <c r="N54" s="122">
        <v>1793</v>
      </c>
      <c r="O54" s="4">
        <v>2743</v>
      </c>
      <c r="P54" s="39"/>
      <c r="Q54" s="371" t="s">
        <v>75</v>
      </c>
      <c r="R54" s="372"/>
      <c r="S54" s="372"/>
      <c r="T54" s="372"/>
      <c r="U54" s="372"/>
      <c r="V54" s="372"/>
      <c r="W54" s="372"/>
      <c r="X54" s="372"/>
      <c r="Y54" s="372"/>
      <c r="Z54" s="373"/>
      <c r="AA54" s="12"/>
    </row>
    <row r="55" spans="1:30" s="3" customFormat="1" ht="27" customHeight="1" thickBot="1" x14ac:dyDescent="0.3">
      <c r="A55" s="134">
        <f t="shared" si="2"/>
        <v>52</v>
      </c>
      <c r="B55" s="14" t="s">
        <v>424</v>
      </c>
      <c r="C55" s="71" t="s">
        <v>80</v>
      </c>
      <c r="D55" s="72" t="s">
        <v>58</v>
      </c>
      <c r="E55" s="72" t="s">
        <v>84</v>
      </c>
      <c r="F55" s="34">
        <v>61</v>
      </c>
      <c r="G55" s="34" t="s">
        <v>56</v>
      </c>
      <c r="H55" s="34">
        <v>1.325</v>
      </c>
      <c r="I55" s="119">
        <v>810</v>
      </c>
      <c r="J55" s="123">
        <v>400</v>
      </c>
      <c r="K55" s="124">
        <v>1350</v>
      </c>
      <c r="L55" s="122" t="s">
        <v>57</v>
      </c>
      <c r="M55" s="124" t="s">
        <v>57</v>
      </c>
      <c r="N55" s="122">
        <v>1210</v>
      </c>
      <c r="O55" s="4">
        <v>2160</v>
      </c>
      <c r="P55" s="39"/>
      <c r="Q55" s="368" t="s">
        <v>240</v>
      </c>
      <c r="R55" s="369"/>
      <c r="S55" s="369"/>
      <c r="T55" s="369"/>
      <c r="U55" s="369"/>
      <c r="V55" s="369"/>
      <c r="W55" s="369"/>
      <c r="X55" s="369"/>
      <c r="Y55" s="369"/>
      <c r="Z55" s="370"/>
      <c r="AA55" s="12"/>
    </row>
    <row r="56" spans="1:30" s="3" customFormat="1" ht="27" customHeight="1" thickBot="1" x14ac:dyDescent="0.3">
      <c r="A56" s="134">
        <f t="shared" si="2"/>
        <v>53</v>
      </c>
      <c r="B56" s="14" t="s">
        <v>424</v>
      </c>
      <c r="C56" s="71" t="s">
        <v>80</v>
      </c>
      <c r="D56" s="72" t="s">
        <v>70</v>
      </c>
      <c r="E56" s="72" t="s">
        <v>86</v>
      </c>
      <c r="F56" s="34">
        <v>72.5</v>
      </c>
      <c r="G56" s="34" t="s">
        <v>56</v>
      </c>
      <c r="H56" s="34">
        <v>3.375</v>
      </c>
      <c r="I56" s="119">
        <v>1030</v>
      </c>
      <c r="J56" s="123">
        <v>400</v>
      </c>
      <c r="K56" s="124">
        <v>1350</v>
      </c>
      <c r="L56" s="122" t="s">
        <v>57</v>
      </c>
      <c r="M56" s="124" t="s">
        <v>57</v>
      </c>
      <c r="N56" s="122">
        <v>1430</v>
      </c>
      <c r="O56" s="4">
        <v>2380</v>
      </c>
      <c r="P56" s="39"/>
      <c r="Q56" s="374" t="s">
        <v>79</v>
      </c>
      <c r="R56" s="375"/>
      <c r="S56" s="375"/>
      <c r="T56" s="375"/>
      <c r="U56" s="375"/>
      <c r="V56" s="375"/>
      <c r="W56" s="375"/>
      <c r="X56" s="375"/>
      <c r="Y56" s="375"/>
      <c r="Z56" s="163"/>
    </row>
    <row r="57" spans="1:30" s="3" customFormat="1" ht="27" customHeight="1" x14ac:dyDescent="0.25">
      <c r="A57" s="134">
        <f t="shared" si="2"/>
        <v>54</v>
      </c>
      <c r="B57" s="14" t="s">
        <v>424</v>
      </c>
      <c r="C57" s="71" t="s">
        <v>80</v>
      </c>
      <c r="D57" s="72" t="s">
        <v>73</v>
      </c>
      <c r="E57" s="72" t="s">
        <v>87</v>
      </c>
      <c r="F57" s="34">
        <v>80.5</v>
      </c>
      <c r="G57" s="34" t="s">
        <v>56</v>
      </c>
      <c r="H57" s="34">
        <v>3.0062500000000001</v>
      </c>
      <c r="I57" s="119">
        <v>3861</v>
      </c>
      <c r="J57" s="123">
        <v>400</v>
      </c>
      <c r="K57" s="124">
        <v>1350</v>
      </c>
      <c r="L57" s="122" t="s">
        <v>57</v>
      </c>
      <c r="M57" s="124" t="s">
        <v>57</v>
      </c>
      <c r="N57" s="122">
        <v>4261</v>
      </c>
      <c r="O57" s="4">
        <v>5211</v>
      </c>
      <c r="P57" s="39"/>
      <c r="Q57" s="11" t="s">
        <v>83</v>
      </c>
      <c r="R57" s="70"/>
      <c r="S57" s="70"/>
      <c r="T57" s="70"/>
      <c r="U57" s="70"/>
      <c r="V57" s="70"/>
      <c r="W57" s="70"/>
      <c r="X57" s="70"/>
      <c r="Y57" s="70"/>
      <c r="Z57" s="11"/>
    </row>
    <row r="58" spans="1:30" s="3" customFormat="1" ht="27" customHeight="1" x14ac:dyDescent="0.25">
      <c r="A58" s="134">
        <f t="shared" si="2"/>
        <v>55</v>
      </c>
      <c r="B58" s="14" t="s">
        <v>424</v>
      </c>
      <c r="C58" s="71" t="s">
        <v>88</v>
      </c>
      <c r="D58" s="72" t="s">
        <v>81</v>
      </c>
      <c r="E58" s="72" t="s">
        <v>89</v>
      </c>
      <c r="F58" s="34">
        <v>98</v>
      </c>
      <c r="G58" s="34" t="s">
        <v>56</v>
      </c>
      <c r="H58" s="34">
        <v>2.2708333333333335</v>
      </c>
      <c r="I58" s="119">
        <v>1525</v>
      </c>
      <c r="J58" s="123">
        <v>400</v>
      </c>
      <c r="K58" s="124">
        <v>1350</v>
      </c>
      <c r="L58" s="122" t="s">
        <v>57</v>
      </c>
      <c r="M58" s="124" t="s">
        <v>57</v>
      </c>
      <c r="N58" s="122">
        <v>1925</v>
      </c>
      <c r="O58" s="4">
        <v>2875</v>
      </c>
      <c r="P58" s="39"/>
      <c r="Q58" s="376" t="s">
        <v>85</v>
      </c>
      <c r="R58" s="376"/>
      <c r="S58" s="376"/>
      <c r="T58" s="376"/>
      <c r="U58" s="376"/>
      <c r="V58" s="376"/>
      <c r="W58" s="376"/>
      <c r="X58" s="376"/>
      <c r="Y58" s="376"/>
      <c r="Z58" s="376"/>
    </row>
    <row r="59" spans="1:30" s="3" customFormat="1" ht="27" customHeight="1" x14ac:dyDescent="0.25">
      <c r="A59" s="134">
        <f t="shared" si="2"/>
        <v>56</v>
      </c>
      <c r="B59" s="14" t="s">
        <v>424</v>
      </c>
      <c r="C59" s="71" t="s">
        <v>88</v>
      </c>
      <c r="D59" s="72" t="s">
        <v>70</v>
      </c>
      <c r="E59" s="72" t="s">
        <v>90</v>
      </c>
      <c r="F59" s="34">
        <v>98.5</v>
      </c>
      <c r="G59" s="34" t="s">
        <v>56</v>
      </c>
      <c r="H59" s="34">
        <v>2.4819444444444447</v>
      </c>
      <c r="I59" s="119">
        <v>1074</v>
      </c>
      <c r="J59" s="123">
        <v>400</v>
      </c>
      <c r="K59" s="124">
        <v>1350</v>
      </c>
      <c r="L59" s="122" t="s">
        <v>57</v>
      </c>
      <c r="M59" s="124" t="s">
        <v>57</v>
      </c>
      <c r="N59" s="122">
        <v>1474</v>
      </c>
      <c r="O59" s="4">
        <v>2424</v>
      </c>
      <c r="P59" s="39"/>
      <c r="Q59" s="39"/>
      <c r="R59" s="39"/>
      <c r="S59" s="39"/>
      <c r="T59" s="39"/>
      <c r="U59" s="39"/>
      <c r="V59" s="39"/>
      <c r="W59" s="39"/>
      <c r="X59" s="39"/>
      <c r="Y59" s="39"/>
      <c r="Z59" s="39"/>
    </row>
    <row r="60" spans="1:30" s="3" customFormat="1" ht="27" customHeight="1" x14ac:dyDescent="0.25">
      <c r="A60" s="134">
        <f t="shared" si="2"/>
        <v>57</v>
      </c>
      <c r="B60" s="14" t="s">
        <v>424</v>
      </c>
      <c r="C60" s="71" t="s">
        <v>88</v>
      </c>
      <c r="D60" s="72" t="s">
        <v>58</v>
      </c>
      <c r="E60" s="84" t="s">
        <v>91</v>
      </c>
      <c r="F60" s="34">
        <v>100</v>
      </c>
      <c r="G60" s="34" t="s">
        <v>56</v>
      </c>
      <c r="H60" s="34">
        <v>5.3666666666666671</v>
      </c>
      <c r="I60" s="119">
        <v>1765</v>
      </c>
      <c r="J60" s="123">
        <v>400</v>
      </c>
      <c r="K60" s="124">
        <v>1350</v>
      </c>
      <c r="L60" s="122" t="s">
        <v>57</v>
      </c>
      <c r="M60" s="124" t="s">
        <v>57</v>
      </c>
      <c r="N60" s="122">
        <v>2165</v>
      </c>
      <c r="O60" s="4">
        <v>3115</v>
      </c>
      <c r="P60" s="39"/>
    </row>
    <row r="61" spans="1:30" s="3" customFormat="1" ht="27" customHeight="1" x14ac:dyDescent="0.25">
      <c r="A61" s="134">
        <f t="shared" si="2"/>
        <v>58</v>
      </c>
      <c r="B61" s="14" t="s">
        <v>424</v>
      </c>
      <c r="C61" s="71" t="s">
        <v>92</v>
      </c>
      <c r="D61" s="72" t="s">
        <v>81</v>
      </c>
      <c r="E61" s="84" t="s">
        <v>93</v>
      </c>
      <c r="F61" s="34">
        <v>145</v>
      </c>
      <c r="G61" s="34" t="s">
        <v>56</v>
      </c>
      <c r="H61" s="34">
        <v>2.2916666666666665</v>
      </c>
      <c r="I61" s="119">
        <v>1783</v>
      </c>
      <c r="J61" s="123">
        <v>400</v>
      </c>
      <c r="K61" s="124">
        <v>1350</v>
      </c>
      <c r="L61" s="122" t="s">
        <v>57</v>
      </c>
      <c r="M61" s="124" t="s">
        <v>57</v>
      </c>
      <c r="N61" s="122">
        <v>2183</v>
      </c>
      <c r="O61" s="4">
        <v>3133</v>
      </c>
      <c r="P61" s="39"/>
    </row>
    <row r="62" spans="1:30" s="3" customFormat="1" ht="27" customHeight="1" x14ac:dyDescent="0.25">
      <c r="A62" s="134">
        <f t="shared" si="2"/>
        <v>59</v>
      </c>
      <c r="B62" s="14" t="s">
        <v>424</v>
      </c>
      <c r="C62" s="71" t="s">
        <v>92</v>
      </c>
      <c r="D62" s="72" t="s">
        <v>94</v>
      </c>
      <c r="E62" s="84" t="s">
        <v>95</v>
      </c>
      <c r="F62" s="34">
        <v>203.2</v>
      </c>
      <c r="G62" s="34" t="s">
        <v>56</v>
      </c>
      <c r="H62" s="34">
        <v>3.9166666666666665</v>
      </c>
      <c r="I62" s="119">
        <v>3925</v>
      </c>
      <c r="J62" s="123">
        <v>400</v>
      </c>
      <c r="K62" s="124">
        <v>1350</v>
      </c>
      <c r="L62" s="122" t="s">
        <v>57</v>
      </c>
      <c r="M62" s="124" t="s">
        <v>57</v>
      </c>
      <c r="N62" s="122">
        <v>4325</v>
      </c>
      <c r="O62" s="4">
        <v>5275</v>
      </c>
      <c r="P62" s="39"/>
    </row>
    <row r="63" spans="1:30" s="3" customFormat="1" ht="27" customHeight="1" x14ac:dyDescent="0.25">
      <c r="A63" s="134">
        <f t="shared" si="2"/>
        <v>60</v>
      </c>
      <c r="B63" s="14" t="s">
        <v>424</v>
      </c>
      <c r="C63" s="71" t="s">
        <v>92</v>
      </c>
      <c r="D63" s="72" t="s">
        <v>58</v>
      </c>
      <c r="E63" s="72" t="s">
        <v>96</v>
      </c>
      <c r="F63" s="34">
        <v>211</v>
      </c>
      <c r="G63" s="34" t="s">
        <v>56</v>
      </c>
      <c r="H63" s="34">
        <v>1.4416666666666667</v>
      </c>
      <c r="I63" s="119">
        <v>1320</v>
      </c>
      <c r="J63" s="123">
        <v>400</v>
      </c>
      <c r="K63" s="124">
        <v>1350</v>
      </c>
      <c r="L63" s="122" t="s">
        <v>57</v>
      </c>
      <c r="M63" s="124" t="s">
        <v>57</v>
      </c>
      <c r="N63" s="122">
        <v>1720</v>
      </c>
      <c r="O63" s="4">
        <v>2670</v>
      </c>
      <c r="P63" s="39"/>
    </row>
    <row r="64" spans="1:30" s="3" customFormat="1" ht="27" customHeight="1" x14ac:dyDescent="0.25">
      <c r="A64" s="134">
        <f t="shared" si="2"/>
        <v>61</v>
      </c>
      <c r="B64" s="14" t="s">
        <v>424</v>
      </c>
      <c r="C64" s="71" t="s">
        <v>92</v>
      </c>
      <c r="D64" s="72" t="s">
        <v>70</v>
      </c>
      <c r="E64" s="72" t="s">
        <v>97</v>
      </c>
      <c r="F64" s="34">
        <v>225</v>
      </c>
      <c r="G64" s="34" t="s">
        <v>56</v>
      </c>
      <c r="H64" s="34">
        <v>2.2916666666666665</v>
      </c>
      <c r="I64" s="119">
        <v>1910</v>
      </c>
      <c r="J64" s="123">
        <v>400</v>
      </c>
      <c r="K64" s="124">
        <v>1350</v>
      </c>
      <c r="L64" s="122" t="s">
        <v>57</v>
      </c>
      <c r="M64" s="124" t="s">
        <v>57</v>
      </c>
      <c r="N64" s="122">
        <v>2310</v>
      </c>
      <c r="O64" s="4">
        <v>3260</v>
      </c>
      <c r="P64" s="39"/>
    </row>
    <row r="65" spans="1:26" s="3" customFormat="1" ht="27" customHeight="1" x14ac:dyDescent="0.25">
      <c r="A65" s="134">
        <f t="shared" si="2"/>
        <v>62</v>
      </c>
      <c r="B65" s="14" t="s">
        <v>424</v>
      </c>
      <c r="C65" s="71" t="s">
        <v>92</v>
      </c>
      <c r="D65" s="72" t="s">
        <v>73</v>
      </c>
      <c r="E65" s="72" t="s">
        <v>98</v>
      </c>
      <c r="F65" s="34">
        <v>240</v>
      </c>
      <c r="G65" s="34" t="s">
        <v>56</v>
      </c>
      <c r="H65" s="34">
        <v>3.2208333333333332</v>
      </c>
      <c r="I65" s="119">
        <v>5134</v>
      </c>
      <c r="J65" s="123">
        <v>400</v>
      </c>
      <c r="K65" s="124">
        <v>1350</v>
      </c>
      <c r="L65" s="122" t="s">
        <v>57</v>
      </c>
      <c r="M65" s="124" t="s">
        <v>57</v>
      </c>
      <c r="N65" s="122">
        <v>5534</v>
      </c>
      <c r="O65" s="4">
        <v>6484</v>
      </c>
      <c r="P65" s="39"/>
    </row>
    <row r="66" spans="1:26" s="3" customFormat="1" ht="27" customHeight="1" x14ac:dyDescent="0.25">
      <c r="A66" s="134">
        <f t="shared" si="2"/>
        <v>63</v>
      </c>
      <c r="B66" s="83" t="s">
        <v>425</v>
      </c>
      <c r="C66" s="71" t="s">
        <v>72</v>
      </c>
      <c r="D66" s="72" t="s">
        <v>58</v>
      </c>
      <c r="E66" s="84" t="s">
        <v>99</v>
      </c>
      <c r="F66" s="34">
        <v>30</v>
      </c>
      <c r="G66" s="34">
        <v>32</v>
      </c>
      <c r="H66" s="34">
        <v>2.6583333333333332</v>
      </c>
      <c r="I66" s="119">
        <v>1650</v>
      </c>
      <c r="J66" s="123">
        <v>400</v>
      </c>
      <c r="K66" s="124">
        <v>1350</v>
      </c>
      <c r="L66" s="122" t="s">
        <v>57</v>
      </c>
      <c r="M66" s="124" t="s">
        <v>57</v>
      </c>
      <c r="N66" s="122">
        <v>2050</v>
      </c>
      <c r="O66" s="4">
        <v>3000</v>
      </c>
      <c r="P66" s="39"/>
      <c r="Q66" s="39"/>
      <c r="R66" s="39"/>
      <c r="S66" s="39"/>
      <c r="T66" s="39"/>
      <c r="U66" s="39"/>
      <c r="V66" s="39"/>
      <c r="W66" s="39"/>
      <c r="X66" s="39"/>
      <c r="Y66" s="39"/>
      <c r="Z66" s="39"/>
    </row>
    <row r="67" spans="1:26" s="3" customFormat="1" ht="27" customHeight="1" x14ac:dyDescent="0.25">
      <c r="A67" s="134">
        <f t="shared" si="2"/>
        <v>64</v>
      </c>
      <c r="B67" s="83" t="s">
        <v>425</v>
      </c>
      <c r="C67" s="71" t="s">
        <v>72</v>
      </c>
      <c r="D67" s="72" t="s">
        <v>70</v>
      </c>
      <c r="E67" s="84" t="s">
        <v>100</v>
      </c>
      <c r="F67" s="34">
        <v>58</v>
      </c>
      <c r="G67" s="34">
        <v>44</v>
      </c>
      <c r="H67" s="34">
        <v>4.7340277777777775</v>
      </c>
      <c r="I67" s="119">
        <v>1410</v>
      </c>
      <c r="J67" s="123">
        <v>400</v>
      </c>
      <c r="K67" s="124">
        <v>1350</v>
      </c>
      <c r="L67" s="122" t="s">
        <v>57</v>
      </c>
      <c r="M67" s="124" t="s">
        <v>57</v>
      </c>
      <c r="N67" s="122">
        <v>1810</v>
      </c>
      <c r="O67" s="4">
        <v>2760</v>
      </c>
      <c r="P67" s="39"/>
      <c r="Q67" s="39"/>
      <c r="R67" s="39"/>
      <c r="S67" s="39"/>
      <c r="T67" s="39"/>
      <c r="U67" s="39"/>
      <c r="V67" s="39"/>
      <c r="W67" s="39"/>
      <c r="X67" s="39"/>
      <c r="Y67" s="39"/>
      <c r="Z67" s="39"/>
    </row>
    <row r="68" spans="1:26" s="3" customFormat="1" ht="27" customHeight="1" x14ac:dyDescent="0.25">
      <c r="A68" s="134">
        <f t="shared" si="2"/>
        <v>65</v>
      </c>
      <c r="B68" s="83" t="s">
        <v>425</v>
      </c>
      <c r="C68" s="71" t="s">
        <v>72</v>
      </c>
      <c r="D68" s="72" t="s">
        <v>81</v>
      </c>
      <c r="E68" s="72" t="s">
        <v>101</v>
      </c>
      <c r="F68" s="34">
        <v>52.5</v>
      </c>
      <c r="G68" s="34">
        <v>5.0999999999999996</v>
      </c>
      <c r="H68" s="34">
        <v>1.1822660098522166</v>
      </c>
      <c r="I68" s="119">
        <v>1772</v>
      </c>
      <c r="J68" s="123">
        <v>400</v>
      </c>
      <c r="K68" s="124">
        <v>1350</v>
      </c>
      <c r="L68" s="122" t="s">
        <v>57</v>
      </c>
      <c r="M68" s="124" t="s">
        <v>57</v>
      </c>
      <c r="N68" s="122">
        <v>2172</v>
      </c>
      <c r="O68" s="4">
        <v>3122</v>
      </c>
      <c r="P68" s="39"/>
      <c r="Q68" s="39"/>
      <c r="R68" s="39"/>
      <c r="S68" s="39"/>
      <c r="T68" s="39"/>
      <c r="U68" s="39"/>
      <c r="V68" s="39"/>
      <c r="W68" s="39"/>
      <c r="X68" s="39"/>
      <c r="Y68" s="39"/>
      <c r="Z68" s="39"/>
    </row>
    <row r="69" spans="1:26" s="3" customFormat="1" ht="27" customHeight="1" x14ac:dyDescent="0.25">
      <c r="A69" s="134">
        <f t="shared" si="2"/>
        <v>66</v>
      </c>
      <c r="B69" s="83" t="s">
        <v>425</v>
      </c>
      <c r="C69" s="71" t="s">
        <v>80</v>
      </c>
      <c r="D69" s="72" t="s">
        <v>73</v>
      </c>
      <c r="E69" s="84" t="s">
        <v>102</v>
      </c>
      <c r="F69" s="34">
        <v>60</v>
      </c>
      <c r="G69" s="34">
        <v>42</v>
      </c>
      <c r="H69" s="34">
        <v>1.6416666666666666</v>
      </c>
      <c r="I69" s="119">
        <v>4246</v>
      </c>
      <c r="J69" s="123">
        <v>400</v>
      </c>
      <c r="K69" s="124">
        <v>1350</v>
      </c>
      <c r="L69" s="122" t="s">
        <v>57</v>
      </c>
      <c r="M69" s="124" t="s">
        <v>57</v>
      </c>
      <c r="N69" s="122">
        <v>4646</v>
      </c>
      <c r="O69" s="4">
        <v>5596</v>
      </c>
      <c r="P69" s="39"/>
      <c r="Q69" s="39"/>
      <c r="R69" s="39"/>
      <c r="S69" s="39"/>
      <c r="T69" s="39"/>
      <c r="U69" s="39"/>
      <c r="V69" s="39"/>
      <c r="W69" s="39"/>
      <c r="X69" s="39"/>
      <c r="Y69" s="39"/>
      <c r="Z69" s="39"/>
    </row>
    <row r="70" spans="1:26" s="3" customFormat="1" ht="27" customHeight="1" x14ac:dyDescent="0.25">
      <c r="A70" s="134">
        <f t="shared" si="2"/>
        <v>67</v>
      </c>
      <c r="B70" s="15" t="s">
        <v>426</v>
      </c>
      <c r="C70" s="71" t="s">
        <v>88</v>
      </c>
      <c r="D70" s="72" t="s">
        <v>76</v>
      </c>
      <c r="E70" s="84" t="s">
        <v>103</v>
      </c>
      <c r="F70" s="34" t="s">
        <v>56</v>
      </c>
      <c r="G70" s="34">
        <v>96</v>
      </c>
      <c r="H70" s="34">
        <v>0.28055555555555556</v>
      </c>
      <c r="I70" s="119">
        <v>450</v>
      </c>
      <c r="J70" s="123">
        <v>400</v>
      </c>
      <c r="K70" s="124">
        <v>1350</v>
      </c>
      <c r="L70" s="122" t="s">
        <v>57</v>
      </c>
      <c r="M70" s="124" t="s">
        <v>57</v>
      </c>
      <c r="N70" s="122">
        <v>850</v>
      </c>
      <c r="O70" s="4">
        <v>1800</v>
      </c>
      <c r="P70" s="39"/>
      <c r="Q70" s="39"/>
      <c r="R70" s="39"/>
      <c r="S70" s="39"/>
      <c r="T70" s="39"/>
      <c r="U70" s="39"/>
      <c r="V70" s="39"/>
      <c r="W70" s="39"/>
      <c r="X70" s="39"/>
      <c r="Y70" s="39"/>
      <c r="Z70" s="39"/>
    </row>
    <row r="71" spans="1:26" s="3" customFormat="1" ht="27" customHeight="1" x14ac:dyDescent="0.25">
      <c r="A71" s="134">
        <f t="shared" si="2"/>
        <v>68</v>
      </c>
      <c r="B71" s="15" t="s">
        <v>426</v>
      </c>
      <c r="C71" s="71" t="s">
        <v>88</v>
      </c>
      <c r="D71" s="72" t="s">
        <v>81</v>
      </c>
      <c r="E71" s="84" t="s">
        <v>104</v>
      </c>
      <c r="F71" s="34" t="s">
        <v>56</v>
      </c>
      <c r="G71" s="34">
        <v>105</v>
      </c>
      <c r="H71" s="34">
        <v>0.11666666666666665</v>
      </c>
      <c r="I71" s="119">
        <v>850</v>
      </c>
      <c r="J71" s="123">
        <v>400</v>
      </c>
      <c r="K71" s="124">
        <v>1350</v>
      </c>
      <c r="L71" s="122" t="s">
        <v>57</v>
      </c>
      <c r="M71" s="124" t="s">
        <v>57</v>
      </c>
      <c r="N71" s="122">
        <v>1250</v>
      </c>
      <c r="O71" s="4">
        <v>2200</v>
      </c>
      <c r="P71" s="39"/>
      <c r="Q71" s="39"/>
      <c r="R71" s="39"/>
      <c r="S71" s="39"/>
      <c r="T71" s="39"/>
      <c r="U71" s="39"/>
      <c r="V71" s="39"/>
      <c r="W71" s="39"/>
      <c r="X71" s="39"/>
      <c r="Y71" s="39"/>
      <c r="Z71" s="39"/>
    </row>
    <row r="72" spans="1:26" s="3" customFormat="1" ht="27" customHeight="1" x14ac:dyDescent="0.25">
      <c r="A72" s="134">
        <f t="shared" si="2"/>
        <v>69</v>
      </c>
      <c r="B72" s="15" t="s">
        <v>426</v>
      </c>
      <c r="C72" s="71" t="s">
        <v>92</v>
      </c>
      <c r="D72" s="72" t="s">
        <v>58</v>
      </c>
      <c r="E72" s="84" t="s">
        <v>105</v>
      </c>
      <c r="F72" s="34" t="s">
        <v>56</v>
      </c>
      <c r="G72" s="34">
        <v>121</v>
      </c>
      <c r="H72" s="34">
        <v>0.10416666666666667</v>
      </c>
      <c r="I72" s="119">
        <v>670</v>
      </c>
      <c r="J72" s="123">
        <v>400</v>
      </c>
      <c r="K72" s="124">
        <v>1350</v>
      </c>
      <c r="L72" s="122" t="s">
        <v>57</v>
      </c>
      <c r="M72" s="124" t="s">
        <v>57</v>
      </c>
      <c r="N72" s="122">
        <v>1070</v>
      </c>
      <c r="O72" s="4">
        <v>2020</v>
      </c>
      <c r="P72" s="39"/>
      <c r="Q72" s="39"/>
      <c r="R72" s="39"/>
      <c r="S72" s="39"/>
      <c r="T72" s="39"/>
      <c r="U72" s="39"/>
      <c r="V72" s="39"/>
      <c r="W72" s="39"/>
      <c r="X72" s="39"/>
      <c r="Y72" s="39"/>
      <c r="Z72" s="39"/>
    </row>
    <row r="73" spans="1:26" s="3" customFormat="1" ht="27" customHeight="1" x14ac:dyDescent="0.25">
      <c r="A73" s="134">
        <f t="shared" si="2"/>
        <v>70</v>
      </c>
      <c r="B73" s="15" t="s">
        <v>426</v>
      </c>
      <c r="C73" s="71" t="s">
        <v>92</v>
      </c>
      <c r="D73" s="72" t="s">
        <v>76</v>
      </c>
      <c r="E73" s="84" t="s">
        <v>106</v>
      </c>
      <c r="F73" s="34" t="s">
        <v>56</v>
      </c>
      <c r="G73" s="34">
        <v>240</v>
      </c>
      <c r="H73" s="34">
        <v>2.4416666666666669</v>
      </c>
      <c r="I73" s="119">
        <v>540</v>
      </c>
      <c r="J73" s="123">
        <v>400</v>
      </c>
      <c r="K73" s="124">
        <v>1350</v>
      </c>
      <c r="L73" s="122" t="s">
        <v>57</v>
      </c>
      <c r="M73" s="124" t="s">
        <v>57</v>
      </c>
      <c r="N73" s="122">
        <v>940</v>
      </c>
      <c r="O73" s="4">
        <v>1890</v>
      </c>
      <c r="P73" s="39"/>
      <c r="Q73" s="39"/>
      <c r="R73" s="39"/>
      <c r="S73" s="39"/>
      <c r="T73" s="39"/>
      <c r="U73" s="39"/>
      <c r="V73" s="39"/>
      <c r="W73" s="39"/>
      <c r="X73" s="39"/>
      <c r="Y73" s="39"/>
      <c r="Z73" s="39"/>
    </row>
    <row r="74" spans="1:26" s="3" customFormat="1" ht="27" customHeight="1" x14ac:dyDescent="0.25">
      <c r="A74" s="134">
        <f t="shared" si="2"/>
        <v>71</v>
      </c>
      <c r="B74" s="15" t="s">
        <v>426</v>
      </c>
      <c r="C74" s="71" t="s">
        <v>92</v>
      </c>
      <c r="D74" s="72" t="s">
        <v>81</v>
      </c>
      <c r="E74" s="84" t="s">
        <v>107</v>
      </c>
      <c r="F74" s="34" t="s">
        <v>56</v>
      </c>
      <c r="G74" s="34">
        <v>281</v>
      </c>
      <c r="H74" s="34">
        <v>0.16666666666666666</v>
      </c>
      <c r="I74" s="119">
        <v>1026</v>
      </c>
      <c r="J74" s="123">
        <v>400</v>
      </c>
      <c r="K74" s="124">
        <v>1350</v>
      </c>
      <c r="L74" s="122" t="s">
        <v>57</v>
      </c>
      <c r="M74" s="124" t="s">
        <v>57</v>
      </c>
      <c r="N74" s="122">
        <v>1426</v>
      </c>
      <c r="O74" s="4">
        <v>2376</v>
      </c>
      <c r="P74" s="39"/>
      <c r="Q74" s="39"/>
      <c r="R74" s="39"/>
      <c r="S74" s="39"/>
      <c r="T74" s="39"/>
      <c r="U74" s="39"/>
      <c r="V74" s="39"/>
      <c r="W74" s="39"/>
      <c r="X74" s="39"/>
      <c r="Y74" s="39"/>
      <c r="Z74" s="39"/>
    </row>
    <row r="75" spans="1:26" s="3" customFormat="1" ht="27" customHeight="1" x14ac:dyDescent="0.25">
      <c r="A75" s="134">
        <f t="shared" si="2"/>
        <v>72</v>
      </c>
      <c r="B75" s="15" t="s">
        <v>426</v>
      </c>
      <c r="C75" s="71" t="s">
        <v>92</v>
      </c>
      <c r="D75" s="72" t="s">
        <v>58</v>
      </c>
      <c r="E75" s="84" t="s">
        <v>108</v>
      </c>
      <c r="F75" s="34" t="s">
        <v>56</v>
      </c>
      <c r="G75" s="34">
        <v>298</v>
      </c>
      <c r="H75" s="34">
        <v>0.17083333333333331</v>
      </c>
      <c r="I75" s="119">
        <v>830</v>
      </c>
      <c r="J75" s="123">
        <v>400</v>
      </c>
      <c r="K75" s="124">
        <v>1350</v>
      </c>
      <c r="L75" s="122" t="s">
        <v>57</v>
      </c>
      <c r="M75" s="124" t="s">
        <v>57</v>
      </c>
      <c r="N75" s="122">
        <v>1230</v>
      </c>
      <c r="O75" s="4">
        <v>2180</v>
      </c>
      <c r="P75" s="39"/>
      <c r="Q75" s="39"/>
      <c r="R75" s="39"/>
      <c r="S75" s="39"/>
      <c r="T75" s="39"/>
      <c r="U75" s="39"/>
      <c r="V75" s="39"/>
      <c r="W75" s="39"/>
      <c r="X75" s="39"/>
      <c r="Y75" s="39"/>
      <c r="Z75" s="39"/>
    </row>
    <row r="76" spans="1:26" s="3" customFormat="1" ht="27" customHeight="1" x14ac:dyDescent="0.25">
      <c r="A76" s="134">
        <f t="shared" si="2"/>
        <v>73</v>
      </c>
      <c r="B76" s="16" t="s">
        <v>427</v>
      </c>
      <c r="C76" s="71" t="s">
        <v>69</v>
      </c>
      <c r="D76" s="72" t="s">
        <v>73</v>
      </c>
      <c r="E76" s="84" t="s">
        <v>110</v>
      </c>
      <c r="F76" s="34">
        <v>16</v>
      </c>
      <c r="G76" s="34" t="s">
        <v>56</v>
      </c>
      <c r="H76" s="34">
        <v>3.4083333333333332</v>
      </c>
      <c r="I76" s="119">
        <v>4905.681818181818</v>
      </c>
      <c r="J76" s="123">
        <v>650</v>
      </c>
      <c r="K76" s="124">
        <v>2150</v>
      </c>
      <c r="L76" s="122">
        <v>1250</v>
      </c>
      <c r="M76" s="124">
        <v>4000</v>
      </c>
      <c r="N76" s="122">
        <v>5555.681818181818</v>
      </c>
      <c r="O76" s="4">
        <v>7055.681818181818</v>
      </c>
      <c r="P76" s="39"/>
      <c r="Q76" s="39"/>
      <c r="R76" s="39"/>
      <c r="S76" s="39"/>
      <c r="T76" s="39"/>
      <c r="U76" s="39"/>
      <c r="V76" s="39"/>
      <c r="W76" s="39"/>
      <c r="X76" s="39"/>
      <c r="Y76" s="39"/>
      <c r="Z76" s="39"/>
    </row>
    <row r="77" spans="1:26" s="3" customFormat="1" ht="27" customHeight="1" x14ac:dyDescent="0.25">
      <c r="A77" s="134">
        <f t="shared" si="2"/>
        <v>74</v>
      </c>
      <c r="B77" s="16" t="s">
        <v>427</v>
      </c>
      <c r="C77" s="71" t="s">
        <v>72</v>
      </c>
      <c r="D77" s="72" t="s">
        <v>73</v>
      </c>
      <c r="E77" s="84" t="s">
        <v>111</v>
      </c>
      <c r="F77" s="34">
        <v>36</v>
      </c>
      <c r="G77" s="34" t="s">
        <v>56</v>
      </c>
      <c r="H77" s="34">
        <v>3.4125000000000001</v>
      </c>
      <c r="I77" s="119">
        <v>5806.818181818182</v>
      </c>
      <c r="J77" s="123">
        <v>650</v>
      </c>
      <c r="K77" s="124">
        <v>2150</v>
      </c>
      <c r="L77" s="122">
        <v>1250</v>
      </c>
      <c r="M77" s="124">
        <v>4000</v>
      </c>
      <c r="N77" s="122">
        <v>6456.818181818182</v>
      </c>
      <c r="O77" s="4">
        <v>7956.818181818182</v>
      </c>
      <c r="P77" s="39"/>
      <c r="Q77" s="39"/>
      <c r="R77" s="39"/>
      <c r="S77" s="39"/>
      <c r="T77" s="39"/>
      <c r="U77" s="39"/>
      <c r="V77" s="39"/>
      <c r="W77" s="39"/>
      <c r="X77" s="39"/>
      <c r="Y77" s="39"/>
      <c r="Z77" s="39"/>
    </row>
    <row r="78" spans="1:26" s="3" customFormat="1" ht="27" customHeight="1" x14ac:dyDescent="0.25">
      <c r="A78" s="134">
        <f t="shared" ref="A78:A141" si="16">A77+1</f>
        <v>75</v>
      </c>
      <c r="B78" s="16" t="s">
        <v>427</v>
      </c>
      <c r="C78" s="71" t="s">
        <v>72</v>
      </c>
      <c r="D78" s="72" t="s">
        <v>70</v>
      </c>
      <c r="E78" s="84" t="s">
        <v>112</v>
      </c>
      <c r="F78" s="34">
        <v>46.5</v>
      </c>
      <c r="G78" s="34" t="s">
        <v>56</v>
      </c>
      <c r="H78" s="34">
        <v>5.6166666666666671</v>
      </c>
      <c r="I78" s="119">
        <v>3450</v>
      </c>
      <c r="J78" s="123">
        <v>650</v>
      </c>
      <c r="K78" s="124">
        <v>2150</v>
      </c>
      <c r="L78" s="122">
        <v>1250</v>
      </c>
      <c r="M78" s="124">
        <v>4000</v>
      </c>
      <c r="N78" s="122">
        <v>4100</v>
      </c>
      <c r="O78" s="4">
        <v>5600</v>
      </c>
      <c r="P78" s="39"/>
      <c r="Q78" s="39"/>
      <c r="R78" s="39"/>
      <c r="S78" s="39"/>
      <c r="T78" s="39"/>
      <c r="U78" s="39"/>
      <c r="V78" s="39"/>
      <c r="W78" s="39"/>
      <c r="X78" s="39"/>
      <c r="Y78" s="39"/>
      <c r="Z78" s="39"/>
    </row>
    <row r="79" spans="1:26" s="3" customFormat="1" ht="27" customHeight="1" x14ac:dyDescent="0.25">
      <c r="A79" s="134">
        <f t="shared" si="16"/>
        <v>76</v>
      </c>
      <c r="B79" s="16" t="s">
        <v>427</v>
      </c>
      <c r="C79" s="71" t="s">
        <v>72</v>
      </c>
      <c r="D79" s="72" t="s">
        <v>76</v>
      </c>
      <c r="E79" s="84" t="s">
        <v>113</v>
      </c>
      <c r="F79" s="34">
        <v>50</v>
      </c>
      <c r="G79" s="34" t="s">
        <v>56</v>
      </c>
      <c r="H79" s="34">
        <v>5</v>
      </c>
      <c r="I79" s="119">
        <v>3360</v>
      </c>
      <c r="J79" s="123">
        <v>650</v>
      </c>
      <c r="K79" s="124">
        <v>2150</v>
      </c>
      <c r="L79" s="122">
        <v>1250</v>
      </c>
      <c r="M79" s="124">
        <v>4000</v>
      </c>
      <c r="N79" s="122">
        <v>4010</v>
      </c>
      <c r="O79" s="4">
        <v>5510</v>
      </c>
      <c r="P79" s="39"/>
      <c r="Q79" s="39"/>
      <c r="R79" s="39"/>
      <c r="S79" s="39"/>
      <c r="T79" s="39"/>
      <c r="U79" s="39"/>
      <c r="V79" s="39"/>
      <c r="W79" s="39"/>
      <c r="X79" s="39"/>
      <c r="Y79" s="39"/>
      <c r="Z79" s="39"/>
    </row>
    <row r="80" spans="1:26" s="3" customFormat="1" ht="27" customHeight="1" x14ac:dyDescent="0.25">
      <c r="A80" s="134">
        <f t="shared" si="16"/>
        <v>77</v>
      </c>
      <c r="B80" s="16" t="s">
        <v>427</v>
      </c>
      <c r="C80" s="71" t="s">
        <v>72</v>
      </c>
      <c r="D80" s="72" t="s">
        <v>94</v>
      </c>
      <c r="E80" s="84" t="s">
        <v>114</v>
      </c>
      <c r="F80" s="34">
        <v>52.5</v>
      </c>
      <c r="G80" s="34" t="s">
        <v>56</v>
      </c>
      <c r="H80" s="34">
        <v>3.1</v>
      </c>
      <c r="I80" s="119">
        <v>3683</v>
      </c>
      <c r="J80" s="123">
        <v>650</v>
      </c>
      <c r="K80" s="124">
        <v>2150</v>
      </c>
      <c r="L80" s="122">
        <v>1250</v>
      </c>
      <c r="M80" s="124">
        <v>4000</v>
      </c>
      <c r="N80" s="122">
        <v>4333</v>
      </c>
      <c r="O80" s="4">
        <v>5833</v>
      </c>
      <c r="P80" s="39"/>
      <c r="Q80" s="39"/>
      <c r="R80" s="39"/>
      <c r="S80" s="39"/>
      <c r="T80" s="39"/>
      <c r="U80" s="39"/>
      <c r="V80" s="39"/>
      <c r="W80" s="39"/>
      <c r="X80" s="39"/>
      <c r="Y80" s="39"/>
      <c r="Z80" s="39"/>
    </row>
    <row r="81" spans="1:35" s="3" customFormat="1" ht="27" customHeight="1" x14ac:dyDescent="0.25">
      <c r="A81" s="134">
        <f t="shared" si="16"/>
        <v>78</v>
      </c>
      <c r="B81" s="16" t="s">
        <v>427</v>
      </c>
      <c r="C81" s="71" t="s">
        <v>72</v>
      </c>
      <c r="D81" s="72" t="s">
        <v>109</v>
      </c>
      <c r="E81" s="84" t="s">
        <v>115</v>
      </c>
      <c r="F81" s="34">
        <v>54.5</v>
      </c>
      <c r="G81" s="34" t="s">
        <v>56</v>
      </c>
      <c r="H81" s="34">
        <v>3.4784722222222224</v>
      </c>
      <c r="I81" s="119">
        <v>3165</v>
      </c>
      <c r="J81" s="123">
        <v>650</v>
      </c>
      <c r="K81" s="124">
        <v>2150</v>
      </c>
      <c r="L81" s="122">
        <v>1250</v>
      </c>
      <c r="M81" s="124">
        <v>4000</v>
      </c>
      <c r="N81" s="122">
        <v>3815</v>
      </c>
      <c r="O81" s="4">
        <v>5315</v>
      </c>
      <c r="P81" s="39"/>
      <c r="Q81" s="39"/>
      <c r="R81" s="39"/>
      <c r="S81" s="39"/>
      <c r="T81" s="39"/>
      <c r="U81" s="39"/>
      <c r="V81" s="39"/>
      <c r="W81" s="39"/>
      <c r="X81" s="39"/>
      <c r="Y81" s="39"/>
      <c r="Z81" s="39"/>
    </row>
    <row r="82" spans="1:35" s="3" customFormat="1" ht="27" customHeight="1" x14ac:dyDescent="0.25">
      <c r="A82" s="134">
        <f t="shared" si="16"/>
        <v>79</v>
      </c>
      <c r="B82" s="16" t="s">
        <v>427</v>
      </c>
      <c r="C82" s="71" t="s">
        <v>72</v>
      </c>
      <c r="D82" s="72" t="s">
        <v>81</v>
      </c>
      <c r="E82" s="84" t="s">
        <v>116</v>
      </c>
      <c r="F82" s="34">
        <v>55.5</v>
      </c>
      <c r="G82" s="34" t="s">
        <v>56</v>
      </c>
      <c r="H82" s="34">
        <v>3.0166666666666671</v>
      </c>
      <c r="I82" s="119">
        <v>3573</v>
      </c>
      <c r="J82" s="123">
        <v>650</v>
      </c>
      <c r="K82" s="124">
        <v>2150</v>
      </c>
      <c r="L82" s="122">
        <v>1250</v>
      </c>
      <c r="M82" s="124">
        <v>4000</v>
      </c>
      <c r="N82" s="122">
        <v>4223</v>
      </c>
      <c r="O82" s="4">
        <v>5723</v>
      </c>
      <c r="P82" s="39"/>
      <c r="Q82" s="39"/>
      <c r="R82" s="39"/>
      <c r="S82" s="39"/>
      <c r="T82" s="39"/>
      <c r="U82" s="39"/>
      <c r="V82" s="39"/>
      <c r="W82" s="39"/>
      <c r="X82" s="39"/>
      <c r="Y82" s="39"/>
      <c r="Z82" s="39"/>
    </row>
    <row r="83" spans="1:35" s="3" customFormat="1" ht="27" customHeight="1" x14ac:dyDescent="0.25">
      <c r="A83" s="134">
        <f t="shared" si="16"/>
        <v>80</v>
      </c>
      <c r="B83" s="16" t="s">
        <v>427</v>
      </c>
      <c r="C83" s="71" t="s">
        <v>72</v>
      </c>
      <c r="D83" s="72" t="s">
        <v>58</v>
      </c>
      <c r="E83" s="84" t="s">
        <v>117</v>
      </c>
      <c r="F83" s="34">
        <v>59</v>
      </c>
      <c r="G83" s="34" t="s">
        <v>56</v>
      </c>
      <c r="H83" s="34">
        <v>4</v>
      </c>
      <c r="I83" s="119">
        <v>2650</v>
      </c>
      <c r="J83" s="123">
        <v>650</v>
      </c>
      <c r="K83" s="124">
        <v>2150</v>
      </c>
      <c r="L83" s="122">
        <v>1250</v>
      </c>
      <c r="M83" s="124">
        <v>4000</v>
      </c>
      <c r="N83" s="122">
        <v>3300</v>
      </c>
      <c r="O83" s="4">
        <v>4800</v>
      </c>
      <c r="P83" s="39"/>
      <c r="Q83" s="39"/>
      <c r="R83" s="39"/>
      <c r="S83" s="39"/>
      <c r="T83" s="39"/>
      <c r="U83" s="39"/>
      <c r="V83" s="39"/>
      <c r="W83" s="39"/>
      <c r="X83" s="39"/>
      <c r="Y83" s="39"/>
      <c r="Z83" s="39"/>
    </row>
    <row r="84" spans="1:35" s="3" customFormat="1" ht="27" customHeight="1" x14ac:dyDescent="0.25">
      <c r="A84" s="134">
        <f t="shared" si="16"/>
        <v>81</v>
      </c>
      <c r="B84" s="16" t="s">
        <v>427</v>
      </c>
      <c r="C84" s="71" t="s">
        <v>80</v>
      </c>
      <c r="D84" s="72" t="s">
        <v>94</v>
      </c>
      <c r="E84" s="84" t="s">
        <v>118</v>
      </c>
      <c r="F84" s="34">
        <v>88</v>
      </c>
      <c r="G84" s="34" t="s">
        <v>56</v>
      </c>
      <c r="H84" s="34">
        <v>3.2562500000000001</v>
      </c>
      <c r="I84" s="119">
        <v>4951</v>
      </c>
      <c r="J84" s="123">
        <v>650</v>
      </c>
      <c r="K84" s="124">
        <v>2150</v>
      </c>
      <c r="L84" s="122">
        <v>1250</v>
      </c>
      <c r="M84" s="124">
        <v>4000</v>
      </c>
      <c r="N84" s="122">
        <v>5601</v>
      </c>
      <c r="O84" s="4">
        <v>7101</v>
      </c>
      <c r="P84" s="39"/>
      <c r="Q84" s="39"/>
      <c r="R84" s="39"/>
      <c r="S84" s="39"/>
      <c r="T84" s="39"/>
      <c r="U84" s="39"/>
      <c r="V84" s="39"/>
      <c r="W84" s="39"/>
      <c r="X84" s="39"/>
      <c r="Y84" s="39"/>
      <c r="Z84" s="39"/>
    </row>
    <row r="85" spans="1:35" s="3" customFormat="1" ht="27" customHeight="1" x14ac:dyDescent="0.25">
      <c r="A85" s="134">
        <f t="shared" si="16"/>
        <v>82</v>
      </c>
      <c r="B85" s="16" t="s">
        <v>427</v>
      </c>
      <c r="C85" s="71" t="s">
        <v>88</v>
      </c>
      <c r="D85" s="72" t="s">
        <v>81</v>
      </c>
      <c r="E85" s="84" t="s">
        <v>119</v>
      </c>
      <c r="F85" s="34">
        <v>92</v>
      </c>
      <c r="G85" s="35" t="s">
        <v>56</v>
      </c>
      <c r="H85" s="35">
        <v>3.0208333333333335</v>
      </c>
      <c r="I85" s="119">
        <v>3984</v>
      </c>
      <c r="J85" s="123">
        <v>650</v>
      </c>
      <c r="K85" s="124">
        <v>2150</v>
      </c>
      <c r="L85" s="122">
        <v>1250</v>
      </c>
      <c r="M85" s="124">
        <v>4000</v>
      </c>
      <c r="N85" s="122">
        <v>4634</v>
      </c>
      <c r="O85" s="4">
        <v>6134</v>
      </c>
      <c r="P85" s="39"/>
    </row>
    <row r="86" spans="1:35" s="3" customFormat="1" ht="27" customHeight="1" x14ac:dyDescent="0.25">
      <c r="A86" s="134">
        <f t="shared" si="16"/>
        <v>83</v>
      </c>
      <c r="B86" s="16" t="s">
        <v>427</v>
      </c>
      <c r="C86" s="71" t="s">
        <v>88</v>
      </c>
      <c r="D86" s="72" t="s">
        <v>70</v>
      </c>
      <c r="E86" s="72" t="s">
        <v>120</v>
      </c>
      <c r="F86" s="34">
        <v>99</v>
      </c>
      <c r="G86" s="34" t="s">
        <v>56</v>
      </c>
      <c r="H86" s="34">
        <v>7.3312499999999998</v>
      </c>
      <c r="I86" s="119">
        <v>4750</v>
      </c>
      <c r="J86" s="123">
        <v>650</v>
      </c>
      <c r="K86" s="124">
        <v>2150</v>
      </c>
      <c r="L86" s="122">
        <v>1250</v>
      </c>
      <c r="M86" s="124">
        <v>4000</v>
      </c>
      <c r="N86" s="122">
        <v>5400</v>
      </c>
      <c r="O86" s="4">
        <v>6900</v>
      </c>
      <c r="P86" s="39"/>
      <c r="Q86" s="161"/>
      <c r="R86" s="161"/>
      <c r="S86" s="161"/>
      <c r="T86" s="161"/>
      <c r="U86" s="161"/>
      <c r="V86" s="161"/>
      <c r="W86" s="161"/>
      <c r="X86" s="161"/>
      <c r="Y86" s="161"/>
      <c r="Z86" s="161"/>
      <c r="AB86" s="59"/>
      <c r="AC86" s="59"/>
      <c r="AD86" s="59"/>
      <c r="AE86" s="59"/>
    </row>
    <row r="87" spans="1:35" s="3" customFormat="1" ht="27" customHeight="1" x14ac:dyDescent="0.25">
      <c r="A87" s="134">
        <f t="shared" si="16"/>
        <v>84</v>
      </c>
      <c r="B87" s="16" t="s">
        <v>427</v>
      </c>
      <c r="C87" s="71" t="s">
        <v>88</v>
      </c>
      <c r="D87" s="72" t="s">
        <v>58</v>
      </c>
      <c r="E87" s="84" t="s">
        <v>121</v>
      </c>
      <c r="F87" s="34">
        <v>100</v>
      </c>
      <c r="G87" s="34" t="s">
        <v>56</v>
      </c>
      <c r="H87" s="34">
        <v>4.6833333333333336</v>
      </c>
      <c r="I87" s="119">
        <v>3620</v>
      </c>
      <c r="J87" s="123">
        <v>650</v>
      </c>
      <c r="K87" s="124">
        <v>2150</v>
      </c>
      <c r="L87" s="122">
        <v>1250</v>
      </c>
      <c r="M87" s="124">
        <v>4000</v>
      </c>
      <c r="N87" s="122">
        <v>4270</v>
      </c>
      <c r="O87" s="4">
        <v>5770</v>
      </c>
      <c r="P87" s="39"/>
      <c r="AB87" s="59"/>
      <c r="AC87" s="59"/>
      <c r="AD87" s="59"/>
      <c r="AE87" s="59"/>
    </row>
    <row r="88" spans="1:35" s="37" customFormat="1" ht="30" x14ac:dyDescent="0.25">
      <c r="A88" s="134">
        <f t="shared" si="16"/>
        <v>85</v>
      </c>
      <c r="B88" s="16" t="s">
        <v>427</v>
      </c>
      <c r="C88" s="71" t="s">
        <v>92</v>
      </c>
      <c r="D88" s="72" t="s">
        <v>94</v>
      </c>
      <c r="E88" s="84" t="s">
        <v>122</v>
      </c>
      <c r="F88" s="34">
        <v>132</v>
      </c>
      <c r="G88" s="34" t="s">
        <v>56</v>
      </c>
      <c r="H88" s="34">
        <v>3.3118055555555554</v>
      </c>
      <c r="I88" s="119">
        <v>5253</v>
      </c>
      <c r="J88" s="123">
        <v>650</v>
      </c>
      <c r="K88" s="124">
        <v>2150</v>
      </c>
      <c r="L88" s="122">
        <v>1250</v>
      </c>
      <c r="M88" s="124">
        <v>4000</v>
      </c>
      <c r="N88" s="122">
        <v>5903</v>
      </c>
      <c r="O88" s="4">
        <v>7403</v>
      </c>
      <c r="P88" s="39"/>
      <c r="Q88" s="59"/>
      <c r="R88" s="59"/>
      <c r="S88" s="59"/>
      <c r="T88" s="59"/>
      <c r="U88" s="59"/>
      <c r="V88" s="59"/>
      <c r="W88" s="59"/>
      <c r="X88" s="59"/>
      <c r="Y88" s="59"/>
      <c r="Z88" s="59"/>
      <c r="AA88" s="59"/>
      <c r="AB88" s="59"/>
      <c r="AC88" s="59"/>
      <c r="AD88" s="59"/>
      <c r="AE88" s="59"/>
      <c r="AF88" s="59"/>
      <c r="AG88" s="59"/>
      <c r="AH88" s="59"/>
      <c r="AI88" s="3"/>
    </row>
    <row r="89" spans="1:35" s="59" customFormat="1" ht="30" x14ac:dyDescent="0.25">
      <c r="A89" s="134">
        <f t="shared" si="16"/>
        <v>86</v>
      </c>
      <c r="B89" s="16" t="s">
        <v>427</v>
      </c>
      <c r="C89" s="71" t="s">
        <v>92</v>
      </c>
      <c r="D89" s="72" t="s">
        <v>81</v>
      </c>
      <c r="E89" s="72" t="s">
        <v>123</v>
      </c>
      <c r="F89" s="34">
        <v>170</v>
      </c>
      <c r="G89" s="34" t="s">
        <v>56</v>
      </c>
      <c r="H89" s="34">
        <v>3.0583333333333336</v>
      </c>
      <c r="I89" s="119">
        <v>4997</v>
      </c>
      <c r="J89" s="123">
        <v>650</v>
      </c>
      <c r="K89" s="124">
        <v>2150</v>
      </c>
      <c r="L89" s="122">
        <v>1250</v>
      </c>
      <c r="M89" s="124">
        <v>4000</v>
      </c>
      <c r="N89" s="122">
        <v>5647</v>
      </c>
      <c r="O89" s="4">
        <v>7147</v>
      </c>
      <c r="P89" s="39"/>
    </row>
    <row r="90" spans="1:35" s="59" customFormat="1" ht="30" x14ac:dyDescent="0.25">
      <c r="A90" s="134">
        <f t="shared" si="16"/>
        <v>87</v>
      </c>
      <c r="B90" s="16" t="s">
        <v>427</v>
      </c>
      <c r="C90" s="71" t="s">
        <v>92</v>
      </c>
      <c r="D90" s="72" t="s">
        <v>58</v>
      </c>
      <c r="E90" s="84" t="s">
        <v>124</v>
      </c>
      <c r="F90" s="34">
        <v>200</v>
      </c>
      <c r="G90" s="34" t="s">
        <v>56</v>
      </c>
      <c r="H90" s="34">
        <v>3.8909722222222225</v>
      </c>
      <c r="I90" s="119">
        <v>4150</v>
      </c>
      <c r="J90" s="123">
        <v>650</v>
      </c>
      <c r="K90" s="124">
        <v>2150</v>
      </c>
      <c r="L90" s="122">
        <v>1250</v>
      </c>
      <c r="M90" s="124">
        <v>4000</v>
      </c>
      <c r="N90" s="122">
        <v>4800</v>
      </c>
      <c r="O90" s="4">
        <v>6300</v>
      </c>
      <c r="P90" s="39"/>
    </row>
    <row r="91" spans="1:35" s="59" customFormat="1" ht="30" x14ac:dyDescent="0.25">
      <c r="A91" s="134">
        <f t="shared" si="16"/>
        <v>88</v>
      </c>
      <c r="B91" s="16" t="s">
        <v>427</v>
      </c>
      <c r="C91" s="71" t="s">
        <v>92</v>
      </c>
      <c r="D91" s="72" t="s">
        <v>73</v>
      </c>
      <c r="E91" s="84" t="s">
        <v>125</v>
      </c>
      <c r="F91" s="34">
        <v>220</v>
      </c>
      <c r="G91" s="34" t="s">
        <v>56</v>
      </c>
      <c r="H91" s="34">
        <v>3.8027777777777776</v>
      </c>
      <c r="I91" s="119">
        <v>7775</v>
      </c>
      <c r="J91" s="123">
        <v>650</v>
      </c>
      <c r="K91" s="124">
        <v>2150</v>
      </c>
      <c r="L91" s="122">
        <v>1250</v>
      </c>
      <c r="M91" s="124">
        <v>4000</v>
      </c>
      <c r="N91" s="122">
        <v>8425</v>
      </c>
      <c r="O91" s="4">
        <v>9925</v>
      </c>
      <c r="P91" s="39"/>
    </row>
    <row r="92" spans="1:35" s="59" customFormat="1" ht="30" x14ac:dyDescent="0.25">
      <c r="A92" s="134">
        <f t="shared" si="16"/>
        <v>89</v>
      </c>
      <c r="B92" s="17" t="s">
        <v>428</v>
      </c>
      <c r="C92" s="71" t="s">
        <v>69</v>
      </c>
      <c r="D92" s="72" t="s">
        <v>73</v>
      </c>
      <c r="E92" s="84" t="s">
        <v>126</v>
      </c>
      <c r="F92" s="34">
        <v>16</v>
      </c>
      <c r="G92" s="34">
        <v>2.4</v>
      </c>
      <c r="H92" s="34">
        <v>3.5</v>
      </c>
      <c r="I92" s="119">
        <v>4944.318181818182</v>
      </c>
      <c r="J92" s="123">
        <v>650</v>
      </c>
      <c r="K92" s="124">
        <v>2150</v>
      </c>
      <c r="L92" s="122">
        <v>1250</v>
      </c>
      <c r="M92" s="124">
        <v>4000</v>
      </c>
      <c r="N92" s="122">
        <v>5594.318181818182</v>
      </c>
      <c r="O92" s="4">
        <v>7094.318181818182</v>
      </c>
      <c r="P92" s="39"/>
    </row>
    <row r="93" spans="1:35" ht="30" x14ac:dyDescent="0.25">
      <c r="A93" s="134">
        <f t="shared" si="16"/>
        <v>90</v>
      </c>
      <c r="B93" s="17" t="s">
        <v>428</v>
      </c>
      <c r="C93" s="71" t="s">
        <v>72</v>
      </c>
      <c r="D93" s="72" t="s">
        <v>73</v>
      </c>
      <c r="E93" s="84" t="s">
        <v>127</v>
      </c>
      <c r="F93" s="34">
        <v>36</v>
      </c>
      <c r="G93" s="34">
        <v>4.8</v>
      </c>
      <c r="H93" s="34">
        <v>3.4125000000000001</v>
      </c>
      <c r="I93" s="119">
        <v>7084</v>
      </c>
      <c r="J93" s="123">
        <v>650</v>
      </c>
      <c r="K93" s="124">
        <v>2150</v>
      </c>
      <c r="L93" s="122">
        <v>1250</v>
      </c>
      <c r="M93" s="124">
        <v>4000</v>
      </c>
      <c r="N93" s="122">
        <v>7734</v>
      </c>
      <c r="O93" s="4">
        <v>9234</v>
      </c>
      <c r="P93" s="39"/>
      <c r="Q93" s="59"/>
      <c r="R93" s="59"/>
      <c r="S93" s="59"/>
      <c r="T93" s="59"/>
      <c r="U93" s="59"/>
      <c r="V93" s="59"/>
      <c r="W93" s="59"/>
      <c r="X93" s="59"/>
      <c r="Y93" s="59"/>
      <c r="Z93" s="59"/>
      <c r="AA93" s="59"/>
      <c r="AI93" s="59"/>
    </row>
    <row r="94" spans="1:35" ht="30" x14ac:dyDescent="0.25">
      <c r="A94" s="134">
        <f t="shared" si="16"/>
        <v>91</v>
      </c>
      <c r="B94" s="17" t="s">
        <v>428</v>
      </c>
      <c r="C94" s="71" t="s">
        <v>72</v>
      </c>
      <c r="D94" s="72" t="s">
        <v>58</v>
      </c>
      <c r="E94" s="84" t="s">
        <v>128</v>
      </c>
      <c r="F94" s="34">
        <v>37.5</v>
      </c>
      <c r="G94" s="34">
        <v>32</v>
      </c>
      <c r="H94" s="34">
        <v>4.7875000000000005</v>
      </c>
      <c r="I94" s="119">
        <v>4150</v>
      </c>
      <c r="J94" s="123">
        <v>650</v>
      </c>
      <c r="K94" s="124">
        <v>2150</v>
      </c>
      <c r="L94" s="122">
        <v>1250</v>
      </c>
      <c r="M94" s="124">
        <v>4000</v>
      </c>
      <c r="N94" s="122">
        <v>4800</v>
      </c>
      <c r="O94" s="4">
        <v>6300</v>
      </c>
      <c r="P94" s="39"/>
      <c r="Q94" s="59"/>
      <c r="R94" s="59"/>
      <c r="S94" s="59"/>
      <c r="T94" s="59"/>
      <c r="U94" s="59"/>
      <c r="V94" s="59"/>
      <c r="W94" s="59"/>
      <c r="X94" s="59"/>
      <c r="Y94" s="59"/>
      <c r="Z94" s="59"/>
      <c r="AA94" s="59"/>
      <c r="AI94" s="59"/>
    </row>
    <row r="95" spans="1:35" ht="30" x14ac:dyDescent="0.25">
      <c r="A95" s="134">
        <f t="shared" si="16"/>
        <v>92</v>
      </c>
      <c r="B95" s="17" t="s">
        <v>428</v>
      </c>
      <c r="C95" s="71" t="s">
        <v>72</v>
      </c>
      <c r="D95" s="72" t="s">
        <v>81</v>
      </c>
      <c r="E95" s="84" t="s">
        <v>129</v>
      </c>
      <c r="F95" s="34">
        <v>36</v>
      </c>
      <c r="G95" s="34">
        <v>34.299999999999997</v>
      </c>
      <c r="H95" s="34">
        <v>3</v>
      </c>
      <c r="I95" s="119">
        <v>5810</v>
      </c>
      <c r="J95" s="123">
        <v>650</v>
      </c>
      <c r="K95" s="124">
        <v>2150</v>
      </c>
      <c r="L95" s="122">
        <v>1250</v>
      </c>
      <c r="M95" s="124">
        <v>4000</v>
      </c>
      <c r="N95" s="122">
        <v>6065.2000000000007</v>
      </c>
      <c r="O95" s="4">
        <v>7565.2000000000007</v>
      </c>
      <c r="P95" s="39"/>
      <c r="Q95" s="59"/>
      <c r="R95" s="59"/>
      <c r="S95" s="59"/>
      <c r="T95" s="59"/>
      <c r="U95" s="59"/>
      <c r="V95" s="59"/>
      <c r="W95" s="59"/>
      <c r="X95" s="59"/>
      <c r="Y95" s="59"/>
      <c r="Z95" s="59"/>
      <c r="AA95" s="59"/>
      <c r="AI95" s="59"/>
    </row>
    <row r="96" spans="1:35" ht="30" x14ac:dyDescent="0.25">
      <c r="A96" s="134">
        <f t="shared" si="16"/>
        <v>93</v>
      </c>
      <c r="B96" s="17" t="s">
        <v>428</v>
      </c>
      <c r="C96" s="71" t="s">
        <v>72</v>
      </c>
      <c r="D96" s="72" t="s">
        <v>94</v>
      </c>
      <c r="E96" s="84" t="s">
        <v>130</v>
      </c>
      <c r="F96" s="34">
        <v>57</v>
      </c>
      <c r="G96" s="34">
        <v>24</v>
      </c>
      <c r="H96" s="34">
        <v>3.4583333333333335</v>
      </c>
      <c r="I96" s="119">
        <v>6219</v>
      </c>
      <c r="J96" s="123">
        <v>650</v>
      </c>
      <c r="K96" s="124">
        <v>2150</v>
      </c>
      <c r="L96" s="122">
        <v>1250</v>
      </c>
      <c r="M96" s="124">
        <v>4000</v>
      </c>
      <c r="N96" s="122">
        <v>6869</v>
      </c>
      <c r="O96" s="4">
        <v>8369</v>
      </c>
      <c r="P96" s="39"/>
      <c r="Q96" s="59"/>
      <c r="R96" s="59"/>
      <c r="S96" s="59"/>
      <c r="T96" s="59"/>
      <c r="U96" s="59"/>
      <c r="V96" s="59"/>
      <c r="W96" s="59"/>
      <c r="X96" s="59"/>
      <c r="Y96" s="59"/>
      <c r="Z96" s="59"/>
      <c r="AA96" s="59"/>
      <c r="AI96" s="59"/>
    </row>
    <row r="97" spans="1:35" ht="30" x14ac:dyDescent="0.25">
      <c r="A97" s="134">
        <f t="shared" si="16"/>
        <v>94</v>
      </c>
      <c r="B97" s="17" t="s">
        <v>428</v>
      </c>
      <c r="C97" s="71" t="s">
        <v>72</v>
      </c>
      <c r="D97" s="72" t="s">
        <v>70</v>
      </c>
      <c r="E97" s="84" t="s">
        <v>131</v>
      </c>
      <c r="F97" s="34">
        <v>58</v>
      </c>
      <c r="G97" s="34">
        <v>44</v>
      </c>
      <c r="H97" s="34">
        <v>11.8125</v>
      </c>
      <c r="I97" s="119">
        <v>5500</v>
      </c>
      <c r="J97" s="123">
        <v>650</v>
      </c>
      <c r="K97" s="124">
        <v>2150</v>
      </c>
      <c r="L97" s="122">
        <v>1250</v>
      </c>
      <c r="M97" s="124">
        <v>4000</v>
      </c>
      <c r="N97" s="122">
        <v>5746.0000000000009</v>
      </c>
      <c r="O97" s="4">
        <v>7246.0000000000009</v>
      </c>
      <c r="P97" s="39"/>
      <c r="Q97" s="59"/>
      <c r="R97" s="59"/>
      <c r="S97" s="59"/>
      <c r="T97" s="59"/>
      <c r="U97" s="59"/>
      <c r="V97" s="59"/>
      <c r="W97" s="59"/>
      <c r="X97" s="59"/>
      <c r="Y97" s="59"/>
      <c r="Z97" s="59"/>
      <c r="AA97" s="59"/>
      <c r="AI97" s="59"/>
    </row>
    <row r="98" spans="1:35" ht="30" x14ac:dyDescent="0.25">
      <c r="A98" s="134">
        <f t="shared" si="16"/>
        <v>95</v>
      </c>
      <c r="B98" s="17" t="s">
        <v>428</v>
      </c>
      <c r="C98" s="71" t="s">
        <v>80</v>
      </c>
      <c r="D98" s="72" t="s">
        <v>73</v>
      </c>
      <c r="E98" s="84" t="s">
        <v>132</v>
      </c>
      <c r="F98" s="34">
        <v>70</v>
      </c>
      <c r="G98" s="34">
        <v>42</v>
      </c>
      <c r="H98" s="34">
        <v>3.0791666666666671</v>
      </c>
      <c r="I98" s="119">
        <v>11782</v>
      </c>
      <c r="J98" s="123">
        <v>650</v>
      </c>
      <c r="K98" s="124">
        <v>2150</v>
      </c>
      <c r="L98" s="122">
        <v>1250</v>
      </c>
      <c r="M98" s="124">
        <v>4000</v>
      </c>
      <c r="N98" s="122">
        <v>12432</v>
      </c>
      <c r="O98" s="4">
        <v>13932</v>
      </c>
      <c r="P98" s="39"/>
      <c r="Q98" s="59"/>
      <c r="R98" s="59"/>
      <c r="S98" s="59"/>
      <c r="T98" s="59"/>
      <c r="U98" s="59"/>
      <c r="V98" s="59"/>
      <c r="W98" s="59"/>
      <c r="X98" s="59"/>
      <c r="Y98" s="59"/>
      <c r="Z98" s="59"/>
      <c r="AA98" s="59"/>
      <c r="AI98" s="59"/>
    </row>
    <row r="99" spans="1:35" ht="30" x14ac:dyDescent="0.25">
      <c r="A99" s="134">
        <f t="shared" si="16"/>
        <v>96</v>
      </c>
      <c r="B99" s="17" t="s">
        <v>428</v>
      </c>
      <c r="C99" s="71" t="s">
        <v>88</v>
      </c>
      <c r="D99" s="72" t="s">
        <v>58</v>
      </c>
      <c r="E99" s="84" t="s">
        <v>133</v>
      </c>
      <c r="F99" s="34">
        <v>100</v>
      </c>
      <c r="G99" s="34">
        <v>40</v>
      </c>
      <c r="H99" s="34">
        <v>5.0604166666666668</v>
      </c>
      <c r="I99" s="119">
        <v>5800</v>
      </c>
      <c r="J99" s="123">
        <v>650</v>
      </c>
      <c r="K99" s="124">
        <v>2150</v>
      </c>
      <c r="L99" s="122">
        <v>1250</v>
      </c>
      <c r="M99" s="124">
        <v>4000</v>
      </c>
      <c r="N99" s="122">
        <v>6450</v>
      </c>
      <c r="O99" s="4">
        <v>7950</v>
      </c>
      <c r="P99" s="39"/>
      <c r="Q99" s="59"/>
      <c r="R99" s="59"/>
      <c r="S99" s="59"/>
      <c r="T99" s="59"/>
      <c r="U99" s="59"/>
      <c r="V99" s="59"/>
      <c r="W99" s="59"/>
      <c r="X99" s="59"/>
      <c r="Y99" s="59"/>
      <c r="Z99" s="59"/>
      <c r="AA99" s="59"/>
      <c r="AI99" s="59"/>
    </row>
    <row r="100" spans="1:35" ht="30" x14ac:dyDescent="0.25">
      <c r="A100" s="134">
        <f t="shared" si="16"/>
        <v>97</v>
      </c>
      <c r="B100" s="17" t="s">
        <v>428</v>
      </c>
      <c r="C100" s="71" t="s">
        <v>88</v>
      </c>
      <c r="D100" s="72" t="s">
        <v>94</v>
      </c>
      <c r="E100" s="84" t="s">
        <v>134</v>
      </c>
      <c r="F100" s="34">
        <v>102</v>
      </c>
      <c r="G100" s="34">
        <v>42.9</v>
      </c>
      <c r="H100" s="34">
        <v>3.2495833333333333</v>
      </c>
      <c r="I100" s="119">
        <v>7367</v>
      </c>
      <c r="J100" s="123">
        <v>650</v>
      </c>
      <c r="K100" s="124">
        <v>2150</v>
      </c>
      <c r="L100" s="122">
        <v>1250</v>
      </c>
      <c r="M100" s="124">
        <v>4000</v>
      </c>
      <c r="N100" s="122">
        <v>8017</v>
      </c>
      <c r="O100" s="4">
        <v>9517</v>
      </c>
      <c r="P100" s="39"/>
      <c r="Q100" s="59"/>
      <c r="R100" s="59"/>
      <c r="S100" s="59"/>
      <c r="T100" s="59"/>
      <c r="U100" s="59"/>
      <c r="V100" s="59"/>
      <c r="W100" s="59"/>
      <c r="X100" s="59"/>
      <c r="Y100" s="59"/>
      <c r="Z100" s="59"/>
      <c r="AA100" s="59"/>
      <c r="AI100" s="59"/>
    </row>
    <row r="101" spans="1:35" ht="30" x14ac:dyDescent="0.25">
      <c r="A101" s="134">
        <f t="shared" si="16"/>
        <v>98</v>
      </c>
      <c r="B101" s="18" t="s">
        <v>429</v>
      </c>
      <c r="C101" s="71" t="s">
        <v>72</v>
      </c>
      <c r="D101" s="72" t="s">
        <v>81</v>
      </c>
      <c r="E101" s="84" t="s">
        <v>135</v>
      </c>
      <c r="F101" s="34" t="s">
        <v>56</v>
      </c>
      <c r="G101" s="34">
        <v>34.299999999999997</v>
      </c>
      <c r="H101" s="34"/>
      <c r="I101" s="119">
        <v>3077</v>
      </c>
      <c r="J101" s="123">
        <v>650</v>
      </c>
      <c r="K101" s="124">
        <v>2150</v>
      </c>
      <c r="L101" s="122">
        <v>1250</v>
      </c>
      <c r="M101" s="124">
        <v>4000</v>
      </c>
      <c r="N101" s="122">
        <f t="shared" ref="N101:N122" si="17">I101+J101</f>
        <v>3727</v>
      </c>
      <c r="O101" s="4">
        <f t="shared" ref="O101:O122" si="18">I101+K101</f>
        <v>5227</v>
      </c>
      <c r="P101" s="39"/>
    </row>
    <row r="102" spans="1:35" ht="30" x14ac:dyDescent="0.25">
      <c r="A102" s="134">
        <f t="shared" si="16"/>
        <v>99</v>
      </c>
      <c r="B102" s="18" t="s">
        <v>429</v>
      </c>
      <c r="C102" s="71" t="s">
        <v>72</v>
      </c>
      <c r="D102" s="72" t="s">
        <v>58</v>
      </c>
      <c r="E102" s="84" t="s">
        <v>136</v>
      </c>
      <c r="F102" s="34" t="s">
        <v>56</v>
      </c>
      <c r="G102" s="34">
        <v>48</v>
      </c>
      <c r="H102" s="34">
        <v>5</v>
      </c>
      <c r="I102" s="119">
        <v>2350</v>
      </c>
      <c r="J102" s="123">
        <v>650</v>
      </c>
      <c r="K102" s="124">
        <v>2150</v>
      </c>
      <c r="L102" s="122">
        <v>1250</v>
      </c>
      <c r="M102" s="124">
        <v>4000</v>
      </c>
      <c r="N102" s="122">
        <f t="shared" si="17"/>
        <v>3000</v>
      </c>
      <c r="O102" s="4">
        <f t="shared" si="18"/>
        <v>4500</v>
      </c>
      <c r="P102" s="39"/>
    </row>
    <row r="103" spans="1:35" ht="30" x14ac:dyDescent="0.25">
      <c r="A103" s="134">
        <f t="shared" si="16"/>
        <v>100</v>
      </c>
      <c r="B103" s="18" t="s">
        <v>429</v>
      </c>
      <c r="C103" s="71" t="s">
        <v>80</v>
      </c>
      <c r="D103" s="72" t="s">
        <v>73</v>
      </c>
      <c r="E103" s="84" t="s">
        <v>137</v>
      </c>
      <c r="F103" s="34" t="s">
        <v>56</v>
      </c>
      <c r="G103" s="34">
        <v>64</v>
      </c>
      <c r="H103" s="34">
        <v>5</v>
      </c>
      <c r="I103" s="119">
        <v>5950</v>
      </c>
      <c r="J103" s="123">
        <v>650</v>
      </c>
      <c r="K103" s="124">
        <v>2150</v>
      </c>
      <c r="L103" s="122">
        <v>1250</v>
      </c>
      <c r="M103" s="124">
        <v>4000</v>
      </c>
      <c r="N103" s="122">
        <f t="shared" si="17"/>
        <v>6600</v>
      </c>
      <c r="O103" s="4">
        <f t="shared" si="18"/>
        <v>8100</v>
      </c>
      <c r="P103" s="39"/>
    </row>
    <row r="104" spans="1:35" ht="30" x14ac:dyDescent="0.25">
      <c r="A104" s="134">
        <f t="shared" si="16"/>
        <v>101</v>
      </c>
      <c r="B104" s="20" t="s">
        <v>366</v>
      </c>
      <c r="C104" s="71" t="s">
        <v>56</v>
      </c>
      <c r="D104" s="72" t="s">
        <v>58</v>
      </c>
      <c r="E104" s="84" t="s">
        <v>138</v>
      </c>
      <c r="F104" s="34" t="s">
        <v>56</v>
      </c>
      <c r="G104" s="34" t="s">
        <v>56</v>
      </c>
      <c r="H104" s="34" t="s">
        <v>56</v>
      </c>
      <c r="I104" s="119">
        <v>23</v>
      </c>
      <c r="J104" s="125">
        <v>0</v>
      </c>
      <c r="K104" s="124">
        <v>0</v>
      </c>
      <c r="L104" s="122" t="s">
        <v>57</v>
      </c>
      <c r="M104" s="124" t="s">
        <v>57</v>
      </c>
      <c r="N104" s="122">
        <f t="shared" si="17"/>
        <v>23</v>
      </c>
      <c r="O104" s="4">
        <f t="shared" si="18"/>
        <v>23</v>
      </c>
    </row>
    <row r="105" spans="1:35" ht="30" x14ac:dyDescent="0.25">
      <c r="A105" s="134">
        <f t="shared" si="16"/>
        <v>102</v>
      </c>
      <c r="B105" s="20" t="s">
        <v>366</v>
      </c>
      <c r="C105" s="71" t="s">
        <v>56</v>
      </c>
      <c r="D105" s="72" t="s">
        <v>139</v>
      </c>
      <c r="E105" s="84" t="s">
        <v>140</v>
      </c>
      <c r="F105" s="34" t="s">
        <v>56</v>
      </c>
      <c r="G105" s="34" t="s">
        <v>56</v>
      </c>
      <c r="H105" s="34" t="s">
        <v>56</v>
      </c>
      <c r="I105" s="119">
        <v>40.799999999999997</v>
      </c>
      <c r="J105" s="125">
        <v>0</v>
      </c>
      <c r="K105" s="124">
        <v>0</v>
      </c>
      <c r="L105" s="122" t="s">
        <v>57</v>
      </c>
      <c r="M105" s="124" t="s">
        <v>57</v>
      </c>
      <c r="N105" s="122">
        <f t="shared" si="17"/>
        <v>40.799999999999997</v>
      </c>
      <c r="O105" s="4">
        <f t="shared" si="18"/>
        <v>40.799999999999997</v>
      </c>
    </row>
    <row r="106" spans="1:35" ht="30" x14ac:dyDescent="0.25">
      <c r="A106" s="134">
        <f t="shared" si="16"/>
        <v>103</v>
      </c>
      <c r="B106" s="20" t="s">
        <v>366</v>
      </c>
      <c r="C106" s="71" t="s">
        <v>56</v>
      </c>
      <c r="D106" s="72" t="s">
        <v>141</v>
      </c>
      <c r="E106" s="84" t="s">
        <v>142</v>
      </c>
      <c r="F106" s="34" t="s">
        <v>56</v>
      </c>
      <c r="G106" s="34" t="s">
        <v>56</v>
      </c>
      <c r="H106" s="34" t="s">
        <v>56</v>
      </c>
      <c r="I106" s="119">
        <v>44</v>
      </c>
      <c r="J106" s="125">
        <v>0</v>
      </c>
      <c r="K106" s="124">
        <v>0</v>
      </c>
      <c r="L106" s="122" t="s">
        <v>57</v>
      </c>
      <c r="M106" s="124" t="s">
        <v>57</v>
      </c>
      <c r="N106" s="122">
        <f t="shared" si="17"/>
        <v>44</v>
      </c>
      <c r="O106" s="4">
        <f t="shared" si="18"/>
        <v>44</v>
      </c>
    </row>
    <row r="107" spans="1:35" s="3" customFormat="1" ht="27" customHeight="1" x14ac:dyDescent="0.25">
      <c r="A107" s="134">
        <f t="shared" si="16"/>
        <v>104</v>
      </c>
      <c r="B107" s="20" t="s">
        <v>366</v>
      </c>
      <c r="C107" s="71" t="s">
        <v>56</v>
      </c>
      <c r="D107" s="72" t="s">
        <v>141</v>
      </c>
      <c r="E107" s="84" t="s">
        <v>143</v>
      </c>
      <c r="F107" s="34" t="s">
        <v>56</v>
      </c>
      <c r="G107" s="34" t="s">
        <v>56</v>
      </c>
      <c r="H107" s="34" t="s">
        <v>56</v>
      </c>
      <c r="I107" s="119">
        <v>73</v>
      </c>
      <c r="J107" s="125">
        <v>0</v>
      </c>
      <c r="K107" s="124">
        <v>0</v>
      </c>
      <c r="L107" s="122" t="s">
        <v>57</v>
      </c>
      <c r="M107" s="124" t="s">
        <v>57</v>
      </c>
      <c r="N107" s="122">
        <f t="shared" si="17"/>
        <v>73</v>
      </c>
      <c r="O107" s="4">
        <f t="shared" si="18"/>
        <v>73</v>
      </c>
      <c r="P107" s="39"/>
      <c r="Q107" s="377"/>
      <c r="R107" s="377"/>
      <c r="S107" s="377"/>
      <c r="T107" s="377"/>
      <c r="U107" s="377"/>
      <c r="V107" s="377"/>
      <c r="W107" s="377"/>
      <c r="X107" s="377"/>
      <c r="Y107" s="377"/>
      <c r="Z107" s="377"/>
      <c r="AI107"/>
    </row>
    <row r="108" spans="1:35" s="3" customFormat="1" ht="27" customHeight="1" x14ac:dyDescent="0.25">
      <c r="A108" s="134">
        <f t="shared" si="16"/>
        <v>105</v>
      </c>
      <c r="B108" s="20" t="s">
        <v>366</v>
      </c>
      <c r="C108" s="71" t="s">
        <v>56</v>
      </c>
      <c r="D108" s="72" t="s">
        <v>144</v>
      </c>
      <c r="E108" s="84" t="s">
        <v>145</v>
      </c>
      <c r="F108" s="34" t="s">
        <v>56</v>
      </c>
      <c r="G108" s="34" t="s">
        <v>56</v>
      </c>
      <c r="H108" s="34" t="s">
        <v>56</v>
      </c>
      <c r="I108" s="119">
        <v>130</v>
      </c>
      <c r="J108" s="125">
        <v>0</v>
      </c>
      <c r="K108" s="124">
        <v>0</v>
      </c>
      <c r="L108" s="122" t="s">
        <v>57</v>
      </c>
      <c r="M108" s="124" t="s">
        <v>57</v>
      </c>
      <c r="N108" s="122">
        <f t="shared" si="17"/>
        <v>130</v>
      </c>
      <c r="O108" s="4">
        <f t="shared" si="18"/>
        <v>130</v>
      </c>
      <c r="P108" s="39"/>
      <c r="Q108" s="360"/>
      <c r="R108" s="360"/>
      <c r="S108" s="360"/>
      <c r="T108" s="360"/>
      <c r="U108" s="360"/>
      <c r="V108" s="360"/>
      <c r="W108" s="360"/>
      <c r="X108" s="360"/>
      <c r="Y108" s="360"/>
      <c r="Z108" s="360"/>
    </row>
    <row r="109" spans="1:35" s="3" customFormat="1" ht="27" customHeight="1" x14ac:dyDescent="0.25">
      <c r="A109" s="134">
        <f t="shared" si="16"/>
        <v>106</v>
      </c>
      <c r="B109" s="19" t="s">
        <v>430</v>
      </c>
      <c r="C109" s="71" t="s">
        <v>56</v>
      </c>
      <c r="D109" s="72" t="s">
        <v>146</v>
      </c>
      <c r="E109" s="84" t="s">
        <v>226</v>
      </c>
      <c r="F109" s="34" t="s">
        <v>56</v>
      </c>
      <c r="G109" s="34" t="s">
        <v>56</v>
      </c>
      <c r="H109" s="34" t="s">
        <v>56</v>
      </c>
      <c r="I109" s="119">
        <v>1595</v>
      </c>
      <c r="J109" s="123">
        <v>200</v>
      </c>
      <c r="K109" s="124">
        <v>400</v>
      </c>
      <c r="L109" s="122" t="s">
        <v>57</v>
      </c>
      <c r="M109" s="124" t="s">
        <v>57</v>
      </c>
      <c r="N109" s="122">
        <f t="shared" si="17"/>
        <v>1795</v>
      </c>
      <c r="O109" s="4">
        <f t="shared" si="18"/>
        <v>1995</v>
      </c>
      <c r="P109" s="39"/>
      <c r="Q109" s="360"/>
      <c r="R109" s="360"/>
      <c r="S109" s="360"/>
      <c r="T109" s="360"/>
      <c r="U109" s="360"/>
      <c r="V109" s="360"/>
      <c r="W109" s="360"/>
      <c r="X109" s="360"/>
      <c r="Y109" s="360"/>
      <c r="Z109" s="360"/>
    </row>
    <row r="110" spans="1:35" s="3" customFormat="1" ht="27" customHeight="1" x14ac:dyDescent="0.25">
      <c r="A110" s="134">
        <f t="shared" si="16"/>
        <v>107</v>
      </c>
      <c r="B110" s="19" t="s">
        <v>430</v>
      </c>
      <c r="C110" s="71" t="s">
        <v>56</v>
      </c>
      <c r="D110" s="72" t="s">
        <v>224</v>
      </c>
      <c r="E110" s="84" t="s">
        <v>227</v>
      </c>
      <c r="F110" s="34" t="s">
        <v>56</v>
      </c>
      <c r="G110" s="34" t="s">
        <v>56</v>
      </c>
      <c r="H110" s="34" t="s">
        <v>56</v>
      </c>
      <c r="I110" s="119">
        <v>1699.5</v>
      </c>
      <c r="J110" s="123">
        <v>200</v>
      </c>
      <c r="K110" s="124">
        <v>400</v>
      </c>
      <c r="L110" s="122" t="s">
        <v>57</v>
      </c>
      <c r="M110" s="124" t="s">
        <v>57</v>
      </c>
      <c r="N110" s="122">
        <f t="shared" si="17"/>
        <v>1899.5</v>
      </c>
      <c r="O110" s="4">
        <f t="shared" si="18"/>
        <v>2099.5</v>
      </c>
      <c r="P110" s="39"/>
      <c r="Q110" s="168"/>
      <c r="R110" s="168"/>
      <c r="S110" s="168"/>
      <c r="T110" s="168"/>
      <c r="U110" s="168"/>
      <c r="V110" s="168"/>
      <c r="W110" s="168"/>
      <c r="X110" s="168"/>
      <c r="Y110" s="168"/>
      <c r="Z110" s="168"/>
    </row>
    <row r="111" spans="1:35" s="3" customFormat="1" ht="27" customHeight="1" x14ac:dyDescent="0.25">
      <c r="A111" s="134">
        <f t="shared" si="16"/>
        <v>108</v>
      </c>
      <c r="B111" s="19" t="s">
        <v>430</v>
      </c>
      <c r="C111" s="71" t="s">
        <v>56</v>
      </c>
      <c r="D111" s="72" t="s">
        <v>225</v>
      </c>
      <c r="E111" s="84" t="s">
        <v>228</v>
      </c>
      <c r="F111" s="34" t="s">
        <v>56</v>
      </c>
      <c r="G111" s="34" t="s">
        <v>56</v>
      </c>
      <c r="H111" s="34" t="s">
        <v>56</v>
      </c>
      <c r="I111" s="119">
        <v>1196.8800000000001</v>
      </c>
      <c r="J111" s="123">
        <v>200</v>
      </c>
      <c r="K111" s="124">
        <v>400</v>
      </c>
      <c r="L111" s="122" t="s">
        <v>57</v>
      </c>
      <c r="M111" s="124" t="s">
        <v>57</v>
      </c>
      <c r="N111" s="122">
        <f t="shared" si="17"/>
        <v>1396.88</v>
      </c>
      <c r="O111" s="4">
        <f t="shared" si="18"/>
        <v>1596.88</v>
      </c>
      <c r="P111" s="39"/>
      <c r="Q111" s="168"/>
      <c r="R111" s="168"/>
      <c r="S111" s="168"/>
      <c r="T111" s="168"/>
      <c r="U111" s="168"/>
      <c r="V111" s="168"/>
      <c r="W111" s="168"/>
      <c r="X111" s="168"/>
      <c r="Y111" s="168"/>
      <c r="Z111" s="168"/>
    </row>
    <row r="112" spans="1:35" s="3" customFormat="1" ht="27" customHeight="1" x14ac:dyDescent="0.25">
      <c r="A112" s="134">
        <f t="shared" si="16"/>
        <v>109</v>
      </c>
      <c r="B112" s="19" t="s">
        <v>430</v>
      </c>
      <c r="C112" s="71" t="s">
        <v>56</v>
      </c>
      <c r="D112" s="72" t="s">
        <v>146</v>
      </c>
      <c r="E112" s="84" t="s">
        <v>229</v>
      </c>
      <c r="F112" s="34" t="s">
        <v>56</v>
      </c>
      <c r="G112" s="34" t="s">
        <v>56</v>
      </c>
      <c r="H112" s="34" t="s">
        <v>56</v>
      </c>
      <c r="I112" s="119">
        <v>2250</v>
      </c>
      <c r="J112" s="123">
        <v>200</v>
      </c>
      <c r="K112" s="124">
        <v>400</v>
      </c>
      <c r="L112" s="122" t="s">
        <v>57</v>
      </c>
      <c r="M112" s="124" t="s">
        <v>57</v>
      </c>
      <c r="N112" s="122">
        <f t="shared" si="17"/>
        <v>2450</v>
      </c>
      <c r="O112" s="4">
        <f t="shared" si="18"/>
        <v>2650</v>
      </c>
      <c r="P112" s="39"/>
      <c r="Q112" s="168"/>
      <c r="R112" s="168"/>
      <c r="S112" s="168"/>
      <c r="T112" s="168"/>
      <c r="U112" s="168"/>
      <c r="V112" s="168"/>
      <c r="W112" s="168"/>
      <c r="X112" s="168"/>
      <c r="Y112" s="168"/>
      <c r="Z112" s="168"/>
    </row>
    <row r="113" spans="1:26" s="3" customFormat="1" ht="27" customHeight="1" x14ac:dyDescent="0.25">
      <c r="A113" s="134">
        <f t="shared" si="16"/>
        <v>110</v>
      </c>
      <c r="B113" s="19" t="s">
        <v>430</v>
      </c>
      <c r="C113" s="71" t="s">
        <v>56</v>
      </c>
      <c r="D113" s="72" t="s">
        <v>224</v>
      </c>
      <c r="E113" s="84" t="s">
        <v>230</v>
      </c>
      <c r="F113" s="34" t="s">
        <v>56</v>
      </c>
      <c r="G113" s="34" t="s">
        <v>56</v>
      </c>
      <c r="H113" s="34" t="s">
        <v>56</v>
      </c>
      <c r="I113" s="119">
        <v>2158.5</v>
      </c>
      <c r="J113" s="123">
        <v>200</v>
      </c>
      <c r="K113" s="124">
        <v>400</v>
      </c>
      <c r="L113" s="122" t="s">
        <v>57</v>
      </c>
      <c r="M113" s="124" t="s">
        <v>57</v>
      </c>
      <c r="N113" s="122">
        <f t="shared" si="17"/>
        <v>2358.5</v>
      </c>
      <c r="O113" s="4">
        <f t="shared" si="18"/>
        <v>2558.5</v>
      </c>
      <c r="P113" s="39"/>
      <c r="Q113" s="168"/>
      <c r="R113" s="168"/>
      <c r="S113" s="168"/>
      <c r="T113" s="168"/>
      <c r="U113" s="168"/>
      <c r="V113" s="168"/>
      <c r="W113" s="168"/>
      <c r="X113" s="168"/>
      <c r="Y113" s="168"/>
      <c r="Z113" s="168"/>
    </row>
    <row r="114" spans="1:26" s="3" customFormat="1" ht="27" customHeight="1" x14ac:dyDescent="0.25">
      <c r="A114" s="134">
        <f t="shared" si="16"/>
        <v>111</v>
      </c>
      <c r="B114" s="19" t="s">
        <v>430</v>
      </c>
      <c r="C114" s="71" t="s">
        <v>56</v>
      </c>
      <c r="D114" s="72" t="s">
        <v>225</v>
      </c>
      <c r="E114" s="84" t="s">
        <v>231</v>
      </c>
      <c r="F114" s="34" t="s">
        <v>56</v>
      </c>
      <c r="G114" s="34" t="s">
        <v>56</v>
      </c>
      <c r="H114" s="34" t="s">
        <v>56</v>
      </c>
      <c r="I114" s="119">
        <v>1696.88</v>
      </c>
      <c r="J114" s="123">
        <v>200</v>
      </c>
      <c r="K114" s="124">
        <v>400</v>
      </c>
      <c r="L114" s="122" t="s">
        <v>57</v>
      </c>
      <c r="M114" s="124" t="s">
        <v>57</v>
      </c>
      <c r="N114" s="122">
        <f t="shared" si="17"/>
        <v>1896.88</v>
      </c>
      <c r="O114" s="4">
        <f t="shared" si="18"/>
        <v>2096.88</v>
      </c>
      <c r="P114" s="39"/>
      <c r="Q114" s="168"/>
      <c r="R114" s="168"/>
      <c r="S114" s="168"/>
      <c r="T114" s="168"/>
      <c r="U114" s="168"/>
      <c r="V114" s="168"/>
      <c r="W114" s="168"/>
      <c r="X114" s="168"/>
      <c r="Y114" s="168"/>
      <c r="Z114" s="168"/>
    </row>
    <row r="115" spans="1:26" s="3" customFormat="1" ht="45" x14ac:dyDescent="0.25">
      <c r="A115" s="134">
        <f t="shared" si="16"/>
        <v>112</v>
      </c>
      <c r="B115" s="19" t="s">
        <v>430</v>
      </c>
      <c r="C115" s="71" t="s">
        <v>56</v>
      </c>
      <c r="D115" s="72" t="s">
        <v>146</v>
      </c>
      <c r="E115" s="84" t="s">
        <v>232</v>
      </c>
      <c r="F115" s="34" t="s">
        <v>56</v>
      </c>
      <c r="G115" s="34" t="s">
        <v>56</v>
      </c>
      <c r="H115" s="34" t="s">
        <v>56</v>
      </c>
      <c r="I115" s="119">
        <v>2805</v>
      </c>
      <c r="J115" s="123">
        <v>200</v>
      </c>
      <c r="K115" s="124">
        <v>400</v>
      </c>
      <c r="L115" s="122" t="s">
        <v>57</v>
      </c>
      <c r="M115" s="124" t="s">
        <v>57</v>
      </c>
      <c r="N115" s="122">
        <f t="shared" si="17"/>
        <v>3005</v>
      </c>
      <c r="O115" s="4">
        <f t="shared" si="18"/>
        <v>3205</v>
      </c>
      <c r="P115" s="39"/>
      <c r="Q115" s="168"/>
      <c r="R115" s="168"/>
      <c r="S115" s="168"/>
      <c r="T115" s="168"/>
      <c r="U115" s="168"/>
      <c r="V115" s="168"/>
      <c r="W115" s="168"/>
      <c r="X115" s="168"/>
      <c r="Y115" s="168"/>
      <c r="Z115" s="168"/>
    </row>
    <row r="116" spans="1:26" s="3" customFormat="1" ht="27" customHeight="1" x14ac:dyDescent="0.25">
      <c r="A116" s="134">
        <f t="shared" si="16"/>
        <v>113</v>
      </c>
      <c r="B116" s="19" t="s">
        <v>430</v>
      </c>
      <c r="C116" s="71" t="s">
        <v>56</v>
      </c>
      <c r="D116" s="72" t="s">
        <v>224</v>
      </c>
      <c r="E116" s="84" t="s">
        <v>233</v>
      </c>
      <c r="F116" s="34" t="s">
        <v>56</v>
      </c>
      <c r="G116" s="34" t="s">
        <v>56</v>
      </c>
      <c r="H116" s="34" t="s">
        <v>56</v>
      </c>
      <c r="I116" s="119">
        <v>2616.5</v>
      </c>
      <c r="J116" s="123">
        <v>200</v>
      </c>
      <c r="K116" s="124">
        <v>400</v>
      </c>
      <c r="L116" s="122" t="s">
        <v>57</v>
      </c>
      <c r="M116" s="124" t="s">
        <v>57</v>
      </c>
      <c r="N116" s="122">
        <f t="shared" si="17"/>
        <v>2816.5</v>
      </c>
      <c r="O116" s="4">
        <f t="shared" si="18"/>
        <v>3016.5</v>
      </c>
      <c r="P116" s="39"/>
      <c r="Q116" s="168"/>
      <c r="R116" s="168"/>
      <c r="S116" s="168"/>
      <c r="T116" s="168"/>
      <c r="U116" s="168"/>
      <c r="V116" s="168"/>
      <c r="W116" s="168"/>
      <c r="X116" s="168"/>
      <c r="Y116" s="168"/>
      <c r="Z116" s="168"/>
    </row>
    <row r="117" spans="1:26" s="3" customFormat="1" ht="27" customHeight="1" x14ac:dyDescent="0.25">
      <c r="A117" s="134">
        <f t="shared" si="16"/>
        <v>114</v>
      </c>
      <c r="B117" s="19" t="s">
        <v>430</v>
      </c>
      <c r="C117" s="71" t="s">
        <v>56</v>
      </c>
      <c r="D117" s="72" t="s">
        <v>225</v>
      </c>
      <c r="E117" s="84" t="s">
        <v>234</v>
      </c>
      <c r="F117" s="34" t="s">
        <v>56</v>
      </c>
      <c r="G117" s="34" t="s">
        <v>56</v>
      </c>
      <c r="H117" s="34" t="s">
        <v>56</v>
      </c>
      <c r="I117" s="119">
        <v>1117.8800000000001</v>
      </c>
      <c r="J117" s="123">
        <v>200</v>
      </c>
      <c r="K117" s="124">
        <v>400</v>
      </c>
      <c r="L117" s="122" t="s">
        <v>57</v>
      </c>
      <c r="M117" s="124" t="s">
        <v>57</v>
      </c>
      <c r="N117" s="122">
        <f t="shared" si="17"/>
        <v>1317.88</v>
      </c>
      <c r="O117" s="4">
        <f t="shared" si="18"/>
        <v>1517.88</v>
      </c>
      <c r="P117" s="39"/>
      <c r="Q117" s="168"/>
      <c r="R117" s="168"/>
      <c r="S117" s="168"/>
      <c r="T117" s="168"/>
      <c r="U117" s="168"/>
      <c r="V117" s="168"/>
      <c r="W117" s="168"/>
      <c r="X117" s="168"/>
      <c r="Y117" s="168"/>
      <c r="Z117" s="168"/>
    </row>
    <row r="118" spans="1:26" s="3" customFormat="1" ht="27" customHeight="1" x14ac:dyDescent="0.25">
      <c r="A118" s="134">
        <f t="shared" si="16"/>
        <v>115</v>
      </c>
      <c r="B118" s="19" t="s">
        <v>430</v>
      </c>
      <c r="C118" s="71" t="s">
        <v>56</v>
      </c>
      <c r="D118" s="72" t="s">
        <v>224</v>
      </c>
      <c r="E118" s="84" t="s">
        <v>235</v>
      </c>
      <c r="F118" s="34" t="s">
        <v>56</v>
      </c>
      <c r="G118" s="34" t="s">
        <v>56</v>
      </c>
      <c r="H118" s="34" t="s">
        <v>56</v>
      </c>
      <c r="I118" s="119">
        <v>1203.5</v>
      </c>
      <c r="J118" s="123">
        <v>200</v>
      </c>
      <c r="K118" s="124">
        <v>400</v>
      </c>
      <c r="L118" s="122" t="s">
        <v>57</v>
      </c>
      <c r="M118" s="124" t="s">
        <v>57</v>
      </c>
      <c r="N118" s="122">
        <f t="shared" si="17"/>
        <v>1403.5</v>
      </c>
      <c r="O118" s="4">
        <f t="shared" si="18"/>
        <v>1603.5</v>
      </c>
      <c r="P118" s="39"/>
      <c r="Q118" s="168"/>
      <c r="R118" s="168"/>
      <c r="S118" s="168"/>
      <c r="T118" s="168"/>
      <c r="U118" s="168"/>
      <c r="V118" s="168"/>
      <c r="W118" s="168"/>
      <c r="X118" s="168"/>
      <c r="Y118" s="168"/>
      <c r="Z118" s="168"/>
    </row>
    <row r="119" spans="1:26" s="3" customFormat="1" ht="27" customHeight="1" x14ac:dyDescent="0.25">
      <c r="A119" s="134">
        <f t="shared" si="16"/>
        <v>116</v>
      </c>
      <c r="B119" s="19" t="s">
        <v>430</v>
      </c>
      <c r="C119" s="71" t="s">
        <v>56</v>
      </c>
      <c r="D119" s="72" t="s">
        <v>147</v>
      </c>
      <c r="E119" s="84" t="s">
        <v>236</v>
      </c>
      <c r="F119" s="34" t="s">
        <v>56</v>
      </c>
      <c r="G119" s="34" t="s">
        <v>56</v>
      </c>
      <c r="H119" s="34" t="s">
        <v>56</v>
      </c>
      <c r="I119" s="119">
        <v>531</v>
      </c>
      <c r="J119" s="123">
        <v>200</v>
      </c>
      <c r="K119" s="124">
        <v>400</v>
      </c>
      <c r="L119" s="122" t="s">
        <v>57</v>
      </c>
      <c r="M119" s="124" t="s">
        <v>57</v>
      </c>
      <c r="N119" s="122">
        <f t="shared" si="17"/>
        <v>731</v>
      </c>
      <c r="O119" s="4">
        <f t="shared" si="18"/>
        <v>931</v>
      </c>
      <c r="P119" s="39"/>
      <c r="Q119" s="161"/>
      <c r="R119" s="161"/>
      <c r="S119" s="161"/>
      <c r="T119" s="161"/>
      <c r="U119" s="161"/>
      <c r="V119" s="161"/>
      <c r="W119" s="161"/>
      <c r="X119" s="161"/>
      <c r="Y119" s="161"/>
      <c r="Z119" s="161"/>
    </row>
    <row r="120" spans="1:26" s="3" customFormat="1" ht="27" customHeight="1" x14ac:dyDescent="0.25">
      <c r="A120" s="134">
        <f t="shared" si="16"/>
        <v>117</v>
      </c>
      <c r="B120" s="19" t="s">
        <v>430</v>
      </c>
      <c r="C120" s="71" t="s">
        <v>56</v>
      </c>
      <c r="D120" s="72" t="s">
        <v>141</v>
      </c>
      <c r="E120" s="84" t="s">
        <v>237</v>
      </c>
      <c r="F120" s="34" t="s">
        <v>56</v>
      </c>
      <c r="G120" s="34" t="s">
        <v>56</v>
      </c>
      <c r="H120" s="34" t="s">
        <v>56</v>
      </c>
      <c r="I120" s="119">
        <v>1077.27</v>
      </c>
      <c r="J120" s="123">
        <v>200</v>
      </c>
      <c r="K120" s="124">
        <v>400</v>
      </c>
      <c r="L120" s="122" t="s">
        <v>57</v>
      </c>
      <c r="M120" s="124" t="s">
        <v>57</v>
      </c>
      <c r="N120" s="122">
        <f t="shared" si="17"/>
        <v>1277.27</v>
      </c>
      <c r="O120" s="4">
        <f t="shared" si="18"/>
        <v>1477.27</v>
      </c>
      <c r="P120" s="39"/>
      <c r="Q120" s="360"/>
      <c r="R120" s="360"/>
      <c r="S120" s="360"/>
      <c r="T120" s="360"/>
      <c r="U120" s="360"/>
      <c r="V120" s="360"/>
      <c r="W120" s="360"/>
      <c r="X120" s="360"/>
      <c r="Y120" s="360"/>
      <c r="Z120" s="360"/>
    </row>
    <row r="121" spans="1:26" s="3" customFormat="1" ht="27" customHeight="1" x14ac:dyDescent="0.25">
      <c r="A121" s="134">
        <f t="shared" si="16"/>
        <v>118</v>
      </c>
      <c r="B121" s="19" t="s">
        <v>430</v>
      </c>
      <c r="C121" s="71" t="s">
        <v>56</v>
      </c>
      <c r="D121" s="72" t="s">
        <v>58</v>
      </c>
      <c r="E121" s="84" t="s">
        <v>238</v>
      </c>
      <c r="F121" s="34" t="s">
        <v>56</v>
      </c>
      <c r="G121" s="34" t="s">
        <v>56</v>
      </c>
      <c r="H121" s="34" t="s">
        <v>56</v>
      </c>
      <c r="I121" s="119">
        <v>460.1</v>
      </c>
      <c r="J121" s="123">
        <v>200</v>
      </c>
      <c r="K121" s="124">
        <v>400</v>
      </c>
      <c r="L121" s="122" t="s">
        <v>57</v>
      </c>
      <c r="M121" s="124" t="s">
        <v>57</v>
      </c>
      <c r="N121" s="122">
        <f t="shared" si="17"/>
        <v>660.1</v>
      </c>
      <c r="O121" s="4">
        <f t="shared" si="18"/>
        <v>860.1</v>
      </c>
      <c r="P121" s="39"/>
      <c r="Q121" s="161"/>
      <c r="R121" s="161"/>
      <c r="S121" s="161"/>
      <c r="T121" s="161"/>
      <c r="U121" s="161"/>
      <c r="V121" s="161"/>
      <c r="W121" s="161"/>
      <c r="X121" s="161"/>
      <c r="Y121" s="161"/>
      <c r="Z121" s="161"/>
    </row>
    <row r="122" spans="1:26" s="3" customFormat="1" ht="27" customHeight="1" x14ac:dyDescent="0.25">
      <c r="A122" s="134">
        <f t="shared" si="16"/>
        <v>119</v>
      </c>
      <c r="B122" s="19" t="s">
        <v>430</v>
      </c>
      <c r="C122" s="71" t="s">
        <v>56</v>
      </c>
      <c r="D122" s="72" t="s">
        <v>146</v>
      </c>
      <c r="E122" s="84" t="s">
        <v>239</v>
      </c>
      <c r="F122" s="34" t="s">
        <v>56</v>
      </c>
      <c r="G122" s="34" t="s">
        <v>56</v>
      </c>
      <c r="H122" s="34" t="s">
        <v>56</v>
      </c>
      <c r="I122" s="119">
        <v>1210</v>
      </c>
      <c r="J122" s="123">
        <v>200</v>
      </c>
      <c r="K122" s="124">
        <v>400</v>
      </c>
      <c r="L122" s="122" t="s">
        <v>57</v>
      </c>
      <c r="M122" s="124" t="s">
        <v>57</v>
      </c>
      <c r="N122" s="122">
        <f t="shared" si="17"/>
        <v>1410</v>
      </c>
      <c r="O122" s="4">
        <f t="shared" si="18"/>
        <v>1610</v>
      </c>
      <c r="P122" s="39"/>
      <c r="Q122" s="360"/>
      <c r="R122" s="360"/>
      <c r="S122" s="360"/>
      <c r="T122" s="360"/>
      <c r="U122" s="360"/>
      <c r="V122" s="360"/>
      <c r="W122" s="360"/>
      <c r="X122" s="360"/>
      <c r="Y122" s="360"/>
      <c r="Z122" s="360"/>
    </row>
    <row r="123" spans="1:26" s="3" customFormat="1" ht="27" customHeight="1" x14ac:dyDescent="0.25">
      <c r="A123" s="134">
        <f t="shared" si="16"/>
        <v>120</v>
      </c>
      <c r="B123" s="21" t="s">
        <v>367</v>
      </c>
      <c r="C123" s="71" t="s">
        <v>148</v>
      </c>
      <c r="D123" s="72" t="s">
        <v>149</v>
      </c>
      <c r="E123" s="84" t="s">
        <v>171</v>
      </c>
      <c r="F123" s="34">
        <v>0.8</v>
      </c>
      <c r="G123" s="34" t="s">
        <v>56</v>
      </c>
      <c r="H123" s="34">
        <f>20/24</f>
        <v>0.83333333333333337</v>
      </c>
      <c r="I123" s="119">
        <v>12.62</v>
      </c>
      <c r="J123" s="125">
        <v>0</v>
      </c>
      <c r="K123" s="124">
        <v>0</v>
      </c>
      <c r="L123" s="122" t="s">
        <v>57</v>
      </c>
      <c r="M123" s="124" t="s">
        <v>57</v>
      </c>
      <c r="N123" s="126">
        <v>8</v>
      </c>
      <c r="O123" s="34">
        <v>8</v>
      </c>
      <c r="P123" s="39"/>
      <c r="Q123" s="161"/>
      <c r="R123" s="161"/>
      <c r="S123" s="161"/>
      <c r="T123" s="161"/>
      <c r="U123" s="161"/>
      <c r="V123" s="161"/>
      <c r="W123" s="161"/>
      <c r="X123" s="161"/>
      <c r="Y123" s="161"/>
      <c r="Z123" s="161"/>
    </row>
    <row r="124" spans="1:26" s="3" customFormat="1" ht="27" customHeight="1" x14ac:dyDescent="0.25">
      <c r="A124" s="134">
        <f t="shared" si="16"/>
        <v>121</v>
      </c>
      <c r="B124" s="21" t="s">
        <v>367</v>
      </c>
      <c r="C124" s="71" t="s">
        <v>148</v>
      </c>
      <c r="D124" s="72" t="s">
        <v>172</v>
      </c>
      <c r="E124" s="84" t="s">
        <v>173</v>
      </c>
      <c r="F124" s="34">
        <v>0.9</v>
      </c>
      <c r="G124" s="34" t="s">
        <v>56</v>
      </c>
      <c r="H124" s="34">
        <f>21/24</f>
        <v>0.875</v>
      </c>
      <c r="I124" s="119">
        <v>5.99</v>
      </c>
      <c r="J124" s="125">
        <v>0</v>
      </c>
      <c r="K124" s="124">
        <v>0</v>
      </c>
      <c r="L124" s="122" t="s">
        <v>57</v>
      </c>
      <c r="M124" s="124" t="s">
        <v>57</v>
      </c>
      <c r="N124" s="119">
        <v>7.5</v>
      </c>
      <c r="O124" s="4">
        <v>7.5</v>
      </c>
      <c r="P124" s="39"/>
      <c r="Q124" s="166"/>
      <c r="R124" s="166"/>
      <c r="S124" s="166"/>
      <c r="T124" s="166"/>
      <c r="U124" s="166"/>
      <c r="V124" s="166"/>
      <c r="W124" s="166"/>
      <c r="X124" s="166"/>
      <c r="Y124" s="166"/>
      <c r="Z124" s="166"/>
    </row>
    <row r="125" spans="1:26" s="3" customFormat="1" ht="27" customHeight="1" x14ac:dyDescent="0.25">
      <c r="A125" s="134">
        <f t="shared" si="16"/>
        <v>122</v>
      </c>
      <c r="B125" s="21" t="s">
        <v>367</v>
      </c>
      <c r="C125" s="71" t="s">
        <v>148</v>
      </c>
      <c r="D125" s="72" t="s">
        <v>174</v>
      </c>
      <c r="E125" s="84" t="s">
        <v>176</v>
      </c>
      <c r="F125" s="34">
        <v>0.9</v>
      </c>
      <c r="G125" s="34" t="s">
        <v>56</v>
      </c>
      <c r="H125" s="34">
        <f>20/24</f>
        <v>0.83333333333333337</v>
      </c>
      <c r="I125" s="119">
        <v>6.4</v>
      </c>
      <c r="J125" s="125">
        <v>0</v>
      </c>
      <c r="K125" s="124">
        <v>0</v>
      </c>
      <c r="L125" s="122" t="s">
        <v>57</v>
      </c>
      <c r="M125" s="124" t="s">
        <v>57</v>
      </c>
      <c r="N125" s="119">
        <v>7.5</v>
      </c>
      <c r="O125" s="4">
        <v>7.5</v>
      </c>
      <c r="P125" s="39"/>
      <c r="Q125" s="166"/>
      <c r="R125" s="166"/>
      <c r="S125" s="166"/>
      <c r="T125" s="166"/>
      <c r="U125" s="166"/>
      <c r="V125" s="166"/>
      <c r="W125" s="166"/>
      <c r="X125" s="166"/>
      <c r="Y125" s="166"/>
      <c r="Z125" s="166"/>
    </row>
    <row r="126" spans="1:26" s="3" customFormat="1" ht="27" customHeight="1" x14ac:dyDescent="0.25">
      <c r="A126" s="134">
        <f t="shared" si="16"/>
        <v>123</v>
      </c>
      <c r="B126" s="21" t="s">
        <v>367</v>
      </c>
      <c r="C126" s="71" t="s">
        <v>148</v>
      </c>
      <c r="D126" s="72" t="s">
        <v>175</v>
      </c>
      <c r="E126" s="84" t="s">
        <v>177</v>
      </c>
      <c r="F126" s="34">
        <v>0.91</v>
      </c>
      <c r="G126" s="34" t="s">
        <v>56</v>
      </c>
      <c r="H126" s="34">
        <f>17/24</f>
        <v>0.70833333333333337</v>
      </c>
      <c r="I126" s="119">
        <v>4.78</v>
      </c>
      <c r="J126" s="125">
        <v>0</v>
      </c>
      <c r="K126" s="124">
        <v>0</v>
      </c>
      <c r="L126" s="122" t="s">
        <v>57</v>
      </c>
      <c r="M126" s="124" t="s">
        <v>57</v>
      </c>
      <c r="N126" s="119">
        <v>9</v>
      </c>
      <c r="O126" s="4">
        <v>9</v>
      </c>
      <c r="P126" s="39"/>
      <c r="Q126" s="166"/>
      <c r="R126" s="166"/>
      <c r="S126" s="166"/>
      <c r="T126" s="166"/>
      <c r="U126" s="166"/>
      <c r="V126" s="166"/>
      <c r="W126" s="166"/>
      <c r="X126" s="166"/>
      <c r="Y126" s="166"/>
      <c r="Z126" s="166"/>
    </row>
    <row r="127" spans="1:26" s="3" customFormat="1" ht="27" customHeight="1" x14ac:dyDescent="0.25">
      <c r="A127" s="134">
        <f t="shared" si="16"/>
        <v>124</v>
      </c>
      <c r="B127" s="21" t="s">
        <v>367</v>
      </c>
      <c r="C127" s="71" t="s">
        <v>148</v>
      </c>
      <c r="D127" s="72" t="s">
        <v>172</v>
      </c>
      <c r="E127" s="84" t="s">
        <v>179</v>
      </c>
      <c r="F127" s="34">
        <v>1.67</v>
      </c>
      <c r="G127" s="34" t="s">
        <v>56</v>
      </c>
      <c r="H127" s="34">
        <f>35/24</f>
        <v>1.4583333333333333</v>
      </c>
      <c r="I127" s="119">
        <v>9.4</v>
      </c>
      <c r="J127" s="125">
        <v>0</v>
      </c>
      <c r="K127" s="124">
        <v>0</v>
      </c>
      <c r="L127" s="122" t="s">
        <v>57</v>
      </c>
      <c r="M127" s="124" t="s">
        <v>57</v>
      </c>
      <c r="N127" s="119">
        <v>8.6999999999999993</v>
      </c>
      <c r="O127" s="4">
        <v>8.6999999999999993</v>
      </c>
      <c r="P127" s="39"/>
      <c r="Q127" s="166"/>
      <c r="R127" s="166"/>
      <c r="S127" s="166"/>
      <c r="T127" s="166"/>
      <c r="U127" s="166"/>
      <c r="V127" s="166"/>
      <c r="W127" s="166"/>
      <c r="X127" s="166"/>
      <c r="Y127" s="166"/>
      <c r="Z127" s="166"/>
    </row>
    <row r="128" spans="1:26" s="3" customFormat="1" ht="27" customHeight="1" x14ac:dyDescent="0.25">
      <c r="A128" s="134">
        <f t="shared" si="16"/>
        <v>125</v>
      </c>
      <c r="B128" s="21" t="s">
        <v>367</v>
      </c>
      <c r="C128" s="71" t="s">
        <v>148</v>
      </c>
      <c r="D128" s="72" t="s">
        <v>174</v>
      </c>
      <c r="E128" s="84" t="s">
        <v>180</v>
      </c>
      <c r="F128" s="34">
        <v>1.7</v>
      </c>
      <c r="G128" s="34" t="s">
        <v>56</v>
      </c>
      <c r="H128" s="34">
        <f>38/24</f>
        <v>1.5833333333333333</v>
      </c>
      <c r="I128" s="119">
        <v>7.99</v>
      </c>
      <c r="J128" s="125">
        <v>0</v>
      </c>
      <c r="K128" s="124">
        <v>0</v>
      </c>
      <c r="L128" s="122" t="s">
        <v>57</v>
      </c>
      <c r="M128" s="124" t="s">
        <v>57</v>
      </c>
      <c r="N128" s="119">
        <v>11.5</v>
      </c>
      <c r="O128" s="4">
        <v>11.5</v>
      </c>
      <c r="P128" s="39"/>
      <c r="Q128" s="166"/>
      <c r="R128" s="166"/>
      <c r="S128" s="166"/>
      <c r="T128" s="166"/>
      <c r="U128" s="166"/>
      <c r="V128" s="166"/>
      <c r="W128" s="166"/>
      <c r="X128" s="166"/>
      <c r="Y128" s="166"/>
      <c r="Z128" s="166"/>
    </row>
    <row r="129" spans="1:26" s="3" customFormat="1" ht="27" customHeight="1" x14ac:dyDescent="0.25">
      <c r="A129" s="134">
        <f t="shared" si="16"/>
        <v>126</v>
      </c>
      <c r="B129" s="21" t="s">
        <v>367</v>
      </c>
      <c r="C129" s="71" t="s">
        <v>148</v>
      </c>
      <c r="D129" s="72" t="s">
        <v>175</v>
      </c>
      <c r="E129" s="84" t="s">
        <v>181</v>
      </c>
      <c r="F129" s="34">
        <v>1.44</v>
      </c>
      <c r="G129" s="34" t="s">
        <v>56</v>
      </c>
      <c r="H129" s="34">
        <f>39/24</f>
        <v>1.625</v>
      </c>
      <c r="I129" s="119">
        <v>6.59</v>
      </c>
      <c r="J129" s="125">
        <v>0</v>
      </c>
      <c r="K129" s="124">
        <v>0</v>
      </c>
      <c r="L129" s="122" t="s">
        <v>57</v>
      </c>
      <c r="M129" s="124" t="s">
        <v>57</v>
      </c>
      <c r="N129" s="119">
        <v>14</v>
      </c>
      <c r="O129" s="4">
        <v>14</v>
      </c>
      <c r="P129" s="39"/>
      <c r="Q129" s="166"/>
      <c r="R129" s="166"/>
      <c r="S129" s="166"/>
      <c r="T129" s="166"/>
      <c r="U129" s="166"/>
      <c r="V129" s="166"/>
      <c r="W129" s="166"/>
      <c r="X129" s="166"/>
      <c r="Y129" s="166"/>
      <c r="Z129" s="166"/>
    </row>
    <row r="130" spans="1:26" s="3" customFormat="1" ht="27" customHeight="1" x14ac:dyDescent="0.25">
      <c r="A130" s="134">
        <f t="shared" si="16"/>
        <v>127</v>
      </c>
      <c r="B130" s="21" t="s">
        <v>367</v>
      </c>
      <c r="C130" s="71" t="s">
        <v>148</v>
      </c>
      <c r="D130" s="72" t="s">
        <v>178</v>
      </c>
      <c r="E130" s="84" t="s">
        <v>182</v>
      </c>
      <c r="F130" s="34">
        <v>1.18</v>
      </c>
      <c r="G130" s="34" t="s">
        <v>56</v>
      </c>
      <c r="H130" s="34">
        <f>34/24</f>
        <v>1.4166666666666667</v>
      </c>
      <c r="I130" s="119">
        <v>125</v>
      </c>
      <c r="J130" s="125">
        <v>0</v>
      </c>
      <c r="K130" s="124">
        <v>0</v>
      </c>
      <c r="L130" s="122" t="s">
        <v>57</v>
      </c>
      <c r="M130" s="124" t="s">
        <v>57</v>
      </c>
      <c r="N130" s="119">
        <v>11.5</v>
      </c>
      <c r="O130" s="4">
        <v>11.5</v>
      </c>
      <c r="P130" s="39"/>
      <c r="Q130" s="166"/>
      <c r="R130" s="166"/>
      <c r="S130" s="166"/>
      <c r="T130" s="166"/>
      <c r="U130" s="166"/>
      <c r="V130" s="166"/>
      <c r="W130" s="166"/>
      <c r="X130" s="166"/>
      <c r="Y130" s="166"/>
      <c r="Z130" s="166"/>
    </row>
    <row r="131" spans="1:26" s="3" customFormat="1" ht="27" customHeight="1" x14ac:dyDescent="0.25">
      <c r="A131" s="134">
        <f t="shared" si="16"/>
        <v>128</v>
      </c>
      <c r="B131" s="21" t="s">
        <v>367</v>
      </c>
      <c r="C131" s="71" t="s">
        <v>148</v>
      </c>
      <c r="D131" s="72" t="s">
        <v>149</v>
      </c>
      <c r="E131" s="84" t="s">
        <v>183</v>
      </c>
      <c r="F131" s="34">
        <v>2.46</v>
      </c>
      <c r="G131" s="34" t="s">
        <v>56</v>
      </c>
      <c r="H131" s="34">
        <f>50/24</f>
        <v>2.0833333333333335</v>
      </c>
      <c r="I131" s="119">
        <v>16.8</v>
      </c>
      <c r="J131" s="125">
        <v>0</v>
      </c>
      <c r="K131" s="124">
        <v>0</v>
      </c>
      <c r="L131" s="122" t="s">
        <v>57</v>
      </c>
      <c r="M131" s="124" t="s">
        <v>57</v>
      </c>
      <c r="N131" s="119">
        <f>102/0.855</f>
        <v>119.2982456140351</v>
      </c>
      <c r="O131" s="4">
        <f>102/0.855</f>
        <v>119.2982456140351</v>
      </c>
      <c r="P131" s="39"/>
      <c r="Q131" s="166"/>
      <c r="R131" s="166"/>
      <c r="S131" s="166"/>
      <c r="T131" s="166"/>
      <c r="U131" s="166"/>
      <c r="V131" s="166"/>
      <c r="W131" s="166"/>
      <c r="X131" s="166"/>
      <c r="Y131" s="166"/>
      <c r="Z131" s="166"/>
    </row>
    <row r="132" spans="1:26" s="3" customFormat="1" ht="27" customHeight="1" x14ac:dyDescent="0.25">
      <c r="A132" s="134">
        <f t="shared" si="16"/>
        <v>129</v>
      </c>
      <c r="B132" s="21" t="s">
        <v>367</v>
      </c>
      <c r="C132" s="71" t="s">
        <v>148</v>
      </c>
      <c r="D132" s="72" t="s">
        <v>172</v>
      </c>
      <c r="E132" s="84" t="s">
        <v>184</v>
      </c>
      <c r="F132" s="34">
        <v>2.9</v>
      </c>
      <c r="G132" s="34" t="s">
        <v>56</v>
      </c>
      <c r="H132" s="34">
        <f>51/24</f>
        <v>2.125</v>
      </c>
      <c r="I132" s="119">
        <v>12.05</v>
      </c>
      <c r="J132" s="125">
        <v>0</v>
      </c>
      <c r="K132" s="124">
        <v>0</v>
      </c>
      <c r="L132" s="122" t="s">
        <v>57</v>
      </c>
      <c r="M132" s="124" t="s">
        <v>57</v>
      </c>
      <c r="N132" s="119">
        <v>12</v>
      </c>
      <c r="O132" s="4">
        <v>12</v>
      </c>
      <c r="P132" s="39"/>
      <c r="Q132" s="166"/>
      <c r="R132" s="166"/>
      <c r="S132" s="166"/>
      <c r="T132" s="166"/>
      <c r="U132" s="166"/>
      <c r="V132" s="166"/>
      <c r="W132" s="166"/>
      <c r="X132" s="166"/>
      <c r="Y132" s="166"/>
      <c r="Z132" s="166"/>
    </row>
    <row r="133" spans="1:26" s="3" customFormat="1" ht="27" customHeight="1" x14ac:dyDescent="0.25">
      <c r="A133" s="134">
        <f t="shared" si="16"/>
        <v>130</v>
      </c>
      <c r="B133" s="21" t="s">
        <v>367</v>
      </c>
      <c r="C133" s="71" t="s">
        <v>148</v>
      </c>
      <c r="D133" s="72" t="s">
        <v>174</v>
      </c>
      <c r="E133" s="84" t="s">
        <v>185</v>
      </c>
      <c r="F133" s="34">
        <v>2.6</v>
      </c>
      <c r="G133" s="34" t="s">
        <v>56</v>
      </c>
      <c r="H133" s="34">
        <f>43/24</f>
        <v>1.7916666666666667</v>
      </c>
      <c r="I133" s="119">
        <v>15</v>
      </c>
      <c r="J133" s="125">
        <v>0</v>
      </c>
      <c r="K133" s="124">
        <v>0</v>
      </c>
      <c r="L133" s="122" t="s">
        <v>57</v>
      </c>
      <c r="M133" s="124" t="s">
        <v>57</v>
      </c>
      <c r="N133" s="119">
        <v>12.05</v>
      </c>
      <c r="O133" s="4">
        <v>12.05</v>
      </c>
      <c r="P133" s="39"/>
      <c r="Q133" s="166"/>
      <c r="R133" s="166"/>
      <c r="S133" s="166"/>
      <c r="T133" s="166"/>
      <c r="U133" s="166"/>
      <c r="V133" s="166"/>
      <c r="W133" s="166"/>
      <c r="X133" s="166"/>
      <c r="Y133" s="166"/>
      <c r="Z133" s="166"/>
    </row>
    <row r="134" spans="1:26" s="3" customFormat="1" ht="27" customHeight="1" x14ac:dyDescent="0.25">
      <c r="A134" s="134">
        <f t="shared" si="16"/>
        <v>131</v>
      </c>
      <c r="B134" s="21" t="s">
        <v>367</v>
      </c>
      <c r="C134" s="71" t="s">
        <v>148</v>
      </c>
      <c r="D134" s="72" t="s">
        <v>175</v>
      </c>
      <c r="E134" s="84" t="s">
        <v>186</v>
      </c>
      <c r="F134" s="34">
        <v>2.74</v>
      </c>
      <c r="G134" s="34" t="s">
        <v>56</v>
      </c>
      <c r="H134" s="34">
        <f>46/24</f>
        <v>1.9166666666666667</v>
      </c>
      <c r="I134" s="119">
        <v>8.7200000000000006</v>
      </c>
      <c r="J134" s="125">
        <v>0</v>
      </c>
      <c r="K134" s="124">
        <v>0</v>
      </c>
      <c r="L134" s="122" t="s">
        <v>57</v>
      </c>
      <c r="M134" s="124" t="s">
        <v>57</v>
      </c>
      <c r="N134" s="119">
        <v>16</v>
      </c>
      <c r="O134" s="4">
        <v>16</v>
      </c>
      <c r="P134" s="39"/>
      <c r="Q134" s="166"/>
      <c r="R134" s="166"/>
      <c r="S134" s="166"/>
      <c r="T134" s="166"/>
      <c r="U134" s="166"/>
      <c r="V134" s="166"/>
      <c r="W134" s="166"/>
      <c r="X134" s="166"/>
      <c r="Y134" s="166"/>
      <c r="Z134" s="166"/>
    </row>
    <row r="135" spans="1:26" s="3" customFormat="1" ht="27" customHeight="1" x14ac:dyDescent="0.25">
      <c r="A135" s="134">
        <f t="shared" si="16"/>
        <v>132</v>
      </c>
      <c r="B135" s="21" t="s">
        <v>367</v>
      </c>
      <c r="C135" s="71" t="s">
        <v>148</v>
      </c>
      <c r="D135" s="72" t="s">
        <v>178</v>
      </c>
      <c r="E135" s="84" t="s">
        <v>187</v>
      </c>
      <c r="F135" s="34">
        <v>3</v>
      </c>
      <c r="G135" s="34" t="s">
        <v>56</v>
      </c>
      <c r="H135" s="34">
        <f>30/24</f>
        <v>1.25</v>
      </c>
      <c r="I135" s="119">
        <v>268</v>
      </c>
      <c r="J135" s="125">
        <v>0</v>
      </c>
      <c r="K135" s="124">
        <v>0</v>
      </c>
      <c r="L135" s="122" t="s">
        <v>57</v>
      </c>
      <c r="M135" s="124" t="s">
        <v>57</v>
      </c>
      <c r="N135" s="119">
        <v>15.8</v>
      </c>
      <c r="O135" s="4">
        <v>15.8</v>
      </c>
      <c r="P135" s="39"/>
      <c r="Q135" s="161"/>
      <c r="R135" s="161"/>
      <c r="S135" s="161"/>
      <c r="T135" s="161"/>
      <c r="U135" s="161"/>
      <c r="V135" s="161"/>
      <c r="W135" s="161"/>
      <c r="X135" s="161"/>
      <c r="Y135" s="161"/>
      <c r="Z135" s="161"/>
    </row>
    <row r="136" spans="1:26" s="3" customFormat="1" ht="27" customHeight="1" x14ac:dyDescent="0.25">
      <c r="A136" s="134">
        <f t="shared" si="16"/>
        <v>133</v>
      </c>
      <c r="B136" s="21" t="s">
        <v>367</v>
      </c>
      <c r="C136" s="71" t="s">
        <v>148</v>
      </c>
      <c r="D136" s="72" t="s">
        <v>174</v>
      </c>
      <c r="E136" s="84" t="s">
        <v>188</v>
      </c>
      <c r="F136" s="34">
        <v>3.4</v>
      </c>
      <c r="G136" s="34" t="s">
        <v>56</v>
      </c>
      <c r="H136" s="34">
        <f>43/24</f>
        <v>1.7916666666666667</v>
      </c>
      <c r="I136" s="119">
        <v>15</v>
      </c>
      <c r="J136" s="125">
        <v>0</v>
      </c>
      <c r="K136" s="124">
        <v>0</v>
      </c>
      <c r="L136" s="122" t="s">
        <v>57</v>
      </c>
      <c r="M136" s="124" t="s">
        <v>57</v>
      </c>
      <c r="N136" s="119">
        <f>246/0.855</f>
        <v>287.71929824561403</v>
      </c>
      <c r="O136" s="4">
        <f>246/0.855</f>
        <v>287.71929824561403</v>
      </c>
      <c r="P136" s="39"/>
      <c r="Q136" s="161"/>
      <c r="R136" s="161"/>
      <c r="S136" s="161"/>
      <c r="T136" s="161"/>
      <c r="U136" s="161"/>
      <c r="V136" s="161"/>
      <c r="W136" s="161"/>
      <c r="X136" s="161"/>
      <c r="Y136" s="161"/>
      <c r="Z136" s="161"/>
    </row>
    <row r="137" spans="1:26" s="3" customFormat="1" ht="27" customHeight="1" x14ac:dyDescent="0.25">
      <c r="A137" s="134">
        <f t="shared" si="16"/>
        <v>134</v>
      </c>
      <c r="B137" s="21" t="s">
        <v>368</v>
      </c>
      <c r="C137" s="71" t="s">
        <v>148</v>
      </c>
      <c r="D137" s="72" t="s">
        <v>149</v>
      </c>
      <c r="E137" s="84" t="s">
        <v>150</v>
      </c>
      <c r="F137" s="34">
        <v>1.5</v>
      </c>
      <c r="G137" s="34" t="s">
        <v>56</v>
      </c>
      <c r="H137" s="34">
        <v>1.4166666666666667</v>
      </c>
      <c r="I137" s="119">
        <v>51</v>
      </c>
      <c r="J137" s="125">
        <v>0</v>
      </c>
      <c r="K137" s="124">
        <v>0</v>
      </c>
      <c r="L137" s="122" t="s">
        <v>57</v>
      </c>
      <c r="M137" s="124" t="s">
        <v>57</v>
      </c>
      <c r="N137" s="119">
        <v>21</v>
      </c>
      <c r="O137" s="4">
        <v>21</v>
      </c>
      <c r="P137" s="39"/>
      <c r="Q137" s="360"/>
      <c r="R137" s="360"/>
      <c r="S137" s="360"/>
      <c r="T137" s="360"/>
      <c r="U137" s="360"/>
      <c r="V137" s="360"/>
      <c r="W137" s="360"/>
      <c r="X137" s="360"/>
      <c r="Y137" s="360"/>
      <c r="Z137" s="360"/>
    </row>
    <row r="138" spans="1:26" s="3" customFormat="1" ht="27" customHeight="1" x14ac:dyDescent="0.25">
      <c r="A138" s="134">
        <f t="shared" si="16"/>
        <v>135</v>
      </c>
      <c r="B138" s="21" t="s">
        <v>368</v>
      </c>
      <c r="C138" s="71" t="s">
        <v>148</v>
      </c>
      <c r="D138" s="72" t="s">
        <v>151</v>
      </c>
      <c r="E138" s="84" t="s">
        <v>152</v>
      </c>
      <c r="F138" s="34">
        <v>1.6</v>
      </c>
      <c r="G138" s="34" t="s">
        <v>56</v>
      </c>
      <c r="H138" s="34">
        <v>1.25</v>
      </c>
      <c r="I138" s="119">
        <v>55</v>
      </c>
      <c r="J138" s="125">
        <v>0</v>
      </c>
      <c r="K138" s="124">
        <v>0</v>
      </c>
      <c r="L138" s="122" t="s">
        <v>57</v>
      </c>
      <c r="M138" s="124" t="s">
        <v>57</v>
      </c>
      <c r="N138" s="122">
        <v>51</v>
      </c>
      <c r="O138" s="4">
        <v>51</v>
      </c>
      <c r="P138" s="39"/>
      <c r="Q138" s="39"/>
      <c r="R138" s="39"/>
      <c r="S138" s="39"/>
      <c r="T138" s="39"/>
      <c r="U138" s="39"/>
      <c r="V138" s="39"/>
      <c r="W138" s="39"/>
      <c r="X138" s="39"/>
      <c r="Y138" s="39"/>
      <c r="Z138" s="39"/>
    </row>
    <row r="139" spans="1:26" s="3" customFormat="1" ht="27" customHeight="1" x14ac:dyDescent="0.25">
      <c r="A139" s="134">
        <f t="shared" si="16"/>
        <v>136</v>
      </c>
      <c r="B139" s="21" t="s">
        <v>368</v>
      </c>
      <c r="C139" s="71" t="s">
        <v>148</v>
      </c>
      <c r="D139" s="72" t="s">
        <v>153</v>
      </c>
      <c r="E139" s="84" t="s">
        <v>154</v>
      </c>
      <c r="F139" s="34">
        <v>1.7</v>
      </c>
      <c r="G139" s="34" t="s">
        <v>56</v>
      </c>
      <c r="H139" s="34">
        <f>33.7/24</f>
        <v>1.4041666666666668</v>
      </c>
      <c r="I139" s="119">
        <v>45</v>
      </c>
      <c r="J139" s="125">
        <v>0</v>
      </c>
      <c r="K139" s="124">
        <v>0</v>
      </c>
      <c r="L139" s="122" t="s">
        <v>57</v>
      </c>
      <c r="M139" s="124" t="s">
        <v>57</v>
      </c>
      <c r="N139" s="122">
        <v>45</v>
      </c>
      <c r="O139" s="4">
        <v>45</v>
      </c>
      <c r="P139" s="39"/>
      <c r="Q139" s="39"/>
      <c r="R139" s="39"/>
      <c r="S139" s="39"/>
      <c r="T139" s="39"/>
      <c r="U139" s="39"/>
      <c r="V139" s="39"/>
      <c r="W139" s="39"/>
      <c r="X139" s="39"/>
      <c r="Y139" s="39"/>
      <c r="Z139" s="39"/>
    </row>
    <row r="140" spans="1:26" s="3" customFormat="1" ht="27" customHeight="1" x14ac:dyDescent="0.25">
      <c r="A140" s="134">
        <f t="shared" si="16"/>
        <v>137</v>
      </c>
      <c r="B140" s="167" t="s">
        <v>369</v>
      </c>
      <c r="C140" s="71" t="s">
        <v>206</v>
      </c>
      <c r="D140" s="72" t="s">
        <v>172</v>
      </c>
      <c r="E140" s="84" t="s">
        <v>189</v>
      </c>
      <c r="F140" s="34">
        <v>8</v>
      </c>
      <c r="G140" s="34" t="s">
        <v>56</v>
      </c>
      <c r="H140" s="34">
        <f>84/24</f>
        <v>3.5</v>
      </c>
      <c r="I140" s="119">
        <v>74</v>
      </c>
      <c r="J140" s="125">
        <v>0</v>
      </c>
      <c r="K140" s="124">
        <v>0</v>
      </c>
      <c r="L140" s="122" t="s">
        <v>57</v>
      </c>
      <c r="M140" s="124" t="s">
        <v>57</v>
      </c>
      <c r="N140" s="119">
        <v>130</v>
      </c>
      <c r="O140" s="4">
        <v>130</v>
      </c>
      <c r="P140" s="39"/>
      <c r="Q140" s="39"/>
      <c r="R140" s="39"/>
      <c r="S140" s="39"/>
      <c r="T140" s="39"/>
      <c r="U140" s="39"/>
      <c r="V140" s="39"/>
      <c r="W140" s="39"/>
      <c r="X140" s="39"/>
      <c r="Y140" s="39"/>
      <c r="Z140" s="39"/>
    </row>
    <row r="141" spans="1:26" s="3" customFormat="1" ht="27" customHeight="1" x14ac:dyDescent="0.25">
      <c r="A141" s="134">
        <f t="shared" si="16"/>
        <v>138</v>
      </c>
      <c r="B141" s="167" t="s">
        <v>369</v>
      </c>
      <c r="C141" s="71" t="s">
        <v>206</v>
      </c>
      <c r="D141" s="72" t="s">
        <v>174</v>
      </c>
      <c r="E141" s="84" t="s">
        <v>190</v>
      </c>
      <c r="F141" s="34">
        <v>7</v>
      </c>
      <c r="G141" s="34" t="s">
        <v>56</v>
      </c>
      <c r="H141" s="34">
        <f>89/24</f>
        <v>3.7083333333333335</v>
      </c>
      <c r="I141" s="119">
        <v>67</v>
      </c>
      <c r="J141" s="125">
        <v>0</v>
      </c>
      <c r="K141" s="124">
        <v>0</v>
      </c>
      <c r="L141" s="122" t="s">
        <v>57</v>
      </c>
      <c r="M141" s="124" t="s">
        <v>57</v>
      </c>
      <c r="N141" s="119">
        <v>100</v>
      </c>
      <c r="O141" s="4">
        <v>100</v>
      </c>
      <c r="P141" s="39"/>
      <c r="Q141" s="39"/>
      <c r="R141" s="39"/>
      <c r="S141" s="39"/>
      <c r="T141" s="39"/>
      <c r="U141" s="39"/>
      <c r="V141" s="39"/>
      <c r="W141" s="39"/>
      <c r="X141" s="39"/>
      <c r="Y141" s="39"/>
      <c r="Z141" s="39"/>
    </row>
    <row r="142" spans="1:26" s="3" customFormat="1" ht="27" customHeight="1" x14ac:dyDescent="0.25">
      <c r="A142" s="134">
        <f t="shared" ref="A142:A205" si="19">A141+1</f>
        <v>139</v>
      </c>
      <c r="B142" s="167" t="s">
        <v>369</v>
      </c>
      <c r="C142" s="71" t="s">
        <v>206</v>
      </c>
      <c r="D142" s="72" t="s">
        <v>175</v>
      </c>
      <c r="E142" s="84" t="s">
        <v>191</v>
      </c>
      <c r="F142" s="34">
        <v>15</v>
      </c>
      <c r="G142" s="34" t="s">
        <v>56</v>
      </c>
      <c r="H142" s="34">
        <f>53/24</f>
        <v>2.2083333333333335</v>
      </c>
      <c r="I142" s="119">
        <v>48</v>
      </c>
      <c r="J142" s="125">
        <v>0</v>
      </c>
      <c r="K142" s="124">
        <v>0</v>
      </c>
      <c r="L142" s="122" t="s">
        <v>57</v>
      </c>
      <c r="M142" s="124" t="s">
        <v>57</v>
      </c>
      <c r="N142" s="119">
        <v>100</v>
      </c>
      <c r="O142" s="4">
        <v>100</v>
      </c>
      <c r="P142" s="39"/>
      <c r="Q142" s="39"/>
      <c r="R142" s="39"/>
      <c r="S142" s="39"/>
      <c r="T142" s="39"/>
      <c r="U142" s="39"/>
      <c r="V142" s="39"/>
      <c r="W142" s="39"/>
      <c r="X142" s="39"/>
      <c r="Y142" s="39"/>
      <c r="Z142" s="39"/>
    </row>
    <row r="143" spans="1:26" s="3" customFormat="1" ht="27" customHeight="1" x14ac:dyDescent="0.25">
      <c r="A143" s="134">
        <f t="shared" si="19"/>
        <v>140</v>
      </c>
      <c r="B143" s="167" t="s">
        <v>369</v>
      </c>
      <c r="C143" s="71" t="s">
        <v>206</v>
      </c>
      <c r="D143" s="72" t="s">
        <v>178</v>
      </c>
      <c r="E143" s="84" t="s">
        <v>192</v>
      </c>
      <c r="F143" s="34">
        <v>6</v>
      </c>
      <c r="G143" s="34" t="s">
        <v>56</v>
      </c>
      <c r="H143" s="34">
        <f>57/24</f>
        <v>2.375</v>
      </c>
      <c r="I143" s="119">
        <v>336</v>
      </c>
      <c r="J143" s="125">
        <v>0</v>
      </c>
      <c r="K143" s="124">
        <v>0</v>
      </c>
      <c r="L143" s="122" t="s">
        <v>57</v>
      </c>
      <c r="M143" s="124" t="s">
        <v>57</v>
      </c>
      <c r="N143" s="119">
        <f>280/0.855</f>
        <v>327.48538011695905</v>
      </c>
      <c r="O143" s="4">
        <f>280/0.855</f>
        <v>327.48538011695905</v>
      </c>
      <c r="P143" s="39"/>
      <c r="Q143" s="39"/>
      <c r="R143" s="39"/>
      <c r="S143" s="39"/>
      <c r="T143" s="39"/>
      <c r="U143" s="39"/>
      <c r="V143" s="39"/>
      <c r="W143" s="39"/>
      <c r="X143" s="39"/>
      <c r="Y143" s="39"/>
      <c r="Z143" s="39"/>
    </row>
    <row r="144" spans="1:26" s="3" customFormat="1" ht="27" customHeight="1" x14ac:dyDescent="0.25">
      <c r="A144" s="134">
        <f t="shared" si="19"/>
        <v>141</v>
      </c>
      <c r="B144" s="167" t="s">
        <v>369</v>
      </c>
      <c r="C144" s="71" t="s">
        <v>206</v>
      </c>
      <c r="D144" s="72" t="s">
        <v>149</v>
      </c>
      <c r="E144" s="84" t="s">
        <v>193</v>
      </c>
      <c r="F144" s="34">
        <v>6</v>
      </c>
      <c r="G144" s="34" t="s">
        <v>56</v>
      </c>
      <c r="H144" s="34">
        <f>132/24</f>
        <v>5.5</v>
      </c>
      <c r="I144" s="119">
        <v>81</v>
      </c>
      <c r="J144" s="125">
        <v>0</v>
      </c>
      <c r="K144" s="124">
        <v>0</v>
      </c>
      <c r="L144" s="122" t="s">
        <v>57</v>
      </c>
      <c r="M144" s="124" t="s">
        <v>57</v>
      </c>
      <c r="N144" s="119">
        <v>85</v>
      </c>
      <c r="O144" s="4">
        <v>85</v>
      </c>
      <c r="P144" s="39"/>
      <c r="Q144" s="39"/>
      <c r="R144" s="39"/>
      <c r="S144" s="39"/>
      <c r="T144" s="39"/>
      <c r="U144" s="39"/>
      <c r="V144" s="39"/>
      <c r="W144" s="39"/>
      <c r="X144" s="39"/>
      <c r="Y144" s="39"/>
      <c r="Z144" s="39"/>
    </row>
    <row r="145" spans="1:30" s="3" customFormat="1" ht="27" customHeight="1" x14ac:dyDescent="0.25">
      <c r="A145" s="134">
        <f t="shared" si="19"/>
        <v>142</v>
      </c>
      <c r="B145" s="167" t="s">
        <v>369</v>
      </c>
      <c r="C145" s="71" t="s">
        <v>206</v>
      </c>
      <c r="D145" s="72" t="s">
        <v>172</v>
      </c>
      <c r="E145" s="84" t="s">
        <v>194</v>
      </c>
      <c r="F145" s="34">
        <v>5.5</v>
      </c>
      <c r="G145" s="34" t="s">
        <v>56</v>
      </c>
      <c r="H145" s="34">
        <f>107/24</f>
        <v>4.458333333333333</v>
      </c>
      <c r="I145" s="119">
        <v>74</v>
      </c>
      <c r="J145" s="125">
        <v>0</v>
      </c>
      <c r="K145" s="124">
        <v>0</v>
      </c>
      <c r="L145" s="122" t="s">
        <v>57</v>
      </c>
      <c r="M145" s="124" t="s">
        <v>57</v>
      </c>
      <c r="N145" s="119">
        <v>130</v>
      </c>
      <c r="O145" s="4">
        <v>130</v>
      </c>
      <c r="P145" s="39"/>
      <c r="Q145" s="39"/>
      <c r="R145" s="39"/>
      <c r="S145" s="39"/>
      <c r="T145" s="39"/>
      <c r="U145" s="39"/>
      <c r="V145" s="39"/>
      <c r="W145" s="39"/>
      <c r="X145" s="39"/>
      <c r="Y145" s="39"/>
      <c r="Z145" s="39"/>
    </row>
    <row r="146" spans="1:30" s="3" customFormat="1" ht="27" customHeight="1" x14ac:dyDescent="0.25">
      <c r="A146" s="134">
        <f t="shared" si="19"/>
        <v>143</v>
      </c>
      <c r="B146" s="167" t="s">
        <v>369</v>
      </c>
      <c r="C146" s="71" t="s">
        <v>206</v>
      </c>
      <c r="D146" s="72" t="s">
        <v>174</v>
      </c>
      <c r="E146" s="84" t="s">
        <v>195</v>
      </c>
      <c r="F146" s="34">
        <v>12</v>
      </c>
      <c r="G146" s="34" t="s">
        <v>56</v>
      </c>
      <c r="H146" s="34">
        <f>156/24</f>
        <v>6.5</v>
      </c>
      <c r="I146" s="119">
        <v>83</v>
      </c>
      <c r="J146" s="125">
        <v>0</v>
      </c>
      <c r="K146" s="124">
        <v>0</v>
      </c>
      <c r="L146" s="122" t="s">
        <v>57</v>
      </c>
      <c r="M146" s="124" t="s">
        <v>57</v>
      </c>
      <c r="N146" s="119">
        <v>120</v>
      </c>
      <c r="O146" s="4">
        <v>120</v>
      </c>
      <c r="P146" s="39"/>
      <c r="Q146" s="39"/>
      <c r="R146" s="39"/>
      <c r="S146" s="39"/>
      <c r="T146" s="39"/>
      <c r="U146" s="39"/>
      <c r="V146" s="39"/>
      <c r="W146" s="39"/>
      <c r="X146" s="39"/>
      <c r="Y146" s="39"/>
      <c r="Z146" s="39"/>
    </row>
    <row r="147" spans="1:30" s="3" customFormat="1" ht="27" customHeight="1" x14ac:dyDescent="0.25">
      <c r="A147" s="134">
        <f t="shared" si="19"/>
        <v>144</v>
      </c>
      <c r="B147" s="167" t="s">
        <v>369</v>
      </c>
      <c r="C147" s="71" t="s">
        <v>206</v>
      </c>
      <c r="D147" s="72" t="s">
        <v>175</v>
      </c>
      <c r="E147" s="84" t="s">
        <v>196</v>
      </c>
      <c r="F147" s="34">
        <v>6</v>
      </c>
      <c r="G147" s="34" t="s">
        <v>56</v>
      </c>
      <c r="H147" s="34">
        <f>106/24</f>
        <v>4.416666666666667</v>
      </c>
      <c r="I147" s="119">
        <v>62</v>
      </c>
      <c r="J147" s="125">
        <v>0</v>
      </c>
      <c r="K147" s="124">
        <v>0</v>
      </c>
      <c r="L147" s="122" t="s">
        <v>57</v>
      </c>
      <c r="M147" s="124" t="s">
        <v>57</v>
      </c>
      <c r="N147" s="119">
        <v>99</v>
      </c>
      <c r="O147" s="4">
        <v>99</v>
      </c>
      <c r="P147" s="39"/>
      <c r="Q147" s="39"/>
      <c r="R147" s="39"/>
      <c r="S147" s="39"/>
      <c r="T147" s="39"/>
      <c r="U147" s="39"/>
      <c r="V147" s="39"/>
      <c r="W147" s="39"/>
      <c r="X147" s="39"/>
      <c r="Y147" s="39"/>
      <c r="Z147" s="39"/>
    </row>
    <row r="148" spans="1:30" s="3" customFormat="1" ht="27" customHeight="1" x14ac:dyDescent="0.25">
      <c r="A148" s="134">
        <f t="shared" si="19"/>
        <v>145</v>
      </c>
      <c r="B148" s="167" t="s">
        <v>369</v>
      </c>
      <c r="C148" s="71" t="s">
        <v>206</v>
      </c>
      <c r="D148" s="72" t="s">
        <v>178</v>
      </c>
      <c r="E148" s="84" t="s">
        <v>197</v>
      </c>
      <c r="F148" s="34">
        <v>7</v>
      </c>
      <c r="G148" s="34" t="s">
        <v>56</v>
      </c>
      <c r="H148" s="34">
        <f>114/24</f>
        <v>4.75</v>
      </c>
      <c r="I148" s="119">
        <v>585</v>
      </c>
      <c r="J148" s="125">
        <v>0</v>
      </c>
      <c r="K148" s="124">
        <v>0</v>
      </c>
      <c r="L148" s="122" t="s">
        <v>57</v>
      </c>
      <c r="M148" s="124" t="s">
        <v>57</v>
      </c>
      <c r="N148" s="119">
        <f>539/0.855</f>
        <v>630.40935672514627</v>
      </c>
      <c r="O148" s="4">
        <f>539/0.855</f>
        <v>630.40935672514627</v>
      </c>
      <c r="P148" s="39"/>
      <c r="Q148" s="39"/>
      <c r="R148" s="39"/>
      <c r="S148" s="39"/>
      <c r="T148" s="39"/>
      <c r="U148" s="39"/>
      <c r="V148" s="39"/>
      <c r="W148" s="39"/>
      <c r="X148" s="39"/>
      <c r="Y148" s="39"/>
      <c r="Z148" s="39"/>
    </row>
    <row r="149" spans="1:30" s="3" customFormat="1" ht="27" customHeight="1" x14ac:dyDescent="0.25">
      <c r="A149" s="134">
        <f t="shared" si="19"/>
        <v>146</v>
      </c>
      <c r="B149" s="167" t="s">
        <v>369</v>
      </c>
      <c r="C149" s="71" t="s">
        <v>200</v>
      </c>
      <c r="D149" s="72" t="s">
        <v>172</v>
      </c>
      <c r="E149" s="84" t="s">
        <v>198</v>
      </c>
      <c r="F149" s="34">
        <v>18</v>
      </c>
      <c r="G149" s="34" t="s">
        <v>56</v>
      </c>
      <c r="H149" s="34">
        <f>140/24</f>
        <v>5.833333333333333</v>
      </c>
      <c r="I149" s="119">
        <v>95</v>
      </c>
      <c r="J149" s="125">
        <v>0</v>
      </c>
      <c r="K149" s="124">
        <v>0</v>
      </c>
      <c r="L149" s="122" t="s">
        <v>57</v>
      </c>
      <c r="M149" s="124" t="s">
        <v>57</v>
      </c>
      <c r="N149" s="119">
        <v>122</v>
      </c>
      <c r="O149" s="4">
        <v>122</v>
      </c>
      <c r="P149" s="39"/>
      <c r="Q149" s="39"/>
      <c r="R149" s="39"/>
      <c r="S149" s="39"/>
      <c r="T149" s="39"/>
      <c r="U149" s="39"/>
      <c r="V149" s="39"/>
      <c r="W149" s="39"/>
      <c r="X149" s="39"/>
      <c r="Y149" s="39"/>
      <c r="Z149" s="39"/>
    </row>
    <row r="150" spans="1:30" s="3" customFormat="1" ht="27" customHeight="1" x14ac:dyDescent="0.25">
      <c r="A150" s="134">
        <f t="shared" si="19"/>
        <v>147</v>
      </c>
      <c r="B150" s="167" t="s">
        <v>369</v>
      </c>
      <c r="C150" s="71" t="s">
        <v>200</v>
      </c>
      <c r="D150" s="72" t="s">
        <v>175</v>
      </c>
      <c r="E150" s="84" t="s">
        <v>199</v>
      </c>
      <c r="F150" s="34">
        <v>16</v>
      </c>
      <c r="G150" s="34" t="s">
        <v>56</v>
      </c>
      <c r="H150" s="34">
        <f>73/24</f>
        <v>3.0416666666666665</v>
      </c>
      <c r="I150" s="119">
        <v>62</v>
      </c>
      <c r="J150" s="125">
        <v>0</v>
      </c>
      <c r="K150" s="124">
        <v>0</v>
      </c>
      <c r="L150" s="122" t="s">
        <v>57</v>
      </c>
      <c r="M150" s="124" t="s">
        <v>57</v>
      </c>
      <c r="N150" s="119">
        <v>100</v>
      </c>
      <c r="O150" s="4">
        <v>100</v>
      </c>
      <c r="P150" s="39"/>
      <c r="Q150" s="39"/>
      <c r="R150" s="39"/>
      <c r="S150" s="39"/>
      <c r="T150" s="39"/>
      <c r="U150" s="39"/>
      <c r="V150" s="39"/>
      <c r="W150" s="39"/>
      <c r="X150" s="39"/>
      <c r="Y150" s="39"/>
      <c r="Z150" s="39"/>
    </row>
    <row r="151" spans="1:30" s="3" customFormat="1" ht="27" customHeight="1" x14ac:dyDescent="0.25">
      <c r="A151" s="134">
        <f t="shared" si="19"/>
        <v>148</v>
      </c>
      <c r="B151" s="167" t="s">
        <v>369</v>
      </c>
      <c r="C151" s="71" t="s">
        <v>200</v>
      </c>
      <c r="D151" s="72" t="s">
        <v>149</v>
      </c>
      <c r="E151" s="84" t="s">
        <v>201</v>
      </c>
      <c r="F151" s="34">
        <v>18</v>
      </c>
      <c r="G151" s="34" t="s">
        <v>56</v>
      </c>
      <c r="H151" s="34">
        <f>126/24</f>
        <v>5.25</v>
      </c>
      <c r="I151" s="119">
        <v>107</v>
      </c>
      <c r="J151" s="125">
        <v>0</v>
      </c>
      <c r="K151" s="124">
        <v>0</v>
      </c>
      <c r="L151" s="122" t="s">
        <v>57</v>
      </c>
      <c r="M151" s="124" t="s">
        <v>57</v>
      </c>
      <c r="N151" s="119">
        <v>115</v>
      </c>
      <c r="O151" s="4">
        <v>115</v>
      </c>
      <c r="P151" s="39"/>
      <c r="Q151" s="39"/>
      <c r="R151" s="39"/>
      <c r="S151" s="39"/>
      <c r="T151" s="39"/>
      <c r="U151" s="39"/>
      <c r="V151" s="39"/>
      <c r="W151" s="39"/>
      <c r="X151" s="39"/>
      <c r="Y151" s="39"/>
      <c r="Z151" s="39"/>
    </row>
    <row r="152" spans="1:30" s="3" customFormat="1" ht="27" customHeight="1" x14ac:dyDescent="0.25">
      <c r="A152" s="134">
        <f t="shared" si="19"/>
        <v>149</v>
      </c>
      <c r="B152" s="167" t="s">
        <v>369</v>
      </c>
      <c r="C152" s="71" t="s">
        <v>200</v>
      </c>
      <c r="D152" s="72" t="s">
        <v>172</v>
      </c>
      <c r="E152" s="84" t="s">
        <v>202</v>
      </c>
      <c r="F152" s="34">
        <v>22.5</v>
      </c>
      <c r="G152" s="34" t="s">
        <v>56</v>
      </c>
      <c r="H152" s="34">
        <f>128/24</f>
        <v>5.333333333333333</v>
      </c>
      <c r="I152" s="119">
        <v>95</v>
      </c>
      <c r="J152" s="125">
        <v>0</v>
      </c>
      <c r="K152" s="124">
        <v>0</v>
      </c>
      <c r="L152" s="122" t="s">
        <v>57</v>
      </c>
      <c r="M152" s="124" t="s">
        <v>57</v>
      </c>
      <c r="N152" s="119">
        <v>115</v>
      </c>
      <c r="O152" s="4">
        <v>115</v>
      </c>
      <c r="P152" s="39"/>
      <c r="Q152" s="39"/>
      <c r="R152" s="39"/>
      <c r="S152" s="39"/>
      <c r="T152" s="39"/>
      <c r="U152" s="39"/>
      <c r="V152" s="39"/>
      <c r="W152" s="39"/>
      <c r="X152" s="39"/>
      <c r="Y152" s="39"/>
      <c r="Z152" s="39"/>
    </row>
    <row r="153" spans="1:30" s="3" customFormat="1" ht="27" customHeight="1" x14ac:dyDescent="0.25">
      <c r="A153" s="134">
        <f t="shared" si="19"/>
        <v>150</v>
      </c>
      <c r="B153" s="167" t="s">
        <v>369</v>
      </c>
      <c r="C153" s="71" t="s">
        <v>200</v>
      </c>
      <c r="D153" s="72" t="s">
        <v>174</v>
      </c>
      <c r="E153" s="84" t="s">
        <v>203</v>
      </c>
      <c r="F153" s="34">
        <v>24</v>
      </c>
      <c r="G153" s="34" t="s">
        <v>56</v>
      </c>
      <c r="H153" s="34">
        <f>138/24</f>
        <v>5.75</v>
      </c>
      <c r="I153" s="119">
        <v>108</v>
      </c>
      <c r="J153" s="125">
        <v>0</v>
      </c>
      <c r="K153" s="124">
        <v>0</v>
      </c>
      <c r="L153" s="122" t="s">
        <v>57</v>
      </c>
      <c r="M153" s="124" t="s">
        <v>57</v>
      </c>
      <c r="N153" s="119">
        <v>160</v>
      </c>
      <c r="O153" s="4">
        <v>160</v>
      </c>
      <c r="P153" s="39"/>
      <c r="Q153" s="39"/>
      <c r="R153" s="39"/>
      <c r="S153" s="39"/>
      <c r="T153" s="39"/>
      <c r="U153" s="39"/>
      <c r="V153" s="39"/>
      <c r="W153" s="39"/>
      <c r="X153" s="39"/>
      <c r="Y153" s="39"/>
      <c r="Z153" s="39"/>
    </row>
    <row r="154" spans="1:30" s="3" customFormat="1" ht="27" customHeight="1" x14ac:dyDescent="0.25">
      <c r="A154" s="134">
        <f t="shared" si="19"/>
        <v>151</v>
      </c>
      <c r="B154" s="167" t="s">
        <v>369</v>
      </c>
      <c r="C154" s="71" t="s">
        <v>200</v>
      </c>
      <c r="D154" s="72" t="s">
        <v>175</v>
      </c>
      <c r="E154" s="84" t="s">
        <v>204</v>
      </c>
      <c r="F154" s="34">
        <v>20.25</v>
      </c>
      <c r="G154" s="34" t="s">
        <v>56</v>
      </c>
      <c r="H154" s="34">
        <f>152/24</f>
        <v>6.333333333333333</v>
      </c>
      <c r="I154" s="119">
        <v>83</v>
      </c>
      <c r="J154" s="125">
        <v>0</v>
      </c>
      <c r="K154" s="124">
        <v>0</v>
      </c>
      <c r="L154" s="122" t="s">
        <v>57</v>
      </c>
      <c r="M154" s="124" t="s">
        <v>57</v>
      </c>
      <c r="N154" s="119">
        <v>130</v>
      </c>
      <c r="O154" s="4">
        <v>130</v>
      </c>
      <c r="P154" s="39"/>
      <c r="Q154" s="39"/>
      <c r="R154" s="39"/>
      <c r="S154" s="39"/>
      <c r="T154" s="39"/>
      <c r="U154" s="39"/>
      <c r="V154" s="39"/>
      <c r="W154" s="39"/>
      <c r="X154" s="39"/>
      <c r="Y154" s="39"/>
      <c r="Z154" s="39"/>
    </row>
    <row r="155" spans="1:30" s="3" customFormat="1" ht="27" customHeight="1" x14ac:dyDescent="0.25">
      <c r="A155" s="134">
        <f t="shared" si="19"/>
        <v>152</v>
      </c>
      <c r="B155" s="167" t="s">
        <v>369</v>
      </c>
      <c r="C155" s="71" t="s">
        <v>200</v>
      </c>
      <c r="D155" s="72" t="s">
        <v>178</v>
      </c>
      <c r="E155" s="84" t="s">
        <v>205</v>
      </c>
      <c r="F155" s="34">
        <v>20</v>
      </c>
      <c r="G155" s="34" t="s">
        <v>56</v>
      </c>
      <c r="H155" s="34">
        <f>134/24</f>
        <v>5.583333333333333</v>
      </c>
      <c r="I155" s="119">
        <v>487</v>
      </c>
      <c r="J155" s="125">
        <v>0</v>
      </c>
      <c r="K155" s="124">
        <v>0</v>
      </c>
      <c r="L155" s="122" t="s">
        <v>57</v>
      </c>
      <c r="M155" s="124" t="s">
        <v>57</v>
      </c>
      <c r="N155" s="119">
        <f>703/0.855</f>
        <v>822.22222222222229</v>
      </c>
      <c r="O155" s="4">
        <f>703/0.855</f>
        <v>822.22222222222229</v>
      </c>
      <c r="P155" s="39"/>
      <c r="Q155" s="39"/>
      <c r="R155" s="39"/>
      <c r="S155" s="39"/>
      <c r="T155" s="39"/>
      <c r="U155" s="39"/>
      <c r="V155" s="39"/>
      <c r="W155" s="39"/>
      <c r="X155" s="39"/>
      <c r="Y155" s="39"/>
      <c r="Z155" s="39"/>
    </row>
    <row r="156" spans="1:30" s="3" customFormat="1" ht="27" customHeight="1" x14ac:dyDescent="0.25">
      <c r="A156" s="134">
        <f t="shared" si="19"/>
        <v>153</v>
      </c>
      <c r="B156" s="22" t="s">
        <v>370</v>
      </c>
      <c r="C156" s="71" t="s">
        <v>200</v>
      </c>
      <c r="D156" s="72" t="s">
        <v>153</v>
      </c>
      <c r="E156" s="84" t="s">
        <v>155</v>
      </c>
      <c r="F156" s="34">
        <v>15.4</v>
      </c>
      <c r="G156" s="34" t="s">
        <v>56</v>
      </c>
      <c r="H156" s="34">
        <f>(106+(9/60))/24</f>
        <v>4.4229166666666666</v>
      </c>
      <c r="I156" s="119">
        <v>258</v>
      </c>
      <c r="J156" s="125">
        <v>0</v>
      </c>
      <c r="K156" s="124">
        <v>0</v>
      </c>
      <c r="L156" s="122" t="s">
        <v>57</v>
      </c>
      <c r="M156" s="124" t="s">
        <v>57</v>
      </c>
      <c r="N156" s="122">
        <f t="shared" ref="N156:N169" si="20">I156+J156</f>
        <v>258</v>
      </c>
      <c r="O156" s="4">
        <f t="shared" ref="O156:O169" si="21">I156+K156</f>
        <v>258</v>
      </c>
      <c r="P156" s="39"/>
      <c r="Q156" s="39"/>
      <c r="R156" s="39"/>
      <c r="S156" s="39"/>
      <c r="T156" s="39"/>
      <c r="U156" s="39"/>
      <c r="V156" s="39"/>
      <c r="W156" s="39"/>
      <c r="X156" s="39"/>
      <c r="Y156" s="39"/>
      <c r="Z156" s="39"/>
    </row>
    <row r="157" spans="1:30" s="3" customFormat="1" ht="27" customHeight="1" x14ac:dyDescent="0.25">
      <c r="A157" s="134">
        <f t="shared" si="19"/>
        <v>154</v>
      </c>
      <c r="B157" s="85" t="s">
        <v>371</v>
      </c>
      <c r="C157" s="71" t="s">
        <v>56</v>
      </c>
      <c r="D157" s="71" t="s">
        <v>156</v>
      </c>
      <c r="E157" s="72" t="s">
        <v>157</v>
      </c>
      <c r="F157" s="34" t="s">
        <v>56</v>
      </c>
      <c r="G157" s="34" t="s">
        <v>56</v>
      </c>
      <c r="H157" s="34" t="s">
        <v>56</v>
      </c>
      <c r="I157" s="120">
        <v>95</v>
      </c>
      <c r="J157" s="125">
        <v>0</v>
      </c>
      <c r="K157" s="124">
        <v>0</v>
      </c>
      <c r="L157" s="122" t="s">
        <v>57</v>
      </c>
      <c r="M157" s="124" t="s">
        <v>57</v>
      </c>
      <c r="N157" s="122">
        <f t="shared" si="20"/>
        <v>95</v>
      </c>
      <c r="O157" s="4">
        <f t="shared" si="21"/>
        <v>95</v>
      </c>
      <c r="P157" s="39"/>
      <c r="Q157" s="39"/>
      <c r="R157" s="39"/>
      <c r="S157" s="39"/>
      <c r="T157" s="39"/>
      <c r="U157" s="39"/>
      <c r="V157" s="39"/>
      <c r="W157" s="39"/>
      <c r="X157" s="39"/>
      <c r="Y157" s="39"/>
      <c r="Z157" s="39"/>
    </row>
    <row r="158" spans="1:30" s="3" customFormat="1" ht="27" customHeight="1" x14ac:dyDescent="0.25">
      <c r="A158" s="134">
        <f t="shared" si="19"/>
        <v>155</v>
      </c>
      <c r="B158" s="85" t="s">
        <v>371</v>
      </c>
      <c r="C158" s="71" t="s">
        <v>56</v>
      </c>
      <c r="D158" s="71" t="s">
        <v>156</v>
      </c>
      <c r="E158" s="72" t="s">
        <v>158</v>
      </c>
      <c r="F158" s="34" t="s">
        <v>56</v>
      </c>
      <c r="G158" s="34" t="s">
        <v>56</v>
      </c>
      <c r="H158" s="34" t="s">
        <v>56</v>
      </c>
      <c r="I158" s="120">
        <v>65</v>
      </c>
      <c r="J158" s="125">
        <v>0</v>
      </c>
      <c r="K158" s="124">
        <v>0</v>
      </c>
      <c r="L158" s="122" t="s">
        <v>57</v>
      </c>
      <c r="M158" s="124" t="s">
        <v>57</v>
      </c>
      <c r="N158" s="122">
        <f t="shared" si="20"/>
        <v>65</v>
      </c>
      <c r="O158" s="4">
        <f t="shared" si="21"/>
        <v>65</v>
      </c>
      <c r="P158" s="39"/>
      <c r="Q158" s="39"/>
      <c r="R158" s="39"/>
      <c r="S158" s="39"/>
      <c r="T158" s="39"/>
      <c r="U158" s="39"/>
      <c r="V158" s="39"/>
      <c r="W158" s="39"/>
      <c r="X158" s="39"/>
      <c r="Y158" s="39"/>
      <c r="Z158" s="39"/>
    </row>
    <row r="159" spans="1:30" s="3" customFormat="1" ht="27" customHeight="1" x14ac:dyDescent="0.25">
      <c r="A159" s="134">
        <f t="shared" si="19"/>
        <v>156</v>
      </c>
      <c r="B159" s="85" t="s">
        <v>371</v>
      </c>
      <c r="C159" s="71" t="s">
        <v>56</v>
      </c>
      <c r="D159" s="71" t="s">
        <v>58</v>
      </c>
      <c r="E159" s="72" t="s">
        <v>159</v>
      </c>
      <c r="F159" s="34" t="s">
        <v>56</v>
      </c>
      <c r="G159" s="34" t="s">
        <v>56</v>
      </c>
      <c r="H159" s="34" t="s">
        <v>56</v>
      </c>
      <c r="I159" s="120">
        <v>68</v>
      </c>
      <c r="J159" s="125">
        <v>0</v>
      </c>
      <c r="K159" s="124">
        <v>0</v>
      </c>
      <c r="L159" s="122" t="s">
        <v>57</v>
      </c>
      <c r="M159" s="124" t="s">
        <v>57</v>
      </c>
      <c r="N159" s="122">
        <f t="shared" si="20"/>
        <v>68</v>
      </c>
      <c r="O159" s="4">
        <f t="shared" si="21"/>
        <v>68</v>
      </c>
      <c r="P159" s="39"/>
      <c r="Q159" s="39"/>
      <c r="R159" s="39"/>
      <c r="S159" s="39"/>
      <c r="T159" s="39"/>
      <c r="U159" s="39"/>
      <c r="V159" s="39"/>
      <c r="W159" s="39"/>
      <c r="X159" s="39"/>
      <c r="Y159" s="39"/>
      <c r="Z159" s="39"/>
      <c r="AB159"/>
      <c r="AC159"/>
      <c r="AD159"/>
    </row>
    <row r="160" spans="1:30" s="3" customFormat="1" ht="27" customHeight="1" x14ac:dyDescent="0.25">
      <c r="A160" s="134">
        <f t="shared" si="19"/>
        <v>157</v>
      </c>
      <c r="B160" s="85" t="s">
        <v>371</v>
      </c>
      <c r="C160" s="71" t="s">
        <v>56</v>
      </c>
      <c r="D160" s="71" t="s">
        <v>160</v>
      </c>
      <c r="E160" s="72" t="s">
        <v>161</v>
      </c>
      <c r="F160" s="34" t="s">
        <v>56</v>
      </c>
      <c r="G160" s="34" t="s">
        <v>56</v>
      </c>
      <c r="H160" s="34" t="s">
        <v>56</v>
      </c>
      <c r="I160" s="120">
        <v>550</v>
      </c>
      <c r="J160" s="125">
        <v>0</v>
      </c>
      <c r="K160" s="124">
        <v>0</v>
      </c>
      <c r="L160" s="122" t="s">
        <v>57</v>
      </c>
      <c r="M160" s="124" t="s">
        <v>57</v>
      </c>
      <c r="N160" s="122">
        <f t="shared" si="20"/>
        <v>550</v>
      </c>
      <c r="O160" s="4">
        <f t="shared" si="21"/>
        <v>550</v>
      </c>
      <c r="P160" s="39"/>
      <c r="Q160" s="39"/>
      <c r="R160" s="39"/>
      <c r="S160" s="39"/>
      <c r="T160" s="39"/>
      <c r="U160" s="39"/>
      <c r="V160" s="39"/>
      <c r="W160" s="39"/>
      <c r="X160" s="39"/>
      <c r="Y160" s="39"/>
      <c r="Z160" s="39"/>
      <c r="AB160"/>
      <c r="AC160"/>
      <c r="AD160"/>
    </row>
    <row r="161" spans="1:30" s="3" customFormat="1" ht="27" customHeight="1" x14ac:dyDescent="0.25">
      <c r="A161" s="134">
        <f t="shared" si="19"/>
        <v>158</v>
      </c>
      <c r="B161" s="85" t="s">
        <v>371</v>
      </c>
      <c r="C161" s="71" t="s">
        <v>56</v>
      </c>
      <c r="D161" s="71" t="s">
        <v>160</v>
      </c>
      <c r="E161" s="72" t="s">
        <v>162</v>
      </c>
      <c r="F161" s="34" t="s">
        <v>56</v>
      </c>
      <c r="G161" s="34" t="s">
        <v>56</v>
      </c>
      <c r="H161" s="34" t="s">
        <v>56</v>
      </c>
      <c r="I161" s="120">
        <v>950</v>
      </c>
      <c r="J161" s="125">
        <v>0</v>
      </c>
      <c r="K161" s="124">
        <v>0</v>
      </c>
      <c r="L161" s="122" t="s">
        <v>57</v>
      </c>
      <c r="M161" s="124" t="s">
        <v>57</v>
      </c>
      <c r="N161" s="122">
        <f t="shared" si="20"/>
        <v>950</v>
      </c>
      <c r="O161" s="4">
        <f t="shared" si="21"/>
        <v>950</v>
      </c>
      <c r="P161" s="39"/>
      <c r="Q161" s="39"/>
      <c r="R161" s="39"/>
      <c r="S161" s="39"/>
      <c r="T161" s="39"/>
      <c r="U161" s="39"/>
      <c r="V161" s="39"/>
      <c r="W161" s="39"/>
      <c r="X161" s="39"/>
      <c r="Y161" s="39"/>
      <c r="Z161" s="39"/>
      <c r="AB161"/>
      <c r="AC161"/>
      <c r="AD161"/>
    </row>
    <row r="162" spans="1:30" s="3" customFormat="1" ht="27" customHeight="1" x14ac:dyDescent="0.25">
      <c r="A162" s="134">
        <f t="shared" si="19"/>
        <v>159</v>
      </c>
      <c r="B162" s="85" t="s">
        <v>371</v>
      </c>
      <c r="C162" s="71" t="s">
        <v>56</v>
      </c>
      <c r="D162" s="71" t="s">
        <v>156</v>
      </c>
      <c r="E162" s="72" t="s">
        <v>163</v>
      </c>
      <c r="F162" s="34" t="s">
        <v>56</v>
      </c>
      <c r="G162" s="34" t="s">
        <v>56</v>
      </c>
      <c r="H162" s="34" t="s">
        <v>56</v>
      </c>
      <c r="I162" s="120">
        <v>1032</v>
      </c>
      <c r="J162" s="125">
        <v>0</v>
      </c>
      <c r="K162" s="124">
        <v>0</v>
      </c>
      <c r="L162" s="122" t="s">
        <v>57</v>
      </c>
      <c r="M162" s="124" t="s">
        <v>57</v>
      </c>
      <c r="N162" s="122">
        <f t="shared" si="20"/>
        <v>1032</v>
      </c>
      <c r="O162" s="4">
        <f t="shared" si="21"/>
        <v>1032</v>
      </c>
      <c r="P162" s="39"/>
      <c r="Q162" s="39"/>
      <c r="R162" s="39"/>
      <c r="S162" s="39"/>
      <c r="T162" s="39"/>
      <c r="U162" s="39"/>
      <c r="V162" s="39"/>
      <c r="W162" s="39"/>
      <c r="X162" s="39"/>
      <c r="Y162" s="39"/>
      <c r="Z162" s="39"/>
      <c r="AB162"/>
      <c r="AC162"/>
      <c r="AD162"/>
    </row>
    <row r="163" spans="1:30" s="3" customFormat="1" ht="27" customHeight="1" x14ac:dyDescent="0.25">
      <c r="A163" s="134">
        <f t="shared" si="19"/>
        <v>160</v>
      </c>
      <c r="B163" s="85" t="s">
        <v>371</v>
      </c>
      <c r="C163" s="71" t="s">
        <v>56</v>
      </c>
      <c r="D163" s="71" t="s">
        <v>160</v>
      </c>
      <c r="E163" s="72" t="s">
        <v>164</v>
      </c>
      <c r="F163" s="34" t="s">
        <v>56</v>
      </c>
      <c r="G163" s="34" t="s">
        <v>56</v>
      </c>
      <c r="H163" s="34" t="s">
        <v>56</v>
      </c>
      <c r="I163" s="120">
        <v>1085</v>
      </c>
      <c r="J163" s="125">
        <v>0</v>
      </c>
      <c r="K163" s="124">
        <v>0</v>
      </c>
      <c r="L163" s="122" t="s">
        <v>57</v>
      </c>
      <c r="M163" s="124" t="s">
        <v>57</v>
      </c>
      <c r="N163" s="122">
        <f t="shared" si="20"/>
        <v>1085</v>
      </c>
      <c r="O163" s="4">
        <f t="shared" si="21"/>
        <v>1085</v>
      </c>
      <c r="P163" s="39"/>
      <c r="Q163" s="39"/>
      <c r="R163" s="39"/>
      <c r="S163" s="39"/>
      <c r="T163" s="39"/>
      <c r="U163" s="39"/>
      <c r="V163" s="39"/>
      <c r="W163" s="39"/>
      <c r="X163" s="39"/>
      <c r="Y163" s="39"/>
      <c r="Z163" s="39"/>
      <c r="AB163"/>
      <c r="AC163"/>
      <c r="AD163"/>
    </row>
    <row r="164" spans="1:30" s="3" customFormat="1" ht="27" customHeight="1" x14ac:dyDescent="0.25">
      <c r="A164" s="134">
        <f t="shared" si="19"/>
        <v>161</v>
      </c>
      <c r="B164" s="85" t="s">
        <v>371</v>
      </c>
      <c r="C164" s="71" t="s">
        <v>56</v>
      </c>
      <c r="D164" s="71" t="s">
        <v>156</v>
      </c>
      <c r="E164" s="72" t="s">
        <v>165</v>
      </c>
      <c r="F164" s="34" t="s">
        <v>56</v>
      </c>
      <c r="G164" s="34" t="s">
        <v>56</v>
      </c>
      <c r="H164" s="34" t="s">
        <v>56</v>
      </c>
      <c r="I164" s="120">
        <v>1010.9</v>
      </c>
      <c r="J164" s="125">
        <v>0</v>
      </c>
      <c r="K164" s="124">
        <v>0</v>
      </c>
      <c r="L164" s="122" t="s">
        <v>57</v>
      </c>
      <c r="M164" s="124" t="s">
        <v>57</v>
      </c>
      <c r="N164" s="122">
        <f t="shared" si="20"/>
        <v>1010.9</v>
      </c>
      <c r="O164" s="4">
        <f t="shared" si="21"/>
        <v>1010.9</v>
      </c>
      <c r="P164" s="39"/>
      <c r="Q164" s="39"/>
      <c r="R164" s="39"/>
      <c r="S164" s="39"/>
      <c r="T164" s="39"/>
      <c r="U164" s="39"/>
      <c r="V164" s="39"/>
      <c r="W164" s="39"/>
      <c r="X164" s="39"/>
      <c r="Y164" s="39"/>
      <c r="Z164" s="39"/>
      <c r="AB164"/>
      <c r="AC164"/>
      <c r="AD164"/>
    </row>
    <row r="165" spans="1:30" s="3" customFormat="1" ht="27" customHeight="1" x14ac:dyDescent="0.25">
      <c r="A165" s="134">
        <f t="shared" si="19"/>
        <v>162</v>
      </c>
      <c r="B165" s="85" t="s">
        <v>371</v>
      </c>
      <c r="C165" s="71" t="s">
        <v>56</v>
      </c>
      <c r="D165" s="71" t="s">
        <v>160</v>
      </c>
      <c r="E165" s="72" t="s">
        <v>166</v>
      </c>
      <c r="F165" s="34" t="s">
        <v>56</v>
      </c>
      <c r="G165" s="34" t="s">
        <v>56</v>
      </c>
      <c r="H165" s="34" t="s">
        <v>56</v>
      </c>
      <c r="I165" s="120">
        <v>1340</v>
      </c>
      <c r="J165" s="125">
        <v>0</v>
      </c>
      <c r="K165" s="124">
        <v>0</v>
      </c>
      <c r="L165" s="122" t="s">
        <v>57</v>
      </c>
      <c r="M165" s="124" t="s">
        <v>57</v>
      </c>
      <c r="N165" s="122">
        <f t="shared" si="20"/>
        <v>1340</v>
      </c>
      <c r="O165" s="4">
        <f t="shared" si="21"/>
        <v>1340</v>
      </c>
      <c r="P165" s="39"/>
      <c r="Q165" s="39"/>
      <c r="R165" s="39"/>
      <c r="S165" s="39"/>
      <c r="T165" s="39"/>
      <c r="U165" s="39"/>
      <c r="V165" s="39"/>
      <c r="W165" s="39"/>
      <c r="X165" s="39"/>
      <c r="Y165" s="39"/>
      <c r="Z165" s="39"/>
      <c r="AB165"/>
      <c r="AC165"/>
      <c r="AD165"/>
    </row>
    <row r="166" spans="1:30" s="3" customFormat="1" ht="27" customHeight="1" x14ac:dyDescent="0.25">
      <c r="A166" s="134">
        <f t="shared" si="19"/>
        <v>163</v>
      </c>
      <c r="B166" s="85" t="s">
        <v>371</v>
      </c>
      <c r="C166" s="71" t="s">
        <v>56</v>
      </c>
      <c r="D166" s="71" t="s">
        <v>160</v>
      </c>
      <c r="E166" s="72" t="s">
        <v>167</v>
      </c>
      <c r="F166" s="34" t="s">
        <v>56</v>
      </c>
      <c r="G166" s="34" t="s">
        <v>56</v>
      </c>
      <c r="H166" s="34" t="s">
        <v>56</v>
      </c>
      <c r="I166" s="120">
        <v>1510</v>
      </c>
      <c r="J166" s="125">
        <v>0</v>
      </c>
      <c r="K166" s="124">
        <v>0</v>
      </c>
      <c r="L166" s="122" t="s">
        <v>57</v>
      </c>
      <c r="M166" s="124" t="s">
        <v>57</v>
      </c>
      <c r="N166" s="122">
        <f t="shared" si="20"/>
        <v>1510</v>
      </c>
      <c r="O166" s="4">
        <f t="shared" si="21"/>
        <v>1510</v>
      </c>
      <c r="P166" s="39"/>
      <c r="Q166" s="39"/>
      <c r="R166" s="39"/>
      <c r="S166" s="39"/>
      <c r="T166" s="39"/>
      <c r="U166" s="39"/>
      <c r="V166" s="39"/>
      <c r="W166" s="39"/>
      <c r="X166" s="39"/>
      <c r="Y166" s="39"/>
      <c r="Z166" s="39"/>
      <c r="AB166"/>
      <c r="AC166"/>
      <c r="AD166"/>
    </row>
    <row r="167" spans="1:30" s="3" customFormat="1" ht="27" customHeight="1" x14ac:dyDescent="0.25">
      <c r="A167" s="134">
        <f t="shared" si="19"/>
        <v>164</v>
      </c>
      <c r="B167" s="85" t="s">
        <v>371</v>
      </c>
      <c r="C167" s="71" t="s">
        <v>56</v>
      </c>
      <c r="D167" s="71" t="s">
        <v>156</v>
      </c>
      <c r="E167" s="72" t="s">
        <v>168</v>
      </c>
      <c r="F167" s="34" t="s">
        <v>56</v>
      </c>
      <c r="G167" s="34" t="s">
        <v>56</v>
      </c>
      <c r="H167" s="34" t="s">
        <v>56</v>
      </c>
      <c r="I167" s="120">
        <v>1547.7</v>
      </c>
      <c r="J167" s="125">
        <v>0</v>
      </c>
      <c r="K167" s="124">
        <v>0</v>
      </c>
      <c r="L167" s="122" t="s">
        <v>57</v>
      </c>
      <c r="M167" s="124" t="s">
        <v>57</v>
      </c>
      <c r="N167" s="122">
        <f t="shared" si="20"/>
        <v>1547.7</v>
      </c>
      <c r="O167" s="4">
        <f t="shared" si="21"/>
        <v>1547.7</v>
      </c>
      <c r="P167" s="39"/>
      <c r="Q167" s="39"/>
      <c r="R167" s="39"/>
      <c r="S167" s="39"/>
      <c r="T167" s="39"/>
      <c r="U167" s="39"/>
      <c r="V167" s="39"/>
      <c r="W167" s="39"/>
      <c r="X167" s="39"/>
      <c r="Y167" s="39"/>
      <c r="Z167" s="39"/>
      <c r="AB167"/>
      <c r="AC167"/>
      <c r="AD167"/>
    </row>
    <row r="168" spans="1:30" s="3" customFormat="1" ht="27" customHeight="1" x14ac:dyDescent="0.25">
      <c r="A168" s="134">
        <f t="shared" si="19"/>
        <v>165</v>
      </c>
      <c r="B168" s="85" t="s">
        <v>371</v>
      </c>
      <c r="C168" s="71" t="s">
        <v>56</v>
      </c>
      <c r="D168" s="71" t="s">
        <v>160</v>
      </c>
      <c r="E168" s="72" t="s">
        <v>169</v>
      </c>
      <c r="F168" s="34" t="s">
        <v>56</v>
      </c>
      <c r="G168" s="34" t="s">
        <v>56</v>
      </c>
      <c r="H168" s="34" t="s">
        <v>56</v>
      </c>
      <c r="I168" s="120">
        <v>1730</v>
      </c>
      <c r="J168" s="125">
        <v>0</v>
      </c>
      <c r="K168" s="124">
        <v>0</v>
      </c>
      <c r="L168" s="122" t="s">
        <v>57</v>
      </c>
      <c r="M168" s="124" t="s">
        <v>57</v>
      </c>
      <c r="N168" s="122">
        <f t="shared" si="20"/>
        <v>1730</v>
      </c>
      <c r="O168" s="4">
        <f t="shared" si="21"/>
        <v>1730</v>
      </c>
      <c r="P168" s="39"/>
      <c r="Q168" s="39"/>
      <c r="R168" s="39"/>
      <c r="S168" s="39"/>
      <c r="T168" s="39"/>
      <c r="U168" s="39"/>
      <c r="V168" s="39"/>
      <c r="W168" s="39"/>
      <c r="X168" s="39"/>
      <c r="Y168" s="39"/>
      <c r="Z168" s="39"/>
      <c r="AB168"/>
      <c r="AC168"/>
      <c r="AD168"/>
    </row>
    <row r="169" spans="1:30" s="3" customFormat="1" ht="27" customHeight="1" x14ac:dyDescent="0.25">
      <c r="A169" s="134">
        <f t="shared" si="19"/>
        <v>166</v>
      </c>
      <c r="B169" s="85" t="s">
        <v>371</v>
      </c>
      <c r="C169" s="71" t="s">
        <v>56</v>
      </c>
      <c r="D169" s="71" t="s">
        <v>156</v>
      </c>
      <c r="E169" s="72" t="s">
        <v>170</v>
      </c>
      <c r="F169" s="34" t="s">
        <v>56</v>
      </c>
      <c r="G169" s="34" t="s">
        <v>56</v>
      </c>
      <c r="H169" s="34" t="s">
        <v>56</v>
      </c>
      <c r="I169" s="120">
        <v>2836.9</v>
      </c>
      <c r="J169" s="125">
        <v>0</v>
      </c>
      <c r="K169" s="124">
        <v>0</v>
      </c>
      <c r="L169" s="122" t="s">
        <v>57</v>
      </c>
      <c r="M169" s="124" t="s">
        <v>57</v>
      </c>
      <c r="N169" s="122">
        <f t="shared" si="20"/>
        <v>2836.9</v>
      </c>
      <c r="O169" s="4">
        <f t="shared" si="21"/>
        <v>2836.9</v>
      </c>
      <c r="P169" s="39"/>
      <c r="Q169" s="39"/>
      <c r="R169" s="39"/>
      <c r="S169" s="39"/>
      <c r="T169" s="39"/>
      <c r="U169" s="39"/>
      <c r="V169" s="39"/>
      <c r="W169" s="39"/>
      <c r="X169" s="39"/>
      <c r="Y169" s="39"/>
      <c r="Z169" s="39"/>
      <c r="AB169"/>
      <c r="AC169"/>
      <c r="AD169"/>
    </row>
    <row r="170" spans="1:30" s="3" customFormat="1" ht="27" customHeight="1" x14ac:dyDescent="0.25">
      <c r="A170" s="134">
        <f t="shared" si="19"/>
        <v>167</v>
      </c>
      <c r="B170" s="164" t="s">
        <v>372</v>
      </c>
      <c r="C170" s="71" t="s">
        <v>207</v>
      </c>
      <c r="D170" s="72" t="s">
        <v>149</v>
      </c>
      <c r="E170" s="72" t="s">
        <v>210</v>
      </c>
      <c r="F170" s="34" t="s">
        <v>56</v>
      </c>
      <c r="G170" s="71" t="s">
        <v>207</v>
      </c>
      <c r="H170" s="34" t="s">
        <v>56</v>
      </c>
      <c r="I170" s="120">
        <v>0.87</v>
      </c>
      <c r="J170" s="125">
        <v>0</v>
      </c>
      <c r="K170" s="124">
        <v>0</v>
      </c>
      <c r="L170" s="122" t="s">
        <v>57</v>
      </c>
      <c r="M170" s="124" t="s">
        <v>57</v>
      </c>
      <c r="N170" s="120">
        <v>0.87</v>
      </c>
      <c r="O170" s="34">
        <v>0.87</v>
      </c>
      <c r="P170" s="39"/>
      <c r="Q170" s="39"/>
      <c r="R170" s="39"/>
      <c r="S170" s="39"/>
      <c r="T170" s="39"/>
      <c r="U170" s="39"/>
      <c r="V170" s="39"/>
      <c r="W170" s="39"/>
      <c r="X170" s="39"/>
      <c r="Y170" s="39"/>
      <c r="Z170" s="39"/>
      <c r="AB170"/>
      <c r="AC170"/>
      <c r="AD170"/>
    </row>
    <row r="171" spans="1:30" s="3" customFormat="1" ht="27" customHeight="1" x14ac:dyDescent="0.25">
      <c r="A171" s="134">
        <f t="shared" si="19"/>
        <v>168</v>
      </c>
      <c r="B171" s="164" t="s">
        <v>372</v>
      </c>
      <c r="C171" s="71" t="s">
        <v>207</v>
      </c>
      <c r="D171" s="72" t="s">
        <v>172</v>
      </c>
      <c r="E171" s="72" t="s">
        <v>211</v>
      </c>
      <c r="F171" s="34" t="s">
        <v>56</v>
      </c>
      <c r="G171" s="71" t="s">
        <v>207</v>
      </c>
      <c r="H171" s="34" t="s">
        <v>56</v>
      </c>
      <c r="I171" s="120">
        <v>0.3</v>
      </c>
      <c r="J171" s="125">
        <v>0</v>
      </c>
      <c r="K171" s="124">
        <v>0</v>
      </c>
      <c r="L171" s="122" t="s">
        <v>57</v>
      </c>
      <c r="M171" s="124" t="s">
        <v>57</v>
      </c>
      <c r="N171" s="120">
        <v>0.3</v>
      </c>
      <c r="O171" s="34">
        <v>0.3</v>
      </c>
      <c r="P171" s="39"/>
      <c r="Q171" s="39"/>
      <c r="R171" s="39"/>
      <c r="S171" s="39"/>
      <c r="T171" s="39"/>
      <c r="U171" s="39"/>
      <c r="V171" s="39"/>
      <c r="W171" s="39"/>
      <c r="X171" s="39"/>
      <c r="Y171" s="39"/>
      <c r="Z171" s="39"/>
      <c r="AB171"/>
      <c r="AC171"/>
      <c r="AD171"/>
    </row>
    <row r="172" spans="1:30" s="3" customFormat="1" ht="27" customHeight="1" x14ac:dyDescent="0.25">
      <c r="A172" s="134">
        <f t="shared" si="19"/>
        <v>169</v>
      </c>
      <c r="B172" s="164" t="s">
        <v>372</v>
      </c>
      <c r="C172" s="71" t="s">
        <v>207</v>
      </c>
      <c r="D172" s="72" t="s">
        <v>174</v>
      </c>
      <c r="E172" s="72" t="s">
        <v>212</v>
      </c>
      <c r="F172" s="34" t="s">
        <v>56</v>
      </c>
      <c r="G172" s="71" t="s">
        <v>207</v>
      </c>
      <c r="H172" s="34" t="s">
        <v>56</v>
      </c>
      <c r="I172" s="120">
        <v>0.3</v>
      </c>
      <c r="J172" s="125">
        <v>0</v>
      </c>
      <c r="K172" s="124">
        <v>0</v>
      </c>
      <c r="L172" s="122" t="s">
        <v>57</v>
      </c>
      <c r="M172" s="124" t="s">
        <v>57</v>
      </c>
      <c r="N172" s="120">
        <v>0.3</v>
      </c>
      <c r="O172" s="34">
        <v>0.3</v>
      </c>
      <c r="P172" s="39"/>
      <c r="Q172" s="39"/>
      <c r="R172" s="39"/>
      <c r="S172" s="39"/>
      <c r="T172" s="39"/>
      <c r="U172" s="39"/>
      <c r="V172" s="39"/>
      <c r="W172" s="39"/>
      <c r="X172" s="39"/>
      <c r="Y172" s="39"/>
      <c r="Z172" s="39"/>
      <c r="AB172"/>
      <c r="AC172"/>
      <c r="AD172"/>
    </row>
    <row r="173" spans="1:30" s="3" customFormat="1" ht="27" customHeight="1" x14ac:dyDescent="0.25">
      <c r="A173" s="134">
        <f t="shared" si="19"/>
        <v>170</v>
      </c>
      <c r="B173" s="164" t="s">
        <v>372</v>
      </c>
      <c r="C173" s="71" t="s">
        <v>207</v>
      </c>
      <c r="D173" s="72" t="s">
        <v>175</v>
      </c>
      <c r="E173" s="72" t="s">
        <v>213</v>
      </c>
      <c r="F173" s="34" t="s">
        <v>56</v>
      </c>
      <c r="G173" s="71" t="s">
        <v>207</v>
      </c>
      <c r="H173" s="34" t="s">
        <v>56</v>
      </c>
      <c r="I173" s="120">
        <v>0.2</v>
      </c>
      <c r="J173" s="125">
        <v>0</v>
      </c>
      <c r="K173" s="124">
        <v>0</v>
      </c>
      <c r="L173" s="122" t="s">
        <v>57</v>
      </c>
      <c r="M173" s="124" t="s">
        <v>57</v>
      </c>
      <c r="N173" s="120">
        <v>0.2</v>
      </c>
      <c r="O173" s="34">
        <v>0.2</v>
      </c>
      <c r="P173" s="39"/>
      <c r="Q173" s="39"/>
      <c r="R173" s="39"/>
      <c r="S173" s="39"/>
      <c r="T173" s="39"/>
      <c r="U173" s="39"/>
      <c r="V173" s="39"/>
      <c r="W173" s="39"/>
      <c r="X173" s="39"/>
      <c r="Y173" s="39"/>
      <c r="Z173" s="39"/>
      <c r="AB173"/>
      <c r="AC173"/>
      <c r="AD173"/>
    </row>
    <row r="174" spans="1:30" s="3" customFormat="1" ht="27" customHeight="1" x14ac:dyDescent="0.25">
      <c r="A174" s="134">
        <f t="shared" si="19"/>
        <v>171</v>
      </c>
      <c r="B174" s="164" t="s">
        <v>372</v>
      </c>
      <c r="C174" s="71" t="s">
        <v>207</v>
      </c>
      <c r="D174" s="72" t="s">
        <v>178</v>
      </c>
      <c r="E174" s="72" t="s">
        <v>249</v>
      </c>
      <c r="F174" s="34" t="s">
        <v>56</v>
      </c>
      <c r="G174" s="71" t="s">
        <v>207</v>
      </c>
      <c r="H174" s="34" t="s">
        <v>56</v>
      </c>
      <c r="I174" s="120">
        <v>46</v>
      </c>
      <c r="J174" s="125">
        <v>0</v>
      </c>
      <c r="K174" s="124">
        <v>0</v>
      </c>
      <c r="L174" s="122" t="s">
        <v>57</v>
      </c>
      <c r="M174" s="124" t="s">
        <v>57</v>
      </c>
      <c r="N174" s="120">
        <f>46/0.855</f>
        <v>53.801169590643276</v>
      </c>
      <c r="O174" s="34">
        <f>46/0.855</f>
        <v>53.801169590643276</v>
      </c>
      <c r="P174" s="39"/>
      <c r="Q174" s="39"/>
      <c r="R174" s="39"/>
      <c r="S174" s="39"/>
      <c r="T174" s="39"/>
      <c r="U174" s="39"/>
      <c r="V174" s="39"/>
      <c r="W174" s="39"/>
      <c r="X174" s="39"/>
      <c r="Y174" s="39"/>
      <c r="Z174" s="39"/>
      <c r="AB174"/>
      <c r="AC174"/>
      <c r="AD174"/>
    </row>
    <row r="175" spans="1:30" s="3" customFormat="1" ht="27" customHeight="1" x14ac:dyDescent="0.25">
      <c r="A175" s="134">
        <f t="shared" si="19"/>
        <v>172</v>
      </c>
      <c r="B175" s="164" t="s">
        <v>372</v>
      </c>
      <c r="C175" s="71" t="s">
        <v>208</v>
      </c>
      <c r="D175" s="72" t="s">
        <v>149</v>
      </c>
      <c r="E175" s="72" t="s">
        <v>214</v>
      </c>
      <c r="F175" s="34" t="s">
        <v>56</v>
      </c>
      <c r="G175" s="71" t="s">
        <v>208</v>
      </c>
      <c r="H175" s="34" t="s">
        <v>56</v>
      </c>
      <c r="I175" s="120">
        <v>0.87</v>
      </c>
      <c r="J175" s="125">
        <v>0</v>
      </c>
      <c r="K175" s="124">
        <v>0</v>
      </c>
      <c r="L175" s="122" t="s">
        <v>57</v>
      </c>
      <c r="M175" s="124" t="s">
        <v>57</v>
      </c>
      <c r="N175" s="120">
        <v>0.87</v>
      </c>
      <c r="O175" s="34">
        <v>0.87</v>
      </c>
      <c r="P175" s="39"/>
      <c r="Q175" s="39"/>
      <c r="R175" s="39"/>
      <c r="S175" s="39"/>
      <c r="T175" s="39"/>
      <c r="U175" s="39"/>
      <c r="V175" s="39"/>
      <c r="W175" s="39"/>
      <c r="X175" s="39"/>
      <c r="Y175" s="39"/>
      <c r="Z175" s="39"/>
      <c r="AB175"/>
      <c r="AC175"/>
      <c r="AD175"/>
    </row>
    <row r="176" spans="1:30" s="3" customFormat="1" ht="27" customHeight="1" x14ac:dyDescent="0.25">
      <c r="A176" s="134">
        <f t="shared" si="19"/>
        <v>173</v>
      </c>
      <c r="B176" s="164" t="s">
        <v>372</v>
      </c>
      <c r="C176" s="71" t="s">
        <v>208</v>
      </c>
      <c r="D176" s="72" t="s">
        <v>172</v>
      </c>
      <c r="E176" s="72" t="s">
        <v>215</v>
      </c>
      <c r="F176" s="34" t="s">
        <v>56</v>
      </c>
      <c r="G176" s="71" t="s">
        <v>208</v>
      </c>
      <c r="H176" s="34" t="s">
        <v>56</v>
      </c>
      <c r="I176" s="120">
        <v>0.31</v>
      </c>
      <c r="J176" s="125">
        <v>0</v>
      </c>
      <c r="K176" s="124">
        <v>0</v>
      </c>
      <c r="L176" s="122" t="s">
        <v>57</v>
      </c>
      <c r="M176" s="124" t="s">
        <v>57</v>
      </c>
      <c r="N176" s="120">
        <v>0.31</v>
      </c>
      <c r="O176" s="34">
        <v>0.31</v>
      </c>
      <c r="P176" s="39"/>
      <c r="Q176" s="39"/>
      <c r="R176" s="39"/>
      <c r="S176" s="39"/>
      <c r="T176" s="39"/>
      <c r="U176" s="39"/>
      <c r="V176" s="39"/>
      <c r="W176" s="39"/>
      <c r="X176" s="39"/>
      <c r="Y176" s="39"/>
      <c r="Z176" s="39"/>
      <c r="AB176"/>
      <c r="AC176"/>
      <c r="AD176"/>
    </row>
    <row r="177" spans="1:35" s="3" customFormat="1" ht="27" customHeight="1" x14ac:dyDescent="0.25">
      <c r="A177" s="134">
        <f t="shared" si="19"/>
        <v>174</v>
      </c>
      <c r="B177" s="164" t="s">
        <v>372</v>
      </c>
      <c r="C177" s="71" t="s">
        <v>208</v>
      </c>
      <c r="D177" s="72" t="s">
        <v>174</v>
      </c>
      <c r="E177" s="72" t="s">
        <v>216</v>
      </c>
      <c r="F177" s="34" t="s">
        <v>56</v>
      </c>
      <c r="G177" s="71" t="s">
        <v>208</v>
      </c>
      <c r="H177" s="34" t="s">
        <v>56</v>
      </c>
      <c r="I177" s="120">
        <v>0.3</v>
      </c>
      <c r="J177" s="125">
        <v>0</v>
      </c>
      <c r="K177" s="124">
        <v>0</v>
      </c>
      <c r="L177" s="122" t="s">
        <v>57</v>
      </c>
      <c r="M177" s="124" t="s">
        <v>57</v>
      </c>
      <c r="N177" s="120">
        <v>0.3</v>
      </c>
      <c r="O177" s="34">
        <v>0.3</v>
      </c>
      <c r="P177" s="39"/>
      <c r="Q177" s="39"/>
      <c r="R177" s="39"/>
      <c r="S177" s="39"/>
      <c r="T177" s="39"/>
      <c r="U177" s="39"/>
      <c r="V177" s="39"/>
      <c r="W177" s="39"/>
      <c r="X177" s="39"/>
      <c r="Y177" s="39"/>
      <c r="Z177" s="39"/>
      <c r="AB177"/>
      <c r="AC177"/>
      <c r="AD177"/>
    </row>
    <row r="178" spans="1:35" s="3" customFormat="1" ht="27" customHeight="1" x14ac:dyDescent="0.25">
      <c r="A178" s="134">
        <f t="shared" si="19"/>
        <v>175</v>
      </c>
      <c r="B178" s="164" t="s">
        <v>372</v>
      </c>
      <c r="C178" s="71" t="s">
        <v>208</v>
      </c>
      <c r="D178" s="72" t="s">
        <v>175</v>
      </c>
      <c r="E178" s="72" t="s">
        <v>217</v>
      </c>
      <c r="F178" s="34" t="s">
        <v>56</v>
      </c>
      <c r="G178" s="71" t="s">
        <v>208</v>
      </c>
      <c r="H178" s="34" t="s">
        <v>56</v>
      </c>
      <c r="I178" s="120">
        <v>0.2</v>
      </c>
      <c r="J178" s="125">
        <v>0</v>
      </c>
      <c r="K178" s="124">
        <v>0</v>
      </c>
      <c r="L178" s="122" t="s">
        <v>57</v>
      </c>
      <c r="M178" s="124" t="s">
        <v>57</v>
      </c>
      <c r="N178" s="120">
        <v>0.2</v>
      </c>
      <c r="O178" s="34">
        <v>0.2</v>
      </c>
      <c r="P178" s="39"/>
      <c r="Q178" s="39"/>
      <c r="R178" s="39"/>
      <c r="S178" s="39"/>
      <c r="T178" s="39"/>
      <c r="U178" s="39"/>
      <c r="V178" s="39"/>
      <c r="W178" s="39"/>
      <c r="X178" s="39"/>
      <c r="Y178" s="39"/>
      <c r="Z178" s="39"/>
      <c r="AB178"/>
      <c r="AC178"/>
      <c r="AD178"/>
    </row>
    <row r="179" spans="1:35" s="3" customFormat="1" ht="27" customHeight="1" x14ac:dyDescent="0.25">
      <c r="A179" s="134">
        <f t="shared" si="19"/>
        <v>176</v>
      </c>
      <c r="B179" s="164" t="s">
        <v>372</v>
      </c>
      <c r="C179" s="71" t="s">
        <v>209</v>
      </c>
      <c r="D179" s="72" t="s">
        <v>149</v>
      </c>
      <c r="E179" s="72" t="s">
        <v>218</v>
      </c>
      <c r="F179" s="34" t="s">
        <v>56</v>
      </c>
      <c r="G179" s="71" t="s">
        <v>209</v>
      </c>
      <c r="H179" s="34" t="s">
        <v>56</v>
      </c>
      <c r="I179" s="120">
        <v>1.23</v>
      </c>
      <c r="J179" s="125">
        <v>0</v>
      </c>
      <c r="K179" s="124">
        <v>0</v>
      </c>
      <c r="L179" s="122" t="s">
        <v>57</v>
      </c>
      <c r="M179" s="124" t="s">
        <v>57</v>
      </c>
      <c r="N179" s="120">
        <v>1.23</v>
      </c>
      <c r="O179" s="34">
        <v>1.23</v>
      </c>
      <c r="P179" s="39"/>
      <c r="Q179" s="39"/>
      <c r="R179" s="39"/>
      <c r="S179" s="39"/>
      <c r="T179" s="39"/>
      <c r="U179" s="39"/>
      <c r="V179" s="39"/>
      <c r="W179" s="39"/>
      <c r="X179" s="39"/>
      <c r="Y179" s="39"/>
      <c r="Z179" s="39"/>
      <c r="AB179"/>
      <c r="AC179"/>
      <c r="AD179"/>
    </row>
    <row r="180" spans="1:35" s="3" customFormat="1" ht="27" customHeight="1" x14ac:dyDescent="0.25">
      <c r="A180" s="134">
        <f t="shared" si="19"/>
        <v>177</v>
      </c>
      <c r="B180" s="164" t="s">
        <v>372</v>
      </c>
      <c r="C180" s="71" t="s">
        <v>209</v>
      </c>
      <c r="D180" s="72" t="s">
        <v>172</v>
      </c>
      <c r="E180" s="72" t="s">
        <v>219</v>
      </c>
      <c r="F180" s="34" t="s">
        <v>56</v>
      </c>
      <c r="G180" s="71" t="s">
        <v>209</v>
      </c>
      <c r="H180" s="34" t="s">
        <v>56</v>
      </c>
      <c r="I180" s="120">
        <v>0.42</v>
      </c>
      <c r="J180" s="125">
        <v>0</v>
      </c>
      <c r="K180" s="124">
        <v>0</v>
      </c>
      <c r="L180" s="122" t="s">
        <v>57</v>
      </c>
      <c r="M180" s="124" t="s">
        <v>57</v>
      </c>
      <c r="N180" s="120">
        <v>0.42</v>
      </c>
      <c r="O180" s="34">
        <v>0.42</v>
      </c>
      <c r="P180" s="39"/>
      <c r="Q180" s="39"/>
      <c r="R180" s="39"/>
      <c r="S180" s="39"/>
      <c r="T180" s="39"/>
      <c r="U180" s="39"/>
      <c r="V180" s="39"/>
      <c r="W180" s="39"/>
      <c r="X180" s="39"/>
      <c r="Y180" s="39"/>
      <c r="Z180" s="39"/>
      <c r="AB180"/>
      <c r="AC180"/>
      <c r="AD180"/>
    </row>
    <row r="181" spans="1:35" s="3" customFormat="1" ht="26.25" customHeight="1" x14ac:dyDescent="0.25">
      <c r="A181" s="134">
        <f t="shared" si="19"/>
        <v>178</v>
      </c>
      <c r="B181" s="164" t="s">
        <v>372</v>
      </c>
      <c r="C181" s="71" t="s">
        <v>209</v>
      </c>
      <c r="D181" s="72" t="s">
        <v>174</v>
      </c>
      <c r="E181" s="72" t="s">
        <v>220</v>
      </c>
      <c r="F181" s="34" t="s">
        <v>56</v>
      </c>
      <c r="G181" s="71" t="s">
        <v>209</v>
      </c>
      <c r="H181" s="34" t="s">
        <v>56</v>
      </c>
      <c r="I181" s="120">
        <v>0.49</v>
      </c>
      <c r="J181" s="125">
        <v>0</v>
      </c>
      <c r="K181" s="124">
        <v>0</v>
      </c>
      <c r="L181" s="122" t="s">
        <v>57</v>
      </c>
      <c r="M181" s="124" t="s">
        <v>57</v>
      </c>
      <c r="N181" s="120">
        <v>0.49</v>
      </c>
      <c r="O181" s="34">
        <v>0.49</v>
      </c>
      <c r="P181" s="39"/>
      <c r="Q181" s="39"/>
      <c r="R181" s="39"/>
      <c r="S181" s="39"/>
      <c r="T181" s="39"/>
      <c r="U181" s="39"/>
      <c r="V181" s="39"/>
      <c r="W181" s="39"/>
      <c r="X181" s="39"/>
      <c r="Y181" s="39"/>
      <c r="Z181" s="39"/>
      <c r="AB181"/>
      <c r="AC181"/>
      <c r="AD181"/>
    </row>
    <row r="182" spans="1:35" s="3" customFormat="1" ht="26.25" customHeight="1" x14ac:dyDescent="0.25">
      <c r="A182" s="134">
        <f t="shared" si="19"/>
        <v>179</v>
      </c>
      <c r="B182" s="164" t="s">
        <v>372</v>
      </c>
      <c r="C182" s="71" t="s">
        <v>209</v>
      </c>
      <c r="D182" s="72" t="s">
        <v>175</v>
      </c>
      <c r="E182" s="72" t="s">
        <v>221</v>
      </c>
      <c r="F182" s="34" t="s">
        <v>56</v>
      </c>
      <c r="G182" s="71" t="s">
        <v>209</v>
      </c>
      <c r="H182" s="34" t="s">
        <v>56</v>
      </c>
      <c r="I182" s="120">
        <v>0.3</v>
      </c>
      <c r="J182" s="125">
        <v>0</v>
      </c>
      <c r="K182" s="124">
        <v>0</v>
      </c>
      <c r="L182" s="122" t="s">
        <v>57</v>
      </c>
      <c r="M182" s="124" t="s">
        <v>57</v>
      </c>
      <c r="N182" s="120">
        <v>0.3</v>
      </c>
      <c r="O182" s="34">
        <v>0.3</v>
      </c>
      <c r="P182" s="39"/>
      <c r="Q182" s="39"/>
      <c r="R182" s="39"/>
      <c r="S182" s="39"/>
      <c r="T182" s="39"/>
      <c r="U182" s="39"/>
      <c r="V182" s="39"/>
      <c r="W182" s="39"/>
      <c r="X182" s="39"/>
      <c r="Y182" s="39"/>
      <c r="Z182" s="39"/>
      <c r="AB182"/>
      <c r="AC182"/>
      <c r="AD182"/>
    </row>
    <row r="183" spans="1:35" s="3" customFormat="1" ht="26.25" customHeight="1" x14ac:dyDescent="0.25">
      <c r="A183" s="134">
        <f t="shared" si="19"/>
        <v>180</v>
      </c>
      <c r="B183" s="164" t="s">
        <v>372</v>
      </c>
      <c r="C183" s="71" t="s">
        <v>209</v>
      </c>
      <c r="D183" s="72" t="s">
        <v>178</v>
      </c>
      <c r="E183" s="72" t="s">
        <v>510</v>
      </c>
      <c r="F183" s="34" t="s">
        <v>56</v>
      </c>
      <c r="G183" s="71" t="s">
        <v>209</v>
      </c>
      <c r="H183" s="34" t="s">
        <v>56</v>
      </c>
      <c r="I183" s="120">
        <v>34</v>
      </c>
      <c r="J183" s="125">
        <v>0</v>
      </c>
      <c r="K183" s="124">
        <v>0</v>
      </c>
      <c r="L183" s="122" t="s">
        <v>57</v>
      </c>
      <c r="M183" s="124" t="s">
        <v>57</v>
      </c>
      <c r="N183" s="120">
        <f>34/0.855</f>
        <v>39.76608187134503</v>
      </c>
      <c r="O183" s="34">
        <f>34/0.855</f>
        <v>39.76608187134503</v>
      </c>
      <c r="P183" s="39"/>
      <c r="Q183" s="39"/>
      <c r="R183" s="39"/>
      <c r="S183" s="39"/>
      <c r="T183" s="39"/>
      <c r="U183" s="39"/>
      <c r="V183" s="39"/>
      <c r="W183" s="39"/>
      <c r="X183" s="39"/>
      <c r="Y183" s="39"/>
      <c r="Z183" s="39"/>
      <c r="AB183"/>
      <c r="AC183"/>
      <c r="AD183"/>
    </row>
    <row r="184" spans="1:35" s="3" customFormat="1" ht="46.5" customHeight="1" x14ac:dyDescent="0.25">
      <c r="A184" s="134">
        <f t="shared" si="19"/>
        <v>181</v>
      </c>
      <c r="B184" s="110" t="s">
        <v>373</v>
      </c>
      <c r="C184" s="71" t="s">
        <v>56</v>
      </c>
      <c r="D184" s="72" t="str">
        <f>D51</f>
        <v>B Medical</v>
      </c>
      <c r="E184" s="72" t="str">
        <f>E51&amp;" -spare parts"</f>
        <v>TCW 40R AC -spare parts</v>
      </c>
      <c r="F184" s="34" t="s">
        <v>56</v>
      </c>
      <c r="G184" s="34" t="s">
        <v>56</v>
      </c>
      <c r="H184" s="34" t="s">
        <v>56</v>
      </c>
      <c r="I184" s="120" t="s">
        <v>56</v>
      </c>
      <c r="J184" s="125">
        <v>0</v>
      </c>
      <c r="K184" s="124">
        <v>0</v>
      </c>
      <c r="L184" s="122" t="s">
        <v>57</v>
      </c>
      <c r="M184" s="124" t="s">
        <v>57</v>
      </c>
      <c r="N184" s="126" t="s">
        <v>56</v>
      </c>
      <c r="O184" s="34" t="s">
        <v>56</v>
      </c>
      <c r="P184" s="39"/>
      <c r="Q184" s="39"/>
      <c r="R184" s="39"/>
      <c r="S184" s="39"/>
      <c r="T184" s="39"/>
      <c r="U184" s="39"/>
      <c r="V184" s="39"/>
      <c r="W184" s="39"/>
      <c r="X184" s="39"/>
      <c r="Y184" s="39"/>
      <c r="Z184" s="39"/>
      <c r="AB184"/>
      <c r="AC184"/>
      <c r="AD184"/>
    </row>
    <row r="185" spans="1:35" ht="45" x14ac:dyDescent="0.25">
      <c r="A185" s="134">
        <f t="shared" si="19"/>
        <v>182</v>
      </c>
      <c r="B185" s="110" t="s">
        <v>373</v>
      </c>
      <c r="C185" s="71" t="s">
        <v>56</v>
      </c>
      <c r="D185" s="72" t="str">
        <f t="shared" ref="D185:D236" si="22">D52</f>
        <v>Aucma</v>
      </c>
      <c r="E185" s="72" t="str">
        <f t="shared" ref="E185:E236" si="23">E52&amp;" -spare parts"</f>
        <v>CFD-50 -spare parts</v>
      </c>
      <c r="F185" s="34" t="s">
        <v>56</v>
      </c>
      <c r="G185" s="34" t="s">
        <v>56</v>
      </c>
      <c r="H185" s="34" t="s">
        <v>56</v>
      </c>
      <c r="I185" s="120" t="s">
        <v>56</v>
      </c>
      <c r="J185" s="125">
        <v>0</v>
      </c>
      <c r="K185" s="124">
        <v>0</v>
      </c>
      <c r="L185" s="122" t="s">
        <v>57</v>
      </c>
      <c r="M185" s="124" t="s">
        <v>57</v>
      </c>
      <c r="N185" s="126" t="s">
        <v>56</v>
      </c>
      <c r="O185" s="34" t="s">
        <v>56</v>
      </c>
      <c r="P185" s="39"/>
      <c r="AI185" s="3"/>
    </row>
    <row r="186" spans="1:35" ht="45" x14ac:dyDescent="0.25">
      <c r="A186" s="134">
        <f t="shared" si="19"/>
        <v>183</v>
      </c>
      <c r="B186" s="110" t="s">
        <v>373</v>
      </c>
      <c r="C186" s="71" t="s">
        <v>56</v>
      </c>
      <c r="D186" s="72" t="str">
        <f t="shared" si="22"/>
        <v xml:space="preserve">Godrej &amp; Boyce </v>
      </c>
      <c r="E186" s="72" t="str">
        <f t="shared" si="23"/>
        <v>GVR 51 Lite AC -spare parts</v>
      </c>
      <c r="F186" s="34" t="s">
        <v>56</v>
      </c>
      <c r="G186" s="34" t="s">
        <v>56</v>
      </c>
      <c r="H186" s="34" t="s">
        <v>56</v>
      </c>
      <c r="I186" s="120" t="s">
        <v>56</v>
      </c>
      <c r="J186" s="125">
        <v>0</v>
      </c>
      <c r="K186" s="124">
        <v>0</v>
      </c>
      <c r="L186" s="122" t="s">
        <v>57</v>
      </c>
      <c r="M186" s="124" t="s">
        <v>57</v>
      </c>
      <c r="N186" s="126" t="s">
        <v>56</v>
      </c>
      <c r="O186" s="34" t="s">
        <v>56</v>
      </c>
      <c r="P186" s="39"/>
    </row>
    <row r="187" spans="1:35" ht="45" x14ac:dyDescent="0.25">
      <c r="A187" s="134">
        <f t="shared" si="19"/>
        <v>184</v>
      </c>
      <c r="B187" s="110" t="s">
        <v>373</v>
      </c>
      <c r="C187" s="71" t="s">
        <v>56</v>
      </c>
      <c r="D187" s="72" t="str">
        <f t="shared" si="22"/>
        <v>Vestfrost</v>
      </c>
      <c r="E187" s="72" t="str">
        <f t="shared" si="23"/>
        <v>VLS 204A -spare parts</v>
      </c>
      <c r="F187" s="34" t="s">
        <v>56</v>
      </c>
      <c r="G187" s="34" t="s">
        <v>56</v>
      </c>
      <c r="H187" s="34" t="s">
        <v>56</v>
      </c>
      <c r="I187" s="120" t="s">
        <v>56</v>
      </c>
      <c r="J187" s="125">
        <v>0</v>
      </c>
      <c r="K187" s="124">
        <v>0</v>
      </c>
      <c r="L187" s="122" t="s">
        <v>57</v>
      </c>
      <c r="M187" s="124" t="s">
        <v>57</v>
      </c>
      <c r="N187" s="126" t="s">
        <v>56</v>
      </c>
      <c r="O187" s="34" t="s">
        <v>56</v>
      </c>
      <c r="P187" s="39"/>
    </row>
    <row r="188" spans="1:35" ht="45" x14ac:dyDescent="0.25">
      <c r="A188" s="134">
        <f t="shared" si="19"/>
        <v>185</v>
      </c>
      <c r="B188" s="110" t="s">
        <v>373</v>
      </c>
      <c r="C188" s="71" t="s">
        <v>56</v>
      </c>
      <c r="D188" s="72" t="str">
        <f t="shared" si="22"/>
        <v>Haier</v>
      </c>
      <c r="E188" s="72" t="str">
        <f t="shared" si="23"/>
        <v>HBC 80 -spare parts</v>
      </c>
      <c r="F188" s="34" t="s">
        <v>56</v>
      </c>
      <c r="G188" s="34" t="s">
        <v>56</v>
      </c>
      <c r="H188" s="34" t="s">
        <v>56</v>
      </c>
      <c r="I188" s="120" t="s">
        <v>56</v>
      </c>
      <c r="J188" s="125">
        <v>0</v>
      </c>
      <c r="K188" s="124">
        <v>0</v>
      </c>
      <c r="L188" s="122" t="s">
        <v>57</v>
      </c>
      <c r="M188" s="124" t="s">
        <v>57</v>
      </c>
      <c r="N188" s="126" t="s">
        <v>56</v>
      </c>
      <c r="O188" s="34" t="s">
        <v>56</v>
      </c>
      <c r="P188" s="39"/>
    </row>
    <row r="189" spans="1:35" ht="45" x14ac:dyDescent="0.25">
      <c r="A189" s="134">
        <f t="shared" si="19"/>
        <v>186</v>
      </c>
      <c r="B189" s="110" t="s">
        <v>373</v>
      </c>
      <c r="C189" s="71" t="s">
        <v>56</v>
      </c>
      <c r="D189" s="72" t="str">
        <f t="shared" si="22"/>
        <v xml:space="preserve">Godrej &amp; Boyce </v>
      </c>
      <c r="E189" s="72" t="str">
        <f t="shared" si="23"/>
        <v>GVR 75 Lite AC -spare parts</v>
      </c>
      <c r="F189" s="34" t="s">
        <v>56</v>
      </c>
      <c r="G189" s="34" t="s">
        <v>56</v>
      </c>
      <c r="H189" s="34" t="s">
        <v>56</v>
      </c>
      <c r="I189" s="120" t="s">
        <v>56</v>
      </c>
      <c r="J189" s="125">
        <v>0</v>
      </c>
      <c r="K189" s="124">
        <v>0</v>
      </c>
      <c r="L189" s="122" t="s">
        <v>57</v>
      </c>
      <c r="M189" s="124" t="s">
        <v>57</v>
      </c>
      <c r="N189" s="126" t="s">
        <v>56</v>
      </c>
      <c r="O189" s="34" t="s">
        <v>56</v>
      </c>
      <c r="P189" s="39"/>
    </row>
    <row r="190" spans="1:35" ht="45" x14ac:dyDescent="0.25">
      <c r="A190" s="134">
        <f t="shared" si="19"/>
        <v>187</v>
      </c>
      <c r="B190" s="110" t="s">
        <v>373</v>
      </c>
      <c r="C190" s="71" t="s">
        <v>56</v>
      </c>
      <c r="D190" s="72" t="str">
        <f t="shared" si="22"/>
        <v>B Medical</v>
      </c>
      <c r="E190" s="72" t="str">
        <f t="shared" si="23"/>
        <v>TCW 80 AC -spare parts</v>
      </c>
      <c r="F190" s="34" t="s">
        <v>56</v>
      </c>
      <c r="G190" s="34" t="s">
        <v>56</v>
      </c>
      <c r="H190" s="34" t="s">
        <v>56</v>
      </c>
      <c r="I190" s="120" t="s">
        <v>56</v>
      </c>
      <c r="J190" s="125">
        <v>0</v>
      </c>
      <c r="K190" s="124">
        <v>0</v>
      </c>
      <c r="L190" s="122" t="s">
        <v>57</v>
      </c>
      <c r="M190" s="124" t="s">
        <v>57</v>
      </c>
      <c r="N190" s="126" t="s">
        <v>56</v>
      </c>
      <c r="O190" s="34" t="s">
        <v>56</v>
      </c>
      <c r="P190" s="39"/>
    </row>
    <row r="191" spans="1:35" ht="45" x14ac:dyDescent="0.25">
      <c r="A191" s="134">
        <f t="shared" si="19"/>
        <v>188</v>
      </c>
      <c r="B191" s="110" t="s">
        <v>373</v>
      </c>
      <c r="C191" s="71" t="s">
        <v>56</v>
      </c>
      <c r="D191" s="72" t="str">
        <f t="shared" si="22"/>
        <v>Vestfrost</v>
      </c>
      <c r="E191" s="72" t="str">
        <f t="shared" si="23"/>
        <v>VLS 304A AC -spare parts</v>
      </c>
      <c r="F191" s="34" t="s">
        <v>56</v>
      </c>
      <c r="G191" s="34" t="s">
        <v>56</v>
      </c>
      <c r="H191" s="34" t="s">
        <v>56</v>
      </c>
      <c r="I191" s="120" t="s">
        <v>56</v>
      </c>
      <c r="J191" s="125">
        <v>0</v>
      </c>
      <c r="K191" s="124">
        <v>0</v>
      </c>
      <c r="L191" s="122" t="s">
        <v>57</v>
      </c>
      <c r="M191" s="124" t="s">
        <v>57</v>
      </c>
      <c r="N191" s="126" t="s">
        <v>56</v>
      </c>
      <c r="O191" s="34" t="s">
        <v>56</v>
      </c>
      <c r="P191" s="39"/>
    </row>
    <row r="192" spans="1:35" ht="45" x14ac:dyDescent="0.25">
      <c r="A192" s="134">
        <f t="shared" si="19"/>
        <v>189</v>
      </c>
      <c r="B192" s="110" t="s">
        <v>373</v>
      </c>
      <c r="C192" s="71" t="s">
        <v>56</v>
      </c>
      <c r="D192" s="72" t="str">
        <f t="shared" si="22"/>
        <v xml:space="preserve">Godrej &amp; Boyce </v>
      </c>
      <c r="E192" s="72" t="str">
        <f t="shared" si="23"/>
        <v>GVR 99 Lite AC -spare parts</v>
      </c>
      <c r="F192" s="34" t="s">
        <v>56</v>
      </c>
      <c r="G192" s="34" t="s">
        <v>56</v>
      </c>
      <c r="H192" s="34" t="s">
        <v>56</v>
      </c>
      <c r="I192" s="120" t="s">
        <v>56</v>
      </c>
      <c r="J192" s="125">
        <v>0</v>
      </c>
      <c r="K192" s="124">
        <v>0</v>
      </c>
      <c r="L192" s="122" t="s">
        <v>57</v>
      </c>
      <c r="M192" s="124" t="s">
        <v>57</v>
      </c>
      <c r="N192" s="126" t="s">
        <v>56</v>
      </c>
      <c r="O192" s="34" t="s">
        <v>56</v>
      </c>
      <c r="P192" s="39"/>
    </row>
    <row r="193" spans="1:16" ht="45" x14ac:dyDescent="0.25">
      <c r="A193" s="134">
        <f t="shared" si="19"/>
        <v>190</v>
      </c>
      <c r="B193" s="110" t="s">
        <v>373</v>
      </c>
      <c r="C193" s="71" t="s">
        <v>56</v>
      </c>
      <c r="D193" s="72" t="str">
        <f t="shared" si="22"/>
        <v>Haier</v>
      </c>
      <c r="E193" s="72" t="str">
        <f t="shared" si="23"/>
        <v>HBC-120 -spare parts</v>
      </c>
      <c r="F193" s="34" t="s">
        <v>56</v>
      </c>
      <c r="G193" s="34" t="s">
        <v>56</v>
      </c>
      <c r="H193" s="34" t="s">
        <v>56</v>
      </c>
      <c r="I193" s="120" t="s">
        <v>56</v>
      </c>
      <c r="J193" s="125">
        <v>0</v>
      </c>
      <c r="K193" s="124">
        <v>0</v>
      </c>
      <c r="L193" s="122" t="s">
        <v>57</v>
      </c>
      <c r="M193" s="124" t="s">
        <v>57</v>
      </c>
      <c r="N193" s="126" t="s">
        <v>56</v>
      </c>
      <c r="O193" s="34" t="s">
        <v>56</v>
      </c>
      <c r="P193" s="39"/>
    </row>
    <row r="194" spans="1:16" ht="45" x14ac:dyDescent="0.25">
      <c r="A194" s="134">
        <f t="shared" si="19"/>
        <v>191</v>
      </c>
      <c r="B194" s="110" t="s">
        <v>373</v>
      </c>
      <c r="C194" s="71" t="s">
        <v>56</v>
      </c>
      <c r="D194" s="72" t="str">
        <f t="shared" si="22"/>
        <v>Vestfrost</v>
      </c>
      <c r="E194" s="72" t="str">
        <f t="shared" si="23"/>
        <v>VLS 404A AC -spare parts</v>
      </c>
      <c r="F194" s="34" t="s">
        <v>56</v>
      </c>
      <c r="G194" s="34" t="s">
        <v>56</v>
      </c>
      <c r="H194" s="34" t="s">
        <v>56</v>
      </c>
      <c r="I194" s="120" t="s">
        <v>56</v>
      </c>
      <c r="J194" s="125">
        <v>0</v>
      </c>
      <c r="K194" s="124">
        <v>0</v>
      </c>
      <c r="L194" s="122" t="s">
        <v>57</v>
      </c>
      <c r="M194" s="124" t="s">
        <v>57</v>
      </c>
      <c r="N194" s="126" t="s">
        <v>56</v>
      </c>
      <c r="O194" s="34" t="s">
        <v>56</v>
      </c>
      <c r="P194" s="39"/>
    </row>
    <row r="195" spans="1:16" ht="45" x14ac:dyDescent="0.25">
      <c r="A195" s="134">
        <f t="shared" si="19"/>
        <v>192</v>
      </c>
      <c r="B195" s="110" t="s">
        <v>373</v>
      </c>
      <c r="C195" s="71" t="s">
        <v>56</v>
      </c>
      <c r="D195" s="72" t="str">
        <f t="shared" si="22"/>
        <v>Dulas Solar</v>
      </c>
      <c r="E195" s="72" t="str">
        <f t="shared" si="23"/>
        <v>VC 225 ILR -spare parts</v>
      </c>
      <c r="F195" s="34" t="s">
        <v>56</v>
      </c>
      <c r="G195" s="34" t="s">
        <v>56</v>
      </c>
      <c r="H195" s="34" t="s">
        <v>56</v>
      </c>
      <c r="I195" s="120" t="s">
        <v>56</v>
      </c>
      <c r="J195" s="125">
        <v>0</v>
      </c>
      <c r="K195" s="124">
        <v>0</v>
      </c>
      <c r="L195" s="122" t="s">
        <v>57</v>
      </c>
      <c r="M195" s="124" t="s">
        <v>57</v>
      </c>
      <c r="N195" s="126" t="s">
        <v>56</v>
      </c>
      <c r="O195" s="34" t="s">
        <v>56</v>
      </c>
      <c r="P195" s="39"/>
    </row>
    <row r="196" spans="1:16" ht="45" x14ac:dyDescent="0.25">
      <c r="A196" s="134">
        <f t="shared" si="19"/>
        <v>193</v>
      </c>
      <c r="B196" s="110" t="s">
        <v>373</v>
      </c>
      <c r="C196" s="71" t="s">
        <v>56</v>
      </c>
      <c r="D196" s="72" t="str">
        <f t="shared" si="22"/>
        <v>Haier</v>
      </c>
      <c r="E196" s="72" t="str">
        <f t="shared" si="23"/>
        <v>HBC 260 -spare parts</v>
      </c>
      <c r="F196" s="34" t="s">
        <v>56</v>
      </c>
      <c r="G196" s="34" t="s">
        <v>56</v>
      </c>
      <c r="H196" s="34" t="s">
        <v>56</v>
      </c>
      <c r="I196" s="120" t="s">
        <v>56</v>
      </c>
      <c r="J196" s="125">
        <v>0</v>
      </c>
      <c r="K196" s="124">
        <v>0</v>
      </c>
      <c r="L196" s="122" t="s">
        <v>57</v>
      </c>
      <c r="M196" s="124" t="s">
        <v>57</v>
      </c>
      <c r="N196" s="126" t="s">
        <v>56</v>
      </c>
      <c r="O196" s="34" t="s">
        <v>56</v>
      </c>
      <c r="P196" s="39"/>
    </row>
    <row r="197" spans="1:16" ht="45" x14ac:dyDescent="0.25">
      <c r="A197" s="134">
        <f t="shared" si="19"/>
        <v>194</v>
      </c>
      <c r="B197" s="110" t="s">
        <v>373</v>
      </c>
      <c r="C197" s="71" t="s">
        <v>56</v>
      </c>
      <c r="D197" s="72" t="str">
        <f t="shared" si="22"/>
        <v xml:space="preserve">Godrej &amp; Boyce </v>
      </c>
      <c r="E197" s="72" t="str">
        <f t="shared" si="23"/>
        <v>GVR 225 AC -spare parts</v>
      </c>
      <c r="F197" s="34" t="s">
        <v>56</v>
      </c>
      <c r="G197" s="34" t="s">
        <v>56</v>
      </c>
      <c r="H197" s="34" t="s">
        <v>56</v>
      </c>
      <c r="I197" s="120" t="s">
        <v>56</v>
      </c>
      <c r="J197" s="125">
        <v>0</v>
      </c>
      <c r="K197" s="124">
        <v>0</v>
      </c>
      <c r="L197" s="122" t="s">
        <v>57</v>
      </c>
      <c r="M197" s="124" t="s">
        <v>57</v>
      </c>
      <c r="N197" s="126" t="s">
        <v>56</v>
      </c>
      <c r="O197" s="34" t="s">
        <v>56</v>
      </c>
      <c r="P197" s="39"/>
    </row>
    <row r="198" spans="1:16" ht="45" x14ac:dyDescent="0.25">
      <c r="A198" s="134">
        <f t="shared" si="19"/>
        <v>195</v>
      </c>
      <c r="B198" s="110" t="s">
        <v>373</v>
      </c>
      <c r="C198" s="71" t="s">
        <v>56</v>
      </c>
      <c r="D198" s="72" t="str">
        <f t="shared" si="22"/>
        <v>B Medical</v>
      </c>
      <c r="E198" s="72" t="str">
        <f t="shared" si="23"/>
        <v>TCW 4000 AC -spare parts</v>
      </c>
      <c r="F198" s="34" t="s">
        <v>56</v>
      </c>
      <c r="G198" s="34" t="s">
        <v>56</v>
      </c>
      <c r="H198" s="34" t="s">
        <v>56</v>
      </c>
      <c r="I198" s="120" t="s">
        <v>56</v>
      </c>
      <c r="J198" s="125">
        <v>0</v>
      </c>
      <c r="K198" s="124">
        <v>0</v>
      </c>
      <c r="L198" s="122" t="s">
        <v>57</v>
      </c>
      <c r="M198" s="124" t="s">
        <v>57</v>
      </c>
      <c r="N198" s="126" t="s">
        <v>56</v>
      </c>
      <c r="O198" s="34" t="s">
        <v>56</v>
      </c>
      <c r="P198" s="39"/>
    </row>
    <row r="199" spans="1:16" ht="45" x14ac:dyDescent="0.25">
      <c r="A199" s="134">
        <f t="shared" si="19"/>
        <v>196</v>
      </c>
      <c r="B199" s="111" t="s">
        <v>374</v>
      </c>
      <c r="C199" s="71" t="s">
        <v>56</v>
      </c>
      <c r="D199" s="72" t="str">
        <f t="shared" si="22"/>
        <v>Haier</v>
      </c>
      <c r="E199" s="72" t="str">
        <f t="shared" si="23"/>
        <v>HBCD - 90 -spare parts</v>
      </c>
      <c r="F199" s="34" t="s">
        <v>56</v>
      </c>
      <c r="G199" s="34" t="s">
        <v>56</v>
      </c>
      <c r="H199" s="34" t="s">
        <v>56</v>
      </c>
      <c r="I199" s="120" t="s">
        <v>56</v>
      </c>
      <c r="J199" s="125">
        <v>0</v>
      </c>
      <c r="K199" s="124">
        <v>0</v>
      </c>
      <c r="L199" s="122" t="s">
        <v>57</v>
      </c>
      <c r="M199" s="124" t="s">
        <v>57</v>
      </c>
      <c r="N199" s="126" t="s">
        <v>56</v>
      </c>
      <c r="O199" s="34" t="s">
        <v>56</v>
      </c>
      <c r="P199" s="39"/>
    </row>
    <row r="200" spans="1:16" ht="45" x14ac:dyDescent="0.25">
      <c r="A200" s="134">
        <f t="shared" si="19"/>
        <v>197</v>
      </c>
      <c r="B200" s="111" t="s">
        <v>374</v>
      </c>
      <c r="C200" s="71" t="s">
        <v>56</v>
      </c>
      <c r="D200" s="72" t="str">
        <f t="shared" si="22"/>
        <v xml:space="preserve">Godrej &amp; Boyce </v>
      </c>
      <c r="E200" s="72" t="str">
        <f t="shared" si="23"/>
        <v>GVR 55 FF AC -spare parts</v>
      </c>
      <c r="F200" s="34" t="s">
        <v>56</v>
      </c>
      <c r="G200" s="34" t="s">
        <v>56</v>
      </c>
      <c r="H200" s="34" t="s">
        <v>56</v>
      </c>
      <c r="I200" s="120" t="s">
        <v>56</v>
      </c>
      <c r="J200" s="125">
        <v>0</v>
      </c>
      <c r="K200" s="124">
        <v>0</v>
      </c>
      <c r="L200" s="122" t="s">
        <v>57</v>
      </c>
      <c r="M200" s="124" t="s">
        <v>57</v>
      </c>
      <c r="N200" s="126" t="s">
        <v>56</v>
      </c>
      <c r="O200" s="34" t="s">
        <v>56</v>
      </c>
      <c r="P200" s="39"/>
    </row>
    <row r="201" spans="1:16" ht="45" x14ac:dyDescent="0.25">
      <c r="A201" s="134">
        <f t="shared" si="19"/>
        <v>198</v>
      </c>
      <c r="B201" s="111" t="s">
        <v>374</v>
      </c>
      <c r="C201" s="71" t="s">
        <v>56</v>
      </c>
      <c r="D201" s="72" t="str">
        <f t="shared" si="22"/>
        <v>Vestfrost</v>
      </c>
      <c r="E201" s="72" t="str">
        <f t="shared" si="23"/>
        <v>VLS 064 RF AC -spare parts</v>
      </c>
      <c r="F201" s="34" t="s">
        <v>56</v>
      </c>
      <c r="G201" s="34" t="s">
        <v>56</v>
      </c>
      <c r="H201" s="34" t="s">
        <v>56</v>
      </c>
      <c r="I201" s="120" t="s">
        <v>56</v>
      </c>
      <c r="J201" s="125">
        <v>0</v>
      </c>
      <c r="K201" s="124">
        <v>0</v>
      </c>
      <c r="L201" s="122" t="s">
        <v>57</v>
      </c>
      <c r="M201" s="124" t="s">
        <v>57</v>
      </c>
      <c r="N201" s="126" t="s">
        <v>56</v>
      </c>
      <c r="O201" s="34" t="s">
        <v>56</v>
      </c>
      <c r="P201" s="39"/>
    </row>
    <row r="202" spans="1:16" ht="45" x14ac:dyDescent="0.25">
      <c r="A202" s="134">
        <f t="shared" si="19"/>
        <v>199</v>
      </c>
      <c r="B202" s="111" t="s">
        <v>374</v>
      </c>
      <c r="C202" s="71" t="s">
        <v>56</v>
      </c>
      <c r="D202" s="72" t="str">
        <f t="shared" si="22"/>
        <v>B Medical</v>
      </c>
      <c r="E202" s="72" t="str">
        <f t="shared" si="23"/>
        <v>TCW 2000 AC -spare parts</v>
      </c>
      <c r="F202" s="34" t="s">
        <v>56</v>
      </c>
      <c r="G202" s="34" t="s">
        <v>56</v>
      </c>
      <c r="H202" s="34" t="s">
        <v>56</v>
      </c>
      <c r="I202" s="120" t="s">
        <v>56</v>
      </c>
      <c r="J202" s="125">
        <v>0</v>
      </c>
      <c r="K202" s="124">
        <v>0</v>
      </c>
      <c r="L202" s="122" t="s">
        <v>57</v>
      </c>
      <c r="M202" s="124" t="s">
        <v>57</v>
      </c>
      <c r="N202" s="126" t="s">
        <v>56</v>
      </c>
      <c r="O202" s="34" t="s">
        <v>56</v>
      </c>
      <c r="P202" s="39"/>
    </row>
    <row r="203" spans="1:16" ht="30" x14ac:dyDescent="0.25">
      <c r="A203" s="134">
        <f t="shared" si="19"/>
        <v>200</v>
      </c>
      <c r="B203" s="112" t="s">
        <v>375</v>
      </c>
      <c r="C203" s="71"/>
      <c r="D203" s="72" t="str">
        <f>D70</f>
        <v>Aucma</v>
      </c>
      <c r="E203" s="72" t="str">
        <f>E70&amp;" -spare parts"</f>
        <v>DW-25W147 -spare parts</v>
      </c>
      <c r="F203" s="34" t="s">
        <v>56</v>
      </c>
      <c r="G203" s="34" t="s">
        <v>56</v>
      </c>
      <c r="H203" s="34" t="s">
        <v>56</v>
      </c>
      <c r="I203" s="120" t="s">
        <v>56</v>
      </c>
      <c r="J203" s="125">
        <v>0</v>
      </c>
      <c r="K203" s="124">
        <v>0</v>
      </c>
      <c r="L203" s="122" t="s">
        <v>57</v>
      </c>
      <c r="M203" s="124" t="s">
        <v>57</v>
      </c>
      <c r="N203" s="126" t="s">
        <v>56</v>
      </c>
      <c r="O203" s="34" t="s">
        <v>56</v>
      </c>
      <c r="P203" s="39"/>
    </row>
    <row r="204" spans="1:16" ht="30" x14ac:dyDescent="0.25">
      <c r="A204" s="134">
        <f t="shared" si="19"/>
        <v>201</v>
      </c>
      <c r="B204" s="112" t="s">
        <v>375</v>
      </c>
      <c r="C204" s="71" t="s">
        <v>56</v>
      </c>
      <c r="D204" s="72" t="str">
        <f t="shared" si="22"/>
        <v>Vestfrost</v>
      </c>
      <c r="E204" s="72" t="str">
        <f t="shared" si="23"/>
        <v>MF 114 -spare parts</v>
      </c>
      <c r="F204" s="34" t="s">
        <v>56</v>
      </c>
      <c r="G204" s="34" t="s">
        <v>56</v>
      </c>
      <c r="H204" s="34" t="s">
        <v>56</v>
      </c>
      <c r="I204" s="120" t="s">
        <v>56</v>
      </c>
      <c r="J204" s="125">
        <v>0</v>
      </c>
      <c r="K204" s="124">
        <v>0</v>
      </c>
      <c r="L204" s="122" t="s">
        <v>57</v>
      </c>
      <c r="M204" s="124" t="s">
        <v>57</v>
      </c>
      <c r="N204" s="126" t="s">
        <v>56</v>
      </c>
      <c r="O204" s="34" t="s">
        <v>56</v>
      </c>
      <c r="P204" s="39"/>
    </row>
    <row r="205" spans="1:16" ht="30" x14ac:dyDescent="0.25">
      <c r="A205" s="134">
        <f t="shared" si="19"/>
        <v>202</v>
      </c>
      <c r="B205" s="112" t="s">
        <v>375</v>
      </c>
      <c r="C205" s="71" t="s">
        <v>56</v>
      </c>
      <c r="D205" s="72" t="str">
        <f t="shared" si="22"/>
        <v>Haier</v>
      </c>
      <c r="E205" s="72" t="str">
        <f t="shared" si="23"/>
        <v>HBD 116 -spare parts</v>
      </c>
      <c r="F205" s="34" t="s">
        <v>56</v>
      </c>
      <c r="G205" s="34" t="s">
        <v>56</v>
      </c>
      <c r="H205" s="34" t="s">
        <v>56</v>
      </c>
      <c r="I205" s="120" t="s">
        <v>56</v>
      </c>
      <c r="J205" s="125">
        <v>0</v>
      </c>
      <c r="K205" s="124">
        <v>0</v>
      </c>
      <c r="L205" s="122" t="s">
        <v>57</v>
      </c>
      <c r="M205" s="124" t="s">
        <v>57</v>
      </c>
      <c r="N205" s="126" t="s">
        <v>56</v>
      </c>
      <c r="O205" s="34" t="s">
        <v>56</v>
      </c>
      <c r="P205" s="39"/>
    </row>
    <row r="206" spans="1:16" ht="30" x14ac:dyDescent="0.25">
      <c r="A206" s="134">
        <f t="shared" ref="A206:A236" si="24">A205+1</f>
        <v>203</v>
      </c>
      <c r="B206" s="112" t="s">
        <v>375</v>
      </c>
      <c r="C206" s="71" t="s">
        <v>56</v>
      </c>
      <c r="D206" s="72" t="str">
        <f t="shared" si="22"/>
        <v>Aucma</v>
      </c>
      <c r="E206" s="72" t="str">
        <f t="shared" si="23"/>
        <v>DW-25W300 -spare parts</v>
      </c>
      <c r="F206" s="34" t="s">
        <v>56</v>
      </c>
      <c r="G206" s="34" t="s">
        <v>56</v>
      </c>
      <c r="H206" s="34" t="s">
        <v>56</v>
      </c>
      <c r="I206" s="120" t="s">
        <v>56</v>
      </c>
      <c r="J206" s="125">
        <v>0</v>
      </c>
      <c r="K206" s="124">
        <v>0</v>
      </c>
      <c r="L206" s="122" t="s">
        <v>57</v>
      </c>
      <c r="M206" s="124" t="s">
        <v>57</v>
      </c>
      <c r="N206" s="126" t="s">
        <v>56</v>
      </c>
      <c r="O206" s="34" t="s">
        <v>56</v>
      </c>
      <c r="P206" s="39"/>
    </row>
    <row r="207" spans="1:16" ht="30" x14ac:dyDescent="0.25">
      <c r="A207" s="134">
        <f t="shared" si="24"/>
        <v>204</v>
      </c>
      <c r="B207" s="112" t="s">
        <v>375</v>
      </c>
      <c r="C207" s="71" t="s">
        <v>56</v>
      </c>
      <c r="D207" s="72" t="str">
        <f t="shared" si="22"/>
        <v>Vestfrost</v>
      </c>
      <c r="E207" s="72" t="str">
        <f t="shared" si="23"/>
        <v>MF 314 -spare parts</v>
      </c>
      <c r="F207" s="34" t="s">
        <v>56</v>
      </c>
      <c r="G207" s="34" t="s">
        <v>56</v>
      </c>
      <c r="H207" s="34" t="s">
        <v>56</v>
      </c>
      <c r="I207" s="120" t="s">
        <v>56</v>
      </c>
      <c r="J207" s="125">
        <v>0</v>
      </c>
      <c r="K207" s="124">
        <v>0</v>
      </c>
      <c r="L207" s="122" t="s">
        <v>57</v>
      </c>
      <c r="M207" s="124" t="s">
        <v>57</v>
      </c>
      <c r="N207" s="126" t="s">
        <v>56</v>
      </c>
      <c r="O207" s="34" t="s">
        <v>56</v>
      </c>
      <c r="P207" s="39"/>
    </row>
    <row r="208" spans="1:16" ht="30" x14ac:dyDescent="0.25">
      <c r="A208" s="134">
        <f t="shared" si="24"/>
        <v>205</v>
      </c>
      <c r="B208" s="112" t="s">
        <v>375</v>
      </c>
      <c r="C208" s="71" t="s">
        <v>56</v>
      </c>
      <c r="D208" s="72" t="str">
        <f t="shared" si="22"/>
        <v>Haier</v>
      </c>
      <c r="E208" s="72" t="str">
        <f t="shared" si="23"/>
        <v>HBD 286 -spare parts</v>
      </c>
      <c r="F208" s="34" t="s">
        <v>56</v>
      </c>
      <c r="G208" s="34" t="s">
        <v>56</v>
      </c>
      <c r="H208" s="34" t="s">
        <v>56</v>
      </c>
      <c r="I208" s="120" t="s">
        <v>56</v>
      </c>
      <c r="J208" s="125">
        <v>0</v>
      </c>
      <c r="K208" s="124">
        <v>0</v>
      </c>
      <c r="L208" s="122" t="s">
        <v>57</v>
      </c>
      <c r="M208" s="124" t="s">
        <v>57</v>
      </c>
      <c r="N208" s="126" t="s">
        <v>56</v>
      </c>
      <c r="O208" s="34" t="s">
        <v>56</v>
      </c>
      <c r="P208" s="39"/>
    </row>
    <row r="209" spans="1:16" ht="45" x14ac:dyDescent="0.25">
      <c r="A209" s="134">
        <f t="shared" si="24"/>
        <v>206</v>
      </c>
      <c r="B209" s="113" t="s">
        <v>376</v>
      </c>
      <c r="C209" s="71" t="s">
        <v>56</v>
      </c>
      <c r="D209" s="72" t="str">
        <f t="shared" si="22"/>
        <v>B Medical</v>
      </c>
      <c r="E209" s="72" t="str">
        <f t="shared" si="23"/>
        <v>TCW 15R SDD -spare parts</v>
      </c>
      <c r="F209" s="34" t="s">
        <v>56</v>
      </c>
      <c r="G209" s="34" t="s">
        <v>56</v>
      </c>
      <c r="H209" s="34" t="s">
        <v>56</v>
      </c>
      <c r="I209" s="120" t="s">
        <v>56</v>
      </c>
      <c r="J209" s="125">
        <v>0</v>
      </c>
      <c r="K209" s="124">
        <v>0</v>
      </c>
      <c r="L209" s="122" t="s">
        <v>57</v>
      </c>
      <c r="M209" s="124" t="s">
        <v>57</v>
      </c>
      <c r="N209" s="126" t="s">
        <v>56</v>
      </c>
      <c r="O209" s="34" t="s">
        <v>56</v>
      </c>
      <c r="P209" s="39"/>
    </row>
    <row r="210" spans="1:16" ht="45" x14ac:dyDescent="0.25">
      <c r="A210" s="134">
        <f t="shared" si="24"/>
        <v>207</v>
      </c>
      <c r="B210" s="113" t="s">
        <v>376</v>
      </c>
      <c r="C210" s="71" t="s">
        <v>56</v>
      </c>
      <c r="D210" s="72" t="str">
        <f t="shared" si="22"/>
        <v>B Medical</v>
      </c>
      <c r="E210" s="72" t="str">
        <f t="shared" si="23"/>
        <v>TCW 40R SDD -spare parts</v>
      </c>
      <c r="F210" s="34" t="s">
        <v>56</v>
      </c>
      <c r="G210" s="34" t="s">
        <v>56</v>
      </c>
      <c r="H210" s="34" t="s">
        <v>56</v>
      </c>
      <c r="I210" s="120" t="s">
        <v>56</v>
      </c>
      <c r="J210" s="125">
        <v>0</v>
      </c>
      <c r="K210" s="124">
        <v>0</v>
      </c>
      <c r="L210" s="122" t="s">
        <v>57</v>
      </c>
      <c r="M210" s="124" t="s">
        <v>57</v>
      </c>
      <c r="N210" s="126" t="s">
        <v>56</v>
      </c>
      <c r="O210" s="34" t="s">
        <v>56</v>
      </c>
      <c r="P210" s="39"/>
    </row>
    <row r="211" spans="1:16" ht="45" x14ac:dyDescent="0.25">
      <c r="A211" s="134">
        <f t="shared" si="24"/>
        <v>208</v>
      </c>
      <c r="B211" s="113" t="s">
        <v>376</v>
      </c>
      <c r="C211" s="71" t="s">
        <v>56</v>
      </c>
      <c r="D211" s="72" t="str">
        <f t="shared" si="22"/>
        <v xml:space="preserve">Godrej &amp; Boyce </v>
      </c>
      <c r="E211" s="72" t="str">
        <f t="shared" si="23"/>
        <v>GVR 50 DC -spare parts</v>
      </c>
      <c r="F211" s="34" t="s">
        <v>56</v>
      </c>
      <c r="G211" s="34" t="s">
        <v>56</v>
      </c>
      <c r="H211" s="34" t="s">
        <v>56</v>
      </c>
      <c r="I211" s="120" t="s">
        <v>56</v>
      </c>
      <c r="J211" s="125">
        <v>0</v>
      </c>
      <c r="K211" s="124">
        <v>0</v>
      </c>
      <c r="L211" s="122" t="s">
        <v>57</v>
      </c>
      <c r="M211" s="124" t="s">
        <v>57</v>
      </c>
      <c r="N211" s="126" t="s">
        <v>56</v>
      </c>
      <c r="O211" s="34" t="s">
        <v>56</v>
      </c>
      <c r="P211" s="39"/>
    </row>
    <row r="212" spans="1:16" ht="45" x14ac:dyDescent="0.25">
      <c r="A212" s="134">
        <f t="shared" si="24"/>
        <v>209</v>
      </c>
      <c r="B212" s="113" t="s">
        <v>376</v>
      </c>
      <c r="C212" s="71" t="s">
        <v>56</v>
      </c>
      <c r="D212" s="72" t="str">
        <f t="shared" si="22"/>
        <v>Aucma</v>
      </c>
      <c r="E212" s="72" t="str">
        <f t="shared" si="23"/>
        <v>CFD-50 SDD -spare parts</v>
      </c>
      <c r="F212" s="34" t="s">
        <v>56</v>
      </c>
      <c r="G212" s="34" t="s">
        <v>56</v>
      </c>
      <c r="H212" s="34" t="s">
        <v>56</v>
      </c>
      <c r="I212" s="120" t="s">
        <v>56</v>
      </c>
      <c r="J212" s="125">
        <v>0</v>
      </c>
      <c r="K212" s="124">
        <v>0</v>
      </c>
      <c r="L212" s="122" t="s">
        <v>57</v>
      </c>
      <c r="M212" s="124" t="s">
        <v>57</v>
      </c>
      <c r="N212" s="126" t="s">
        <v>56</v>
      </c>
      <c r="O212" s="34" t="s">
        <v>56</v>
      </c>
      <c r="P212" s="39"/>
    </row>
    <row r="213" spans="1:16" ht="45" x14ac:dyDescent="0.25">
      <c r="A213" s="134">
        <f t="shared" si="24"/>
        <v>210</v>
      </c>
      <c r="B213" s="113" t="s">
        <v>376</v>
      </c>
      <c r="C213" s="71" t="s">
        <v>56</v>
      </c>
      <c r="D213" s="72" t="str">
        <f t="shared" si="22"/>
        <v>Dulas Solar</v>
      </c>
      <c r="E213" s="72" t="str">
        <f t="shared" si="23"/>
        <v>VC 50 SDD -spare parts</v>
      </c>
      <c r="F213" s="34" t="s">
        <v>56</v>
      </c>
      <c r="G213" s="34" t="s">
        <v>56</v>
      </c>
      <c r="H213" s="34" t="s">
        <v>56</v>
      </c>
      <c r="I213" s="120" t="s">
        <v>56</v>
      </c>
      <c r="J213" s="125">
        <v>0</v>
      </c>
      <c r="K213" s="124">
        <v>0</v>
      </c>
      <c r="L213" s="122" t="s">
        <v>57</v>
      </c>
      <c r="M213" s="124" t="s">
        <v>57</v>
      </c>
      <c r="N213" s="126" t="s">
        <v>56</v>
      </c>
      <c r="O213" s="34" t="s">
        <v>56</v>
      </c>
      <c r="P213" s="39"/>
    </row>
    <row r="214" spans="1:16" ht="45" x14ac:dyDescent="0.25">
      <c r="A214" s="134">
        <f t="shared" si="24"/>
        <v>211</v>
      </c>
      <c r="B214" s="113" t="s">
        <v>376</v>
      </c>
      <c r="C214" s="71" t="s">
        <v>56</v>
      </c>
      <c r="D214" s="72" t="str">
        <f t="shared" si="22"/>
        <v>SunDanzer</v>
      </c>
      <c r="E214" s="72" t="str">
        <f t="shared" si="23"/>
        <v>BFRV 55 SDD -spare parts</v>
      </c>
      <c r="F214" s="34" t="s">
        <v>56</v>
      </c>
      <c r="G214" s="34" t="s">
        <v>56</v>
      </c>
      <c r="H214" s="34" t="s">
        <v>56</v>
      </c>
      <c r="I214" s="120" t="s">
        <v>56</v>
      </c>
      <c r="J214" s="125">
        <v>0</v>
      </c>
      <c r="K214" s="124">
        <v>0</v>
      </c>
      <c r="L214" s="122" t="s">
        <v>57</v>
      </c>
      <c r="M214" s="124" t="s">
        <v>57</v>
      </c>
      <c r="N214" s="126" t="s">
        <v>56</v>
      </c>
      <c r="O214" s="34" t="s">
        <v>56</v>
      </c>
      <c r="P214" s="39"/>
    </row>
    <row r="215" spans="1:16" ht="45" x14ac:dyDescent="0.25">
      <c r="A215" s="134">
        <f t="shared" si="24"/>
        <v>212</v>
      </c>
      <c r="B215" s="113" t="s">
        <v>376</v>
      </c>
      <c r="C215" s="71" t="s">
        <v>56</v>
      </c>
      <c r="D215" s="72" t="str">
        <f t="shared" si="22"/>
        <v>Vestfrost</v>
      </c>
      <c r="E215" s="72" t="str">
        <f t="shared" si="23"/>
        <v>VLS 054A SDD -spare parts</v>
      </c>
      <c r="F215" s="34" t="s">
        <v>56</v>
      </c>
      <c r="G215" s="34" t="s">
        <v>56</v>
      </c>
      <c r="H215" s="34" t="s">
        <v>56</v>
      </c>
      <c r="I215" s="120" t="s">
        <v>56</v>
      </c>
      <c r="J215" s="125">
        <v>0</v>
      </c>
      <c r="K215" s="124">
        <v>0</v>
      </c>
      <c r="L215" s="122" t="s">
        <v>57</v>
      </c>
      <c r="M215" s="124" t="s">
        <v>57</v>
      </c>
      <c r="N215" s="126" t="s">
        <v>56</v>
      </c>
      <c r="O215" s="34" t="s">
        <v>56</v>
      </c>
      <c r="P215" s="39"/>
    </row>
    <row r="216" spans="1:16" ht="45" x14ac:dyDescent="0.25">
      <c r="A216" s="134">
        <f t="shared" si="24"/>
        <v>213</v>
      </c>
      <c r="B216" s="113" t="s">
        <v>376</v>
      </c>
      <c r="C216" s="71" t="s">
        <v>56</v>
      </c>
      <c r="D216" s="72" t="str">
        <f t="shared" si="22"/>
        <v>Haier</v>
      </c>
      <c r="E216" s="72" t="str">
        <f t="shared" si="23"/>
        <v>HTC 110 SDD -spare parts</v>
      </c>
      <c r="F216" s="34" t="s">
        <v>56</v>
      </c>
      <c r="G216" s="34" t="s">
        <v>56</v>
      </c>
      <c r="H216" s="34" t="s">
        <v>56</v>
      </c>
      <c r="I216" s="120" t="s">
        <v>56</v>
      </c>
      <c r="J216" s="125">
        <v>0</v>
      </c>
      <c r="K216" s="124">
        <v>0</v>
      </c>
      <c r="L216" s="122" t="s">
        <v>57</v>
      </c>
      <c r="M216" s="124" t="s">
        <v>57</v>
      </c>
      <c r="N216" s="126" t="s">
        <v>56</v>
      </c>
      <c r="O216" s="34" t="s">
        <v>56</v>
      </c>
      <c r="P216" s="39"/>
    </row>
    <row r="217" spans="1:16" ht="45" x14ac:dyDescent="0.25">
      <c r="A217" s="134">
        <f t="shared" si="24"/>
        <v>214</v>
      </c>
      <c r="B217" s="113" t="s">
        <v>376</v>
      </c>
      <c r="C217" s="71" t="s">
        <v>56</v>
      </c>
      <c r="D217" s="72" t="str">
        <f t="shared" si="22"/>
        <v>Dulas Solar</v>
      </c>
      <c r="E217" s="72" t="str">
        <f t="shared" si="23"/>
        <v>VC 88 SDD -spare parts</v>
      </c>
      <c r="F217" s="34" t="s">
        <v>56</v>
      </c>
      <c r="G217" s="34" t="s">
        <v>56</v>
      </c>
      <c r="H217" s="34" t="s">
        <v>56</v>
      </c>
      <c r="I217" s="120" t="s">
        <v>56</v>
      </c>
      <c r="J217" s="125">
        <v>0</v>
      </c>
      <c r="K217" s="124">
        <v>0</v>
      </c>
      <c r="L217" s="122" t="s">
        <v>57</v>
      </c>
      <c r="M217" s="124" t="s">
        <v>57</v>
      </c>
      <c r="N217" s="126" t="s">
        <v>56</v>
      </c>
      <c r="O217" s="34" t="s">
        <v>56</v>
      </c>
      <c r="P217" s="39"/>
    </row>
    <row r="218" spans="1:16" ht="45" x14ac:dyDescent="0.25">
      <c r="A218" s="134">
        <f t="shared" si="24"/>
        <v>215</v>
      </c>
      <c r="B218" s="113" t="s">
        <v>376</v>
      </c>
      <c r="C218" s="71" t="s">
        <v>56</v>
      </c>
      <c r="D218" s="72" t="str">
        <f t="shared" si="22"/>
        <v>Vestfrost</v>
      </c>
      <c r="E218" s="72" t="str">
        <f t="shared" si="23"/>
        <v>VLS 094A SDD -spare parts</v>
      </c>
      <c r="F218" s="34" t="s">
        <v>56</v>
      </c>
      <c r="G218" s="34" t="s">
        <v>56</v>
      </c>
      <c r="H218" s="34" t="s">
        <v>56</v>
      </c>
      <c r="I218" s="120" t="s">
        <v>56</v>
      </c>
      <c r="J218" s="125">
        <v>0</v>
      </c>
      <c r="K218" s="124">
        <v>0</v>
      </c>
      <c r="L218" s="122" t="s">
        <v>57</v>
      </c>
      <c r="M218" s="124" t="s">
        <v>57</v>
      </c>
      <c r="N218" s="126" t="s">
        <v>56</v>
      </c>
      <c r="O218" s="34" t="s">
        <v>56</v>
      </c>
      <c r="P218" s="39"/>
    </row>
    <row r="219" spans="1:16" ht="45" x14ac:dyDescent="0.25">
      <c r="A219" s="134">
        <f t="shared" si="24"/>
        <v>216</v>
      </c>
      <c r="B219" s="113" t="s">
        <v>376</v>
      </c>
      <c r="C219" s="71" t="s">
        <v>56</v>
      </c>
      <c r="D219" s="72" t="str">
        <f t="shared" si="22"/>
        <v xml:space="preserve">Godrej &amp; Boyce </v>
      </c>
      <c r="E219" s="72" t="str">
        <f t="shared" si="23"/>
        <v>GVR 100 DC -spare parts</v>
      </c>
      <c r="F219" s="34" t="s">
        <v>56</v>
      </c>
      <c r="G219" s="34" t="s">
        <v>56</v>
      </c>
      <c r="H219" s="34" t="s">
        <v>56</v>
      </c>
      <c r="I219" s="120" t="s">
        <v>56</v>
      </c>
      <c r="J219" s="125">
        <v>0</v>
      </c>
      <c r="K219" s="124">
        <v>0</v>
      </c>
      <c r="L219" s="122" t="s">
        <v>57</v>
      </c>
      <c r="M219" s="124" t="s">
        <v>57</v>
      </c>
      <c r="N219" s="126" t="s">
        <v>56</v>
      </c>
      <c r="O219" s="34" t="s">
        <v>56</v>
      </c>
      <c r="P219" s="39"/>
    </row>
    <row r="220" spans="1:16" ht="45" x14ac:dyDescent="0.25">
      <c r="A220" s="134">
        <f t="shared" si="24"/>
        <v>217</v>
      </c>
      <c r="B220" s="113" t="s">
        <v>376</v>
      </c>
      <c r="C220" s="71" t="s">
        <v>56</v>
      </c>
      <c r="D220" s="72" t="str">
        <f t="shared" si="22"/>
        <v>Haier</v>
      </c>
      <c r="E220" s="72" t="str">
        <f t="shared" si="23"/>
        <v>HTC-120 -spare parts</v>
      </c>
      <c r="F220" s="34" t="s">
        <v>56</v>
      </c>
      <c r="G220" s="34" t="s">
        <v>56</v>
      </c>
      <c r="H220" s="34" t="s">
        <v>56</v>
      </c>
      <c r="I220" s="120" t="s">
        <v>56</v>
      </c>
      <c r="J220" s="125">
        <v>0</v>
      </c>
      <c r="K220" s="124">
        <v>0</v>
      </c>
      <c r="L220" s="122" t="s">
        <v>57</v>
      </c>
      <c r="M220" s="124" t="s">
        <v>57</v>
      </c>
      <c r="N220" s="126" t="s">
        <v>56</v>
      </c>
      <c r="O220" s="34" t="s">
        <v>56</v>
      </c>
      <c r="P220" s="39"/>
    </row>
    <row r="221" spans="1:16" ht="45" x14ac:dyDescent="0.25">
      <c r="A221" s="134">
        <f t="shared" si="24"/>
        <v>218</v>
      </c>
      <c r="B221" s="113" t="s">
        <v>376</v>
      </c>
      <c r="C221" s="71" t="s">
        <v>56</v>
      </c>
      <c r="D221" s="72" t="str">
        <f t="shared" si="22"/>
        <v>Dulas Solar</v>
      </c>
      <c r="E221" s="72" t="str">
        <f t="shared" si="23"/>
        <v>VC 200 SDD -spare parts</v>
      </c>
      <c r="F221" s="34" t="s">
        <v>56</v>
      </c>
      <c r="G221" s="34" t="s">
        <v>56</v>
      </c>
      <c r="H221" s="34" t="s">
        <v>56</v>
      </c>
      <c r="I221" s="120" t="s">
        <v>56</v>
      </c>
      <c r="J221" s="125">
        <v>0</v>
      </c>
      <c r="K221" s="124">
        <v>0</v>
      </c>
      <c r="L221" s="122" t="s">
        <v>57</v>
      </c>
      <c r="M221" s="124" t="s">
        <v>57</v>
      </c>
      <c r="N221" s="126" t="s">
        <v>56</v>
      </c>
      <c r="O221" s="34" t="s">
        <v>56</v>
      </c>
      <c r="P221" s="39"/>
    </row>
    <row r="222" spans="1:16" ht="45" x14ac:dyDescent="0.25">
      <c r="A222" s="134">
        <f t="shared" si="24"/>
        <v>219</v>
      </c>
      <c r="B222" s="113" t="s">
        <v>376</v>
      </c>
      <c r="C222" s="71" t="s">
        <v>56</v>
      </c>
      <c r="D222" s="72" t="str">
        <f t="shared" si="22"/>
        <v>Vestfrost</v>
      </c>
      <c r="E222" s="72" t="str">
        <f t="shared" si="23"/>
        <v>VLS 154A SDD -spare parts</v>
      </c>
      <c r="F222" s="34" t="s">
        <v>56</v>
      </c>
      <c r="G222" s="34" t="s">
        <v>56</v>
      </c>
      <c r="H222" s="34" t="s">
        <v>56</v>
      </c>
      <c r="I222" s="120" t="s">
        <v>56</v>
      </c>
      <c r="J222" s="125">
        <v>0</v>
      </c>
      <c r="K222" s="124">
        <v>0</v>
      </c>
      <c r="L222" s="122" t="s">
        <v>57</v>
      </c>
      <c r="M222" s="124" t="s">
        <v>57</v>
      </c>
      <c r="N222" s="126" t="s">
        <v>56</v>
      </c>
      <c r="O222" s="34" t="s">
        <v>56</v>
      </c>
      <c r="P222" s="39"/>
    </row>
    <row r="223" spans="1:16" ht="45" x14ac:dyDescent="0.25">
      <c r="A223" s="134">
        <f t="shared" si="24"/>
        <v>220</v>
      </c>
      <c r="B223" s="113" t="s">
        <v>376</v>
      </c>
      <c r="C223" s="71" t="s">
        <v>56</v>
      </c>
      <c r="D223" s="72" t="str">
        <f t="shared" si="22"/>
        <v>Haier</v>
      </c>
      <c r="E223" s="72" t="str">
        <f t="shared" si="23"/>
        <v>HTC-240 -spare parts</v>
      </c>
      <c r="F223" s="34" t="s">
        <v>56</v>
      </c>
      <c r="G223" s="34" t="s">
        <v>56</v>
      </c>
      <c r="H223" s="34" t="s">
        <v>56</v>
      </c>
      <c r="I223" s="120" t="s">
        <v>56</v>
      </c>
      <c r="J223" s="125">
        <v>0</v>
      </c>
      <c r="K223" s="124">
        <v>0</v>
      </c>
      <c r="L223" s="122" t="s">
        <v>57</v>
      </c>
      <c r="M223" s="124" t="s">
        <v>57</v>
      </c>
      <c r="N223" s="126" t="s">
        <v>56</v>
      </c>
      <c r="O223" s="34" t="s">
        <v>56</v>
      </c>
      <c r="P223" s="39"/>
    </row>
    <row r="224" spans="1:16" ht="45" x14ac:dyDescent="0.25">
      <c r="A224" s="134">
        <f t="shared" si="24"/>
        <v>221</v>
      </c>
      <c r="B224" s="113" t="s">
        <v>376</v>
      </c>
      <c r="C224" s="71" t="s">
        <v>56</v>
      </c>
      <c r="D224" s="72" t="str">
        <f t="shared" si="22"/>
        <v>B Medical</v>
      </c>
      <c r="E224" s="72" t="str">
        <f t="shared" si="23"/>
        <v>TCW 4000 SDD -spare parts</v>
      </c>
      <c r="F224" s="34" t="s">
        <v>56</v>
      </c>
      <c r="G224" s="34" t="s">
        <v>56</v>
      </c>
      <c r="H224" s="34" t="s">
        <v>56</v>
      </c>
      <c r="I224" s="120" t="s">
        <v>56</v>
      </c>
      <c r="J224" s="125">
        <v>0</v>
      </c>
      <c r="K224" s="124">
        <v>0</v>
      </c>
      <c r="L224" s="122" t="s">
        <v>57</v>
      </c>
      <c r="M224" s="124" t="s">
        <v>57</v>
      </c>
      <c r="N224" s="126" t="s">
        <v>56</v>
      </c>
      <c r="O224" s="34" t="s">
        <v>56</v>
      </c>
      <c r="P224" s="39"/>
    </row>
    <row r="225" spans="1:16" ht="45" x14ac:dyDescent="0.25">
      <c r="A225" s="134">
        <f t="shared" si="24"/>
        <v>222</v>
      </c>
      <c r="B225" s="114" t="s">
        <v>377</v>
      </c>
      <c r="C225" s="71" t="s">
        <v>56</v>
      </c>
      <c r="D225" s="72" t="str">
        <f t="shared" si="22"/>
        <v>B Medical</v>
      </c>
      <c r="E225" s="72" t="str">
        <f t="shared" si="23"/>
        <v>TCW 15 SDD -spare parts</v>
      </c>
      <c r="F225" s="34" t="s">
        <v>56</v>
      </c>
      <c r="G225" s="34" t="s">
        <v>56</v>
      </c>
      <c r="H225" s="34" t="s">
        <v>56</v>
      </c>
      <c r="I225" s="120" t="s">
        <v>56</v>
      </c>
      <c r="J225" s="125">
        <v>0</v>
      </c>
      <c r="K225" s="124">
        <v>0</v>
      </c>
      <c r="L225" s="122" t="s">
        <v>57</v>
      </c>
      <c r="M225" s="124" t="s">
        <v>57</v>
      </c>
      <c r="N225" s="126" t="s">
        <v>56</v>
      </c>
      <c r="O225" s="34" t="s">
        <v>56</v>
      </c>
      <c r="P225" s="39"/>
    </row>
    <row r="226" spans="1:16" ht="45" x14ac:dyDescent="0.25">
      <c r="A226" s="134">
        <f t="shared" si="24"/>
        <v>223</v>
      </c>
      <c r="B226" s="114" t="s">
        <v>377</v>
      </c>
      <c r="C226" s="71" t="s">
        <v>56</v>
      </c>
      <c r="D226" s="72" t="str">
        <f t="shared" si="22"/>
        <v>B Medical</v>
      </c>
      <c r="E226" s="72" t="str">
        <f t="shared" si="23"/>
        <v>TCW 40 SDD -spare parts</v>
      </c>
      <c r="F226" s="34" t="s">
        <v>56</v>
      </c>
      <c r="G226" s="34" t="s">
        <v>56</v>
      </c>
      <c r="H226" s="34" t="s">
        <v>56</v>
      </c>
      <c r="I226" s="120" t="s">
        <v>56</v>
      </c>
      <c r="J226" s="125">
        <v>0</v>
      </c>
      <c r="K226" s="124">
        <v>0</v>
      </c>
      <c r="L226" s="122" t="s">
        <v>57</v>
      </c>
      <c r="M226" s="124" t="s">
        <v>57</v>
      </c>
      <c r="N226" s="126" t="s">
        <v>56</v>
      </c>
      <c r="O226" s="34" t="s">
        <v>56</v>
      </c>
      <c r="P226" s="39"/>
    </row>
    <row r="227" spans="1:16" ht="45" x14ac:dyDescent="0.25">
      <c r="A227" s="134">
        <f t="shared" si="24"/>
        <v>224</v>
      </c>
      <c r="B227" s="114" t="s">
        <v>377</v>
      </c>
      <c r="C227" s="71" t="s">
        <v>56</v>
      </c>
      <c r="D227" s="72" t="str">
        <f t="shared" si="22"/>
        <v>Haier</v>
      </c>
      <c r="E227" s="72" t="str">
        <f t="shared" si="23"/>
        <v>HTCD 90 SDD -spare parts</v>
      </c>
      <c r="F227" s="34" t="s">
        <v>56</v>
      </c>
      <c r="G227" s="34" t="s">
        <v>56</v>
      </c>
      <c r="H227" s="34" t="s">
        <v>56</v>
      </c>
      <c r="I227" s="120" t="s">
        <v>56</v>
      </c>
      <c r="J227" s="125">
        <v>0</v>
      </c>
      <c r="K227" s="124">
        <v>0</v>
      </c>
      <c r="L227" s="122" t="s">
        <v>57</v>
      </c>
      <c r="M227" s="124" t="s">
        <v>57</v>
      </c>
      <c r="N227" s="126" t="s">
        <v>56</v>
      </c>
      <c r="O227" s="34" t="s">
        <v>56</v>
      </c>
      <c r="P227" s="39"/>
    </row>
    <row r="228" spans="1:16" ht="45" x14ac:dyDescent="0.25">
      <c r="A228" s="134">
        <f t="shared" si="24"/>
        <v>225</v>
      </c>
      <c r="B228" s="114" t="s">
        <v>377</v>
      </c>
      <c r="C228" s="71" t="s">
        <v>56</v>
      </c>
      <c r="D228" s="72" t="str">
        <f t="shared" si="22"/>
        <v>Vestfrost</v>
      </c>
      <c r="E228" s="72" t="str">
        <f t="shared" si="23"/>
        <v>VLS 056 RF SDD -spare parts</v>
      </c>
      <c r="F228" s="34" t="s">
        <v>56</v>
      </c>
      <c r="G228" s="34" t="s">
        <v>56</v>
      </c>
      <c r="H228" s="34" t="s">
        <v>56</v>
      </c>
      <c r="I228" s="120" t="s">
        <v>56</v>
      </c>
      <c r="J228" s="125">
        <v>0</v>
      </c>
      <c r="K228" s="124">
        <v>0</v>
      </c>
      <c r="L228" s="122" t="s">
        <v>57</v>
      </c>
      <c r="M228" s="124" t="s">
        <v>57</v>
      </c>
      <c r="N228" s="126" t="s">
        <v>56</v>
      </c>
      <c r="O228" s="34" t="s">
        <v>56</v>
      </c>
      <c r="P228" s="39"/>
    </row>
    <row r="229" spans="1:16" ht="45" x14ac:dyDescent="0.25">
      <c r="A229" s="134">
        <f t="shared" si="24"/>
        <v>226</v>
      </c>
      <c r="B229" s="114" t="s">
        <v>377</v>
      </c>
      <c r="C229" s="71" t="s">
        <v>56</v>
      </c>
      <c r="D229" s="72" t="str">
        <f t="shared" si="22"/>
        <v>Dulas Solar</v>
      </c>
      <c r="E229" s="72" t="str">
        <f t="shared" si="23"/>
        <v>VC 60 SDD -spare parts</v>
      </c>
      <c r="F229" s="34" t="s">
        <v>56</v>
      </c>
      <c r="G229" s="34" t="s">
        <v>56</v>
      </c>
      <c r="H229" s="34" t="s">
        <v>56</v>
      </c>
      <c r="I229" s="120" t="s">
        <v>56</v>
      </c>
      <c r="J229" s="125">
        <v>0</v>
      </c>
      <c r="K229" s="124">
        <v>0</v>
      </c>
      <c r="L229" s="122" t="s">
        <v>57</v>
      </c>
      <c r="M229" s="124" t="s">
        <v>57</v>
      </c>
      <c r="N229" s="126" t="s">
        <v>56</v>
      </c>
      <c r="O229" s="34" t="s">
        <v>56</v>
      </c>
      <c r="P229" s="39"/>
    </row>
    <row r="230" spans="1:16" ht="45" x14ac:dyDescent="0.25">
      <c r="A230" s="134">
        <f t="shared" si="24"/>
        <v>227</v>
      </c>
      <c r="B230" s="114" t="s">
        <v>377</v>
      </c>
      <c r="C230" s="71" t="s">
        <v>56</v>
      </c>
      <c r="D230" s="72" t="str">
        <f t="shared" si="22"/>
        <v xml:space="preserve">Godrej &amp; Boyce </v>
      </c>
      <c r="E230" s="72" t="str">
        <f t="shared" si="23"/>
        <v>GVR 55 FF DC -spare parts</v>
      </c>
      <c r="F230" s="34" t="s">
        <v>56</v>
      </c>
      <c r="G230" s="34" t="s">
        <v>56</v>
      </c>
      <c r="H230" s="34" t="s">
        <v>56</v>
      </c>
      <c r="I230" s="120" t="s">
        <v>56</v>
      </c>
      <c r="J230" s="125">
        <v>0</v>
      </c>
      <c r="K230" s="124">
        <v>0</v>
      </c>
      <c r="L230" s="122" t="s">
        <v>57</v>
      </c>
      <c r="M230" s="124" t="s">
        <v>57</v>
      </c>
      <c r="N230" s="126" t="s">
        <v>56</v>
      </c>
      <c r="O230" s="34" t="s">
        <v>56</v>
      </c>
      <c r="P230" s="39"/>
    </row>
    <row r="231" spans="1:16" ht="45" x14ac:dyDescent="0.25">
      <c r="A231" s="134">
        <f t="shared" si="24"/>
        <v>228</v>
      </c>
      <c r="B231" s="114" t="s">
        <v>377</v>
      </c>
      <c r="C231" s="71" t="s">
        <v>56</v>
      </c>
      <c r="D231" s="72" t="str">
        <f t="shared" si="22"/>
        <v>B Medical</v>
      </c>
      <c r="E231" s="72" t="str">
        <f t="shared" si="23"/>
        <v>TCW 2043 SDD -spare parts</v>
      </c>
      <c r="F231" s="34" t="s">
        <v>56</v>
      </c>
      <c r="G231" s="34" t="s">
        <v>56</v>
      </c>
      <c r="H231" s="34" t="s">
        <v>56</v>
      </c>
      <c r="I231" s="120" t="s">
        <v>56</v>
      </c>
      <c r="J231" s="125">
        <v>0</v>
      </c>
      <c r="K231" s="124">
        <v>0</v>
      </c>
      <c r="L231" s="122" t="s">
        <v>57</v>
      </c>
      <c r="M231" s="124" t="s">
        <v>57</v>
      </c>
      <c r="N231" s="126" t="s">
        <v>56</v>
      </c>
      <c r="O231" s="34" t="s">
        <v>56</v>
      </c>
      <c r="P231" s="39"/>
    </row>
    <row r="232" spans="1:16" ht="45" x14ac:dyDescent="0.25">
      <c r="A232" s="134">
        <f t="shared" si="24"/>
        <v>229</v>
      </c>
      <c r="B232" s="114" t="s">
        <v>377</v>
      </c>
      <c r="C232" s="71" t="s">
        <v>56</v>
      </c>
      <c r="D232" s="72" t="str">
        <f t="shared" si="22"/>
        <v>Haier</v>
      </c>
      <c r="E232" s="72" t="str">
        <f t="shared" si="23"/>
        <v>HTCD 160 SDD -spare parts</v>
      </c>
      <c r="F232" s="34" t="s">
        <v>56</v>
      </c>
      <c r="G232" s="34" t="s">
        <v>56</v>
      </c>
      <c r="H232" s="34" t="s">
        <v>56</v>
      </c>
      <c r="I232" s="120" t="s">
        <v>56</v>
      </c>
      <c r="J232" s="125">
        <v>0</v>
      </c>
      <c r="K232" s="124">
        <v>0</v>
      </c>
      <c r="L232" s="122" t="s">
        <v>57</v>
      </c>
      <c r="M232" s="124" t="s">
        <v>57</v>
      </c>
      <c r="N232" s="126" t="s">
        <v>56</v>
      </c>
      <c r="O232" s="34" t="s">
        <v>56</v>
      </c>
      <c r="P232" s="39"/>
    </row>
    <row r="233" spans="1:16" ht="45" x14ac:dyDescent="0.25">
      <c r="A233" s="134">
        <f t="shared" si="24"/>
        <v>230</v>
      </c>
      <c r="B233" s="114" t="s">
        <v>377</v>
      </c>
      <c r="C233" s="71" t="s">
        <v>56</v>
      </c>
      <c r="D233" s="72" t="str">
        <f t="shared" si="22"/>
        <v>Dulas Solar</v>
      </c>
      <c r="E233" s="72" t="str">
        <f t="shared" si="23"/>
        <v>VC 150 SDD -spare parts</v>
      </c>
      <c r="F233" s="34" t="s">
        <v>56</v>
      </c>
      <c r="G233" s="34" t="s">
        <v>56</v>
      </c>
      <c r="H233" s="34" t="s">
        <v>56</v>
      </c>
      <c r="I233" s="120" t="s">
        <v>56</v>
      </c>
      <c r="J233" s="125">
        <v>0</v>
      </c>
      <c r="K233" s="124">
        <v>0</v>
      </c>
      <c r="L233" s="122" t="s">
        <v>57</v>
      </c>
      <c r="M233" s="124" t="s">
        <v>57</v>
      </c>
      <c r="N233" s="126" t="s">
        <v>56</v>
      </c>
      <c r="O233" s="34" t="s">
        <v>56</v>
      </c>
      <c r="P233" s="39"/>
    </row>
    <row r="234" spans="1:16" ht="30" x14ac:dyDescent="0.25">
      <c r="A234" s="134">
        <f t="shared" si="24"/>
        <v>231</v>
      </c>
      <c r="B234" s="115" t="s">
        <v>378</v>
      </c>
      <c r="C234" s="71" t="s">
        <v>56</v>
      </c>
      <c r="D234" s="72" t="str">
        <f t="shared" si="22"/>
        <v>Vestfrost</v>
      </c>
      <c r="E234" s="72" t="str">
        <f t="shared" si="23"/>
        <v>VFS 048 SDD -spare parts</v>
      </c>
      <c r="F234" s="34" t="s">
        <v>56</v>
      </c>
      <c r="G234" s="34" t="s">
        <v>56</v>
      </c>
      <c r="H234" s="34" t="s">
        <v>56</v>
      </c>
      <c r="I234" s="120" t="s">
        <v>56</v>
      </c>
      <c r="J234" s="125">
        <v>0</v>
      </c>
      <c r="K234" s="124">
        <v>0</v>
      </c>
      <c r="L234" s="122" t="s">
        <v>57</v>
      </c>
      <c r="M234" s="124" t="s">
        <v>57</v>
      </c>
      <c r="N234" s="126" t="s">
        <v>56</v>
      </c>
      <c r="O234" s="34" t="s">
        <v>56</v>
      </c>
      <c r="P234" s="39"/>
    </row>
    <row r="235" spans="1:16" ht="30" x14ac:dyDescent="0.25">
      <c r="A235" s="134">
        <f t="shared" si="24"/>
        <v>232</v>
      </c>
      <c r="B235" s="115" t="s">
        <v>378</v>
      </c>
      <c r="C235" s="71" t="s">
        <v>56</v>
      </c>
      <c r="D235" s="72" t="str">
        <f t="shared" si="22"/>
        <v>Haier</v>
      </c>
      <c r="E235" s="72" t="str">
        <f t="shared" si="23"/>
        <v>HTD 40 SDD -spare parts</v>
      </c>
      <c r="F235" s="34" t="s">
        <v>56</v>
      </c>
      <c r="G235" s="34" t="s">
        <v>56</v>
      </c>
      <c r="H235" s="34" t="s">
        <v>56</v>
      </c>
      <c r="I235" s="120" t="s">
        <v>56</v>
      </c>
      <c r="J235" s="125">
        <v>0</v>
      </c>
      <c r="K235" s="124">
        <v>0</v>
      </c>
      <c r="L235" s="122" t="s">
        <v>57</v>
      </c>
      <c r="M235" s="124" t="s">
        <v>57</v>
      </c>
      <c r="N235" s="126" t="s">
        <v>56</v>
      </c>
      <c r="O235" s="34" t="s">
        <v>56</v>
      </c>
      <c r="P235" s="39"/>
    </row>
    <row r="236" spans="1:16" ht="30" x14ac:dyDescent="0.25">
      <c r="A236" s="134">
        <f t="shared" si="24"/>
        <v>233</v>
      </c>
      <c r="B236" s="115" t="s">
        <v>378</v>
      </c>
      <c r="C236" s="71" t="s">
        <v>56</v>
      </c>
      <c r="D236" s="72" t="str">
        <f t="shared" si="22"/>
        <v>B Medical</v>
      </c>
      <c r="E236" s="72" t="str">
        <f t="shared" si="23"/>
        <v>TFW 40 SDD -spare parts</v>
      </c>
      <c r="F236" s="34" t="s">
        <v>56</v>
      </c>
      <c r="G236" s="34" t="s">
        <v>56</v>
      </c>
      <c r="H236" s="34" t="s">
        <v>56</v>
      </c>
      <c r="I236" s="120" t="s">
        <v>56</v>
      </c>
      <c r="J236" s="125">
        <v>0</v>
      </c>
      <c r="K236" s="124">
        <v>0</v>
      </c>
      <c r="L236" s="122" t="s">
        <v>57</v>
      </c>
      <c r="M236" s="124" t="s">
        <v>57</v>
      </c>
      <c r="N236" s="126" t="s">
        <v>56</v>
      </c>
      <c r="O236" s="34" t="s">
        <v>56</v>
      </c>
      <c r="P236" s="39"/>
    </row>
  </sheetData>
  <sheetProtection algorithmName="SHA-512" hashValue="tRhTSfYKe+LFF4u4PMxHs26VrPNkMFdUWPJwoxAk+kQqV1zw5lq1el9Q7QdlPFF5B33JVt3sj9rnPwxQchWasg==" saltValue="kxHVvxgMSqQ9VYH9ZSpv5g==" spinCount="100000" sheet="1" formatCells="0" formatColumns="0" formatRows="0" sort="0" autoFilter="0" pivotTables="0"/>
  <sortState xmlns:xlrd2="http://schemas.microsoft.com/office/spreadsheetml/2017/richdata2" ref="B4:O46">
    <sortCondition ref="B4:B46"/>
    <sortCondition ref="C4:C46"/>
    <sortCondition ref="D4:D46"/>
  </sortState>
  <dataConsolidate/>
  <mergeCells count="12">
    <mergeCell ref="Q122:Z122"/>
    <mergeCell ref="Q137:Z137"/>
    <mergeCell ref="J2:K2"/>
    <mergeCell ref="L2:M2"/>
    <mergeCell ref="Q52:Z52"/>
    <mergeCell ref="Q53:Z53"/>
    <mergeCell ref="Q54:Z54"/>
    <mergeCell ref="Q55:Z55"/>
    <mergeCell ref="Q56:Y56"/>
    <mergeCell ref="Q58:Z58"/>
    <mergeCell ref="Q107:Z109"/>
    <mergeCell ref="Q120:Z120"/>
  </mergeCells>
  <conditionalFormatting sqref="Y55:Z55 Y66:Z66 Y76:Z76 Y51:Z53 Y69:Z72 Y185:Z195 Y100:Z102 Y237:Z1048557 Y204:Z233">
    <cfRule type="expression" priority="4424">
      <formula>$A54=$AB$9</formula>
    </cfRule>
  </conditionalFormatting>
  <conditionalFormatting sqref="Z59 Z1:Z4 Z7:Z55 Z86 Z66:Z81 Z83:Z84 Z88:Z106 Z138:Z1048576">
    <cfRule type="expression" dxfId="22" priority="4435">
      <formula>A1=$AB$9</formula>
    </cfRule>
  </conditionalFormatting>
  <conditionalFormatting sqref="Y77:Z77 Z56:Z57 Y88:Z89 Y200:Z203 Y196:Z198">
    <cfRule type="expression" priority="4440">
      <formula>$A60=$AB$9</formula>
    </cfRule>
  </conditionalFormatting>
  <conditionalFormatting sqref="Y107:Z108">
    <cfRule type="expression" priority="4449">
      <formula>#REF!=$AB$9</formula>
    </cfRule>
  </conditionalFormatting>
  <conditionalFormatting sqref="Y86:Z86 Y199:Z199 Y67:Z68 Y78:Z79">
    <cfRule type="expression" priority="4452">
      <formula>$A72=$AB$9</formula>
    </cfRule>
  </conditionalFormatting>
  <conditionalFormatting sqref="Y59:Z59 Y90:Z90 Y54:Z54 Y84:Z84 Y122:Z155">
    <cfRule type="expression" priority="4456">
      <formula>#REF!=$AB$9</formula>
    </cfRule>
  </conditionalFormatting>
  <conditionalFormatting sqref="Y103:Z103">
    <cfRule type="expression" priority="4464">
      <formula>#REF!=$AB$9</formula>
    </cfRule>
  </conditionalFormatting>
  <conditionalFormatting sqref="Z56:Z57">
    <cfRule type="expression" dxfId="21" priority="4468">
      <formula>#REF!=$AB$9</formula>
    </cfRule>
  </conditionalFormatting>
  <conditionalFormatting sqref="Y75:Z75 Y234:Z236 Y31:Z48">
    <cfRule type="expression" priority="4469">
      <formula>#REF!=$AB$9</formula>
    </cfRule>
  </conditionalFormatting>
  <conditionalFormatting sqref="Y24:Z24">
    <cfRule type="expression" priority="4470">
      <formula>#REF!=$AB$9</formula>
    </cfRule>
  </conditionalFormatting>
  <conditionalFormatting sqref="Y115:Z115">
    <cfRule type="expression" priority="4480">
      <formula>#REF!=$AB$9</formula>
    </cfRule>
  </conditionalFormatting>
  <conditionalFormatting sqref="Y91:Z91 Y104:Z104 Y184:Z184">
    <cfRule type="expression" priority="4482">
      <formula>$A93=$AB$9</formula>
    </cfRule>
  </conditionalFormatting>
  <conditionalFormatting sqref="Z107:Z112">
    <cfRule type="expression" dxfId="20" priority="4489">
      <formula>#REF!=$AB$9</formula>
    </cfRule>
  </conditionalFormatting>
  <conditionalFormatting sqref="Z58">
    <cfRule type="expression" dxfId="19" priority="4490">
      <formula>A87=$AB$9</formula>
    </cfRule>
  </conditionalFormatting>
  <conditionalFormatting sqref="Y50:Z50 Y47:Z48">
    <cfRule type="expression" priority="4493">
      <formula>$A80=$AB$9</formula>
    </cfRule>
  </conditionalFormatting>
  <conditionalFormatting sqref="Z116:Z117 Z121">
    <cfRule type="expression" dxfId="18" priority="4522">
      <formula>#REF!=$AB$9</formula>
    </cfRule>
  </conditionalFormatting>
  <conditionalFormatting sqref="Y106:Z106 Y1:Z4 AB5:AB6 Y5:Y6 Y17:Z21">
    <cfRule type="expression" priority="4544">
      <formula>$A51=$AB$9</formula>
    </cfRule>
  </conditionalFormatting>
  <conditionalFormatting sqref="Y121:Z121 Y118:Z119">
    <cfRule type="expression" priority="4547">
      <formula>#REF!=$AB$9</formula>
    </cfRule>
  </conditionalFormatting>
  <conditionalFormatting sqref="Z115">
    <cfRule type="expression" dxfId="17" priority="4550">
      <formula>#REF!=$AB$9</formula>
    </cfRule>
  </conditionalFormatting>
  <conditionalFormatting sqref="Y43:Z44">
    <cfRule type="expression" priority="4591">
      <formula>$A64=$AB$9</formula>
    </cfRule>
  </conditionalFormatting>
  <conditionalFormatting sqref="Y50:Z50 Y43:Z43">
    <cfRule type="expression" priority="4596">
      <formula>$A65=$AB$9</formula>
    </cfRule>
  </conditionalFormatting>
  <conditionalFormatting sqref="Y47:Z49">
    <cfRule type="expression" priority="4607">
      <formula>$A70=$AB$9</formula>
    </cfRule>
  </conditionalFormatting>
  <conditionalFormatting sqref="Z114">
    <cfRule type="expression" dxfId="16" priority="4629">
      <formula>#REF!=$AB$9</formula>
    </cfRule>
  </conditionalFormatting>
  <conditionalFormatting sqref="Y58:Z58 Y105:Z105 Y34:Z42">
    <cfRule type="expression" priority="4630">
      <formula>$A66=$AB$9</formula>
    </cfRule>
  </conditionalFormatting>
  <conditionalFormatting sqref="Z137">
    <cfRule type="expression" dxfId="15" priority="4640">
      <formula>#REF!=$AB$9</formula>
    </cfRule>
  </conditionalFormatting>
  <conditionalFormatting sqref="AB5:AB6">
    <cfRule type="expression" dxfId="14" priority="3">
      <formula>C5=$AB$9</formula>
    </cfRule>
  </conditionalFormatting>
  <conditionalFormatting sqref="Y183:Z183">
    <cfRule type="expression" priority="4930">
      <formula>$A198=$AB$9</formula>
    </cfRule>
  </conditionalFormatting>
  <conditionalFormatting sqref="Y55">
    <cfRule type="expression" dxfId="13" priority="5171">
      <formula>OR(A1=$AB$9,A1=#REF!,A1=$AB$17,A1=$AB$19, A1=#REF!, A1=$AB$22)</formula>
    </cfRule>
  </conditionalFormatting>
  <conditionalFormatting sqref="Z51">
    <cfRule type="expression" dxfId="12" priority="5172">
      <formula>OR(A1=$AB$9, A1=#REF!, A1=$AB$17, A1=$AB$19, A1=#REF!, A1=$AB$22)</formula>
    </cfRule>
  </conditionalFormatting>
  <conditionalFormatting sqref="Y59:Z59 Z56:Z57 Y54:Z55">
    <cfRule type="expression" dxfId="11" priority="5173">
      <formula>OR(#REF!=$AB$9,#REF!=#REF!,#REF!=$AB$17, #REF!=$AB$19,#REF!=#REF!, #REF!=$AB$22)</formula>
    </cfRule>
  </conditionalFormatting>
  <conditionalFormatting sqref="Z135:Z136">
    <cfRule type="expression" dxfId="10" priority="5182">
      <formula>#REF!=$AB$9</formula>
    </cfRule>
  </conditionalFormatting>
  <conditionalFormatting sqref="Z134">
    <cfRule type="expression" dxfId="9" priority="5191">
      <formula>#REF!=$AB$9</formula>
    </cfRule>
  </conditionalFormatting>
  <conditionalFormatting sqref="Z133">
    <cfRule type="expression" dxfId="8" priority="5200">
      <formula>#REF!=$AB$9</formula>
    </cfRule>
  </conditionalFormatting>
  <conditionalFormatting sqref="Z132">
    <cfRule type="expression" dxfId="7" priority="5209">
      <formula>#REF!=$AB$9</formula>
    </cfRule>
  </conditionalFormatting>
  <conditionalFormatting sqref="Z127:Z129">
    <cfRule type="expression" dxfId="6" priority="5218">
      <formula>#REF!=$AB$9</formula>
    </cfRule>
  </conditionalFormatting>
  <conditionalFormatting sqref="Z130:Z131">
    <cfRule type="expression" dxfId="5" priority="5228">
      <formula>#REF!=$AB$9</formula>
    </cfRule>
  </conditionalFormatting>
  <conditionalFormatting sqref="Y182:Z182">
    <cfRule type="expression" priority="5237">
      <formula>$A199=$AB$9</formula>
    </cfRule>
  </conditionalFormatting>
  <conditionalFormatting sqref="Y181:Z181">
    <cfRule type="expression" priority="5246">
      <formula>$A199=$AB$9</formula>
    </cfRule>
  </conditionalFormatting>
  <conditionalFormatting sqref="Y179:Z180">
    <cfRule type="expression" priority="5255">
      <formula>$A199=$AB$9</formula>
    </cfRule>
  </conditionalFormatting>
  <conditionalFormatting sqref="Z122:Z126">
    <cfRule type="expression" dxfId="4" priority="5283">
      <formula>#REF!=$AB$9</formula>
    </cfRule>
  </conditionalFormatting>
  <conditionalFormatting sqref="Y120:Z120">
    <cfRule type="expression" priority="5291">
      <formula>#REF!=$AB$9</formula>
    </cfRule>
  </conditionalFormatting>
  <conditionalFormatting sqref="Y116:Z117">
    <cfRule type="expression" priority="5305">
      <formula>#REF!=$AB$9</formula>
    </cfRule>
  </conditionalFormatting>
  <conditionalFormatting sqref="Y109:Z112">
    <cfRule type="expression" priority="5306">
      <formula>#REF!=$AB$9</formula>
    </cfRule>
  </conditionalFormatting>
  <conditionalFormatting sqref="Y114:Z114">
    <cfRule type="expression" priority="5314">
      <formula>#REF!=$AB$9</formula>
    </cfRule>
  </conditionalFormatting>
  <conditionalFormatting sqref="Z113">
    <cfRule type="expression" dxfId="3" priority="5317">
      <formula>#REF!=$AB$9</formula>
    </cfRule>
  </conditionalFormatting>
  <conditionalFormatting sqref="Y113:Z113">
    <cfRule type="expression" priority="5325">
      <formula>#REF!=$AB$9</formula>
    </cfRule>
  </conditionalFormatting>
  <conditionalFormatting sqref="Y156:Z174">
    <cfRule type="expression" priority="5330">
      <formula>$A184=$AB$9</formula>
    </cfRule>
  </conditionalFormatting>
  <conditionalFormatting sqref="Z120">
    <cfRule type="expression" dxfId="2" priority="5339">
      <formula>#REF!=$AB$9</formula>
    </cfRule>
  </conditionalFormatting>
  <conditionalFormatting sqref="Z118:Z119">
    <cfRule type="expression" dxfId="1" priority="5348">
      <formula>#REF!=$AB$9</formula>
    </cfRule>
  </conditionalFormatting>
  <conditionalFormatting sqref="Z82">
    <cfRule type="expression" dxfId="0" priority="1">
      <formula>A82=$AB$9</formula>
    </cfRule>
  </conditionalFormatting>
  <conditionalFormatting sqref="Y50:Z50">
    <cfRule type="expression" priority="5430">
      <formula>#REF!=$AB$9</formula>
    </cfRule>
  </conditionalFormatting>
  <conditionalFormatting sqref="Y47:Z49">
    <cfRule type="expression" priority="5435">
      <formula>#REF!=$AB$9</formula>
    </cfRule>
  </conditionalFormatting>
  <conditionalFormatting sqref="Y33:Z33">
    <cfRule type="expression" priority="5436">
      <formula>#REF!=$AB$9</formula>
    </cfRule>
  </conditionalFormatting>
  <conditionalFormatting sqref="Y29:Z30">
    <cfRule type="expression" priority="5444">
      <formula>#REF!=$AB$9</formula>
    </cfRule>
  </conditionalFormatting>
  <conditionalFormatting sqref="Y44:Z45">
    <cfRule type="expression" priority="5448">
      <formula>#REF!=$AB$9</formula>
    </cfRule>
  </conditionalFormatting>
  <conditionalFormatting sqref="Y31:Z46">
    <cfRule type="expression" priority="5449">
      <formula>#REF!=$AB$9</formula>
    </cfRule>
  </conditionalFormatting>
  <conditionalFormatting sqref="Y46:Z46">
    <cfRule type="expression" priority="5450">
      <formula>#REF!=$AB$9</formula>
    </cfRule>
  </conditionalFormatting>
  <conditionalFormatting sqref="Y43:Z44">
    <cfRule type="expression" priority="5451">
      <formula>#REF!=$AB$9</formula>
    </cfRule>
  </conditionalFormatting>
  <conditionalFormatting sqref="Y12:Z16">
    <cfRule type="expression" priority="5453">
      <formula>#REF!=$AB$9</formula>
    </cfRule>
  </conditionalFormatting>
  <conditionalFormatting sqref="Y73:Z74">
    <cfRule type="expression" priority="5472">
      <formula>#REF!=$AB$9</formula>
    </cfRule>
  </conditionalFormatting>
  <conditionalFormatting sqref="Y22:Z23">
    <cfRule type="expression" priority="5500">
      <formula>#REF!=$AB$9</formula>
    </cfRule>
  </conditionalFormatting>
  <conditionalFormatting sqref="Y49:Z49">
    <cfRule type="expression" priority="5508">
      <formula>$A76=$AB$9</formula>
    </cfRule>
  </conditionalFormatting>
  <conditionalFormatting sqref="Y50:Z50">
    <cfRule type="expression" priority="5520">
      <formula>$A76=$AB$9</formula>
    </cfRule>
  </conditionalFormatting>
  <conditionalFormatting sqref="Y49:Z49">
    <cfRule type="expression" priority="5525">
      <formula>$A83=$AB$9</formula>
    </cfRule>
  </conditionalFormatting>
  <conditionalFormatting sqref="Y82:Z83">
    <cfRule type="expression" priority="5540">
      <formula>#REF!=$AB$9</formula>
    </cfRule>
  </conditionalFormatting>
  <conditionalFormatting sqref="Y80:Z81">
    <cfRule type="expression" priority="5556">
      <formula>#REF!=$AB$9</formula>
    </cfRule>
  </conditionalFormatting>
  <conditionalFormatting sqref="Y92:Z92">
    <cfRule type="expression" priority="5574">
      <formula>#REF!=$AB$9</formula>
    </cfRule>
  </conditionalFormatting>
  <conditionalFormatting sqref="Y97:Z99">
    <cfRule type="expression" priority="5621">
      <formula>$A103=$AB$9</formula>
    </cfRule>
  </conditionalFormatting>
  <conditionalFormatting sqref="Y93:Z96">
    <cfRule type="expression" priority="5622">
      <formula>$A102=$AB$9</formula>
    </cfRule>
  </conditionalFormatting>
  <conditionalFormatting sqref="Y175:Z178">
    <cfRule type="expression" priority="5642">
      <formula>$A199=$AB$9</formula>
    </cfRule>
  </conditionalFormatting>
  <conditionalFormatting sqref="Y1048558:Z1048576">
    <cfRule type="expression" priority="5653">
      <formula>$A1=$AB$9</formula>
    </cfRule>
  </conditionalFormatting>
  <conditionalFormatting sqref="Y25:Z26">
    <cfRule type="expression" priority="5682">
      <formula>$A76=$AB$9</formula>
    </cfRule>
  </conditionalFormatting>
  <conditionalFormatting sqref="Y27:Z42">
    <cfRule type="expression" priority="5714">
      <formula>$A57=$AB$9</formula>
    </cfRule>
  </conditionalFormatting>
  <conditionalFormatting sqref="Y7:Z11">
    <cfRule type="expression" priority="5715">
      <formula>$A59=$AB$9</formula>
    </cfRule>
  </conditionalFormatting>
  <conditionalFormatting sqref="Y31:Z32">
    <cfRule type="expression" priority="5716">
      <formula>$A72=$AB$9</formula>
    </cfRule>
  </conditionalFormatting>
  <conditionalFormatting sqref="Y27:Z28">
    <cfRule type="expression" priority="5745">
      <formula>$A80=$AB$9</formula>
    </cfRule>
  </conditionalFormatting>
  <conditionalFormatting sqref="Y29:Z30">
    <cfRule type="expression" priority="5748">
      <formula>$A83=$AB$9</formula>
    </cfRule>
  </conditionalFormatting>
  <conditionalFormatting sqref="Y31:Z32">
    <cfRule type="expression" priority="5749">
      <formula>$A74=$AB$9</formula>
    </cfRule>
  </conditionalFormatting>
  <hyperlinks>
    <hyperlink ref="Q54" r:id="rId1" xr:uid="{00000000-0004-0000-0500-000000000000}"/>
  </hyperlinks>
  <pageMargins left="0.7" right="0.7" top="0.75" bottom="0.75" header="0.3" footer="0.3"/>
  <pageSetup scale="27" fitToHeight="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004EA-BABF-4D3D-8C45-2D4D5DA4E30D}">
  <sheetPr codeName="Sheet7">
    <tabColor theme="5"/>
  </sheetPr>
  <dimension ref="A1:G53"/>
  <sheetViews>
    <sheetView workbookViewId="0">
      <selection activeCell="C44" sqref="C44"/>
    </sheetView>
  </sheetViews>
  <sheetFormatPr defaultRowHeight="15" x14ac:dyDescent="0.25"/>
  <cols>
    <col min="2" max="2" width="47.42578125" bestFit="1" customWidth="1"/>
    <col min="3" max="3" width="51.140625" bestFit="1" customWidth="1"/>
  </cols>
  <sheetData>
    <row r="1" spans="1:6" ht="21" x14ac:dyDescent="0.35">
      <c r="A1" s="181" t="s">
        <v>252</v>
      </c>
      <c r="F1" t="s">
        <v>379</v>
      </c>
    </row>
    <row r="2" spans="1:6" x14ac:dyDescent="0.25">
      <c r="A2" s="165">
        <v>1</v>
      </c>
      <c r="B2" s="137" t="s">
        <v>341</v>
      </c>
      <c r="C2" s="137" t="str">
        <f t="shared" ref="C2:C26" si="0">"_"&amp;A2&amp;"."&amp;B2</f>
        <v>_1.Chambres froides de plain pied</v>
      </c>
      <c r="D2" s="137"/>
      <c r="E2" s="137"/>
      <c r="F2" s="3" t="str">
        <f>SUBSTITUTE(C2," ","")</f>
        <v>_1.Chambresfroidesdeplainpied</v>
      </c>
    </row>
    <row r="3" spans="1:6" x14ac:dyDescent="0.25">
      <c r="A3" s="156">
        <v>2</v>
      </c>
      <c r="B3" s="156" t="s">
        <v>342</v>
      </c>
      <c r="C3" s="137" t="str">
        <f t="shared" si="0"/>
        <v>_2.Chambres froides de plain pied avec congélateurs</v>
      </c>
      <c r="D3" s="156"/>
      <c r="E3" s="156"/>
      <c r="F3" s="3" t="str">
        <f t="shared" ref="F3:F26" si="1">SUBSTITUTE(C3," ","")</f>
        <v>_2.Chambresfroidesdeplainpiedaveccongélateurs</v>
      </c>
    </row>
    <row r="4" spans="1:6" x14ac:dyDescent="0.25">
      <c r="A4" s="156">
        <v>3</v>
      </c>
      <c r="B4" s="156" t="s">
        <v>343</v>
      </c>
      <c r="C4" s="137" t="str">
        <f t="shared" si="0"/>
        <v>_3.Marcher dans le congélateur</v>
      </c>
      <c r="D4" s="156"/>
      <c r="E4" s="156"/>
      <c r="F4" s="3" t="str">
        <f t="shared" si="1"/>
        <v>_3.Marcherdanslecongélateur</v>
      </c>
    </row>
    <row r="5" spans="1:6" x14ac:dyDescent="0.25">
      <c r="A5" s="156">
        <v>4</v>
      </c>
      <c r="B5" s="156" t="s">
        <v>344</v>
      </c>
      <c r="C5" s="137" t="str">
        <f t="shared" si="0"/>
        <v>_4.Location à court terme pour chambres froides</v>
      </c>
      <c r="D5" s="156"/>
      <c r="E5" s="156"/>
      <c r="F5" s="3" t="str">
        <f t="shared" si="1"/>
        <v>_4.Locationàcourttermepourchambresfroides</v>
      </c>
    </row>
    <row r="6" spans="1:6" x14ac:dyDescent="0.25">
      <c r="A6" s="156">
        <v>5</v>
      </c>
      <c r="B6" s="137" t="s">
        <v>345</v>
      </c>
      <c r="C6" s="137" t="str">
        <f t="shared" si="0"/>
        <v>_5.Location de chambres froides de plain pied ou de chambres de congélation</v>
      </c>
      <c r="D6" s="137"/>
      <c r="E6" s="137"/>
      <c r="F6" s="3" t="str">
        <f t="shared" si="1"/>
        <v>_5.Locationdechambresfroidesdeplainpiedoudechambresdecongélation</v>
      </c>
    </row>
    <row r="7" spans="1:6" x14ac:dyDescent="0.25">
      <c r="A7" s="156">
        <v>6</v>
      </c>
      <c r="B7" s="176" t="s">
        <v>346</v>
      </c>
      <c r="C7" s="137" t="str">
        <f t="shared" si="0"/>
        <v>_6.Réfrigérateur ILR à gaine réfrigérante sur réseau_sans comp. congélateur</v>
      </c>
      <c r="D7" s="176"/>
      <c r="E7" s="176"/>
      <c r="F7" s="3" t="str">
        <f t="shared" si="1"/>
        <v>_6.RéfrigérateurILRàgaineréfrigérantesurréseau_sanscomp.congélateur</v>
      </c>
    </row>
    <row r="8" spans="1:6" x14ac:dyDescent="0.25">
      <c r="A8" s="156">
        <v>7</v>
      </c>
      <c r="B8" s="176" t="s">
        <v>347</v>
      </c>
      <c r="C8" s="137" t="str">
        <f t="shared" si="0"/>
        <v>_7.ILR sur réseau_avec comp. congélateur</v>
      </c>
      <c r="D8" s="176"/>
      <c r="E8" s="176"/>
      <c r="F8" s="3" t="str">
        <f t="shared" si="1"/>
        <v>_7.ILRsurréseau_aveccomp.congélateur</v>
      </c>
    </row>
    <row r="9" spans="1:6" x14ac:dyDescent="0.25">
      <c r="A9" s="156">
        <v>8</v>
      </c>
      <c r="B9" s="176" t="s">
        <v>348</v>
      </c>
      <c r="C9" s="137" t="str">
        <f t="shared" si="0"/>
        <v>_8.Congélateurs sur réseau</v>
      </c>
      <c r="D9" s="176"/>
      <c r="E9" s="176"/>
      <c r="F9" s="3" t="str">
        <f t="shared" si="1"/>
        <v>_8.Congélateurssurréseau</v>
      </c>
    </row>
    <row r="10" spans="1:6" x14ac:dyDescent="0.25">
      <c r="A10" s="156">
        <v>9</v>
      </c>
      <c r="B10" s="176" t="s">
        <v>349</v>
      </c>
      <c r="C10" s="137" t="str">
        <f t="shared" si="0"/>
        <v>_9.Réfrigérateurs hors réseau SDD_sans comp. congélateur</v>
      </c>
      <c r="D10" s="176"/>
      <c r="E10" s="176"/>
      <c r="F10" s="3" t="str">
        <f t="shared" si="1"/>
        <v>_9.RéfrigérateurshorsréseauSDD_sanscomp.congélateur</v>
      </c>
    </row>
    <row r="11" spans="1:6" x14ac:dyDescent="0.25">
      <c r="A11" s="156">
        <v>10</v>
      </c>
      <c r="B11" s="176" t="s">
        <v>350</v>
      </c>
      <c r="C11" s="137" t="str">
        <f t="shared" si="0"/>
        <v>_10.Réfrigérateurs hors réseau SDD_avec comp. congélateur</v>
      </c>
      <c r="D11" s="176"/>
      <c r="E11" s="176"/>
      <c r="F11" s="3" t="str">
        <f t="shared" si="1"/>
        <v>_10.RéfrigérateurshorsréseauSDD_aveccomp.congélateur</v>
      </c>
    </row>
    <row r="12" spans="1:6" x14ac:dyDescent="0.25">
      <c r="A12" s="156">
        <v>11</v>
      </c>
      <c r="B12" s="177" t="s">
        <v>351</v>
      </c>
      <c r="C12" s="137" t="str">
        <f t="shared" si="0"/>
        <v>_11.Congélateur hors réseau SDD</v>
      </c>
      <c r="D12" s="177"/>
      <c r="E12" s="177"/>
      <c r="F12" s="3" t="str">
        <f t="shared" si="1"/>
        <v>_11.CongélateurhorsréseauSDD</v>
      </c>
    </row>
    <row r="13" spans="1:6" x14ac:dyDescent="0.25">
      <c r="A13" s="156">
        <v>12</v>
      </c>
      <c r="B13" s="176" t="s">
        <v>352</v>
      </c>
      <c r="C13" s="137" t="str">
        <f t="shared" si="0"/>
        <v>_12.Outil de suivi de la température_30DTR</v>
      </c>
      <c r="D13" s="176"/>
      <c r="E13" s="176"/>
      <c r="F13" s="3" t="str">
        <f t="shared" si="1"/>
        <v>_12.Outildesuividelatempérature_30DTR</v>
      </c>
    </row>
    <row r="14" spans="1:6" x14ac:dyDescent="0.25">
      <c r="A14" s="156">
        <v>13</v>
      </c>
      <c r="B14" s="176" t="s">
        <v>353</v>
      </c>
      <c r="C14" s="137" t="str">
        <f t="shared" si="0"/>
        <v>_13.Dispositifs de surveillance à distance de la température_RTMD</v>
      </c>
      <c r="D14" s="176"/>
      <c r="E14" s="176"/>
      <c r="F14" s="3" t="str">
        <f t="shared" si="1"/>
        <v>_13.Dispositifsdesurveillanceàdistancedelatempérature_RTMD</v>
      </c>
    </row>
    <row r="15" spans="1:6" x14ac:dyDescent="0.25">
      <c r="A15" s="156">
        <v>14</v>
      </c>
      <c r="B15" s="176" t="s">
        <v>354</v>
      </c>
      <c r="C15" s="137" t="str">
        <f t="shared" si="0"/>
        <v>_14.Porte vaccins traditionnels</v>
      </c>
      <c r="D15" s="176"/>
      <c r="E15" s="176"/>
      <c r="F15" s="3" t="str">
        <f t="shared" si="1"/>
        <v>_14.Portevaccinstraditionnels</v>
      </c>
    </row>
    <row r="16" spans="1:6" x14ac:dyDescent="0.25">
      <c r="A16" s="156">
        <v>15</v>
      </c>
      <c r="B16" s="176" t="s">
        <v>355</v>
      </c>
      <c r="C16" s="137" t="str">
        <f t="shared" si="0"/>
        <v>_15.Porte vaccins hors gel</v>
      </c>
      <c r="D16" s="176"/>
      <c r="E16" s="176"/>
      <c r="F16" s="3" t="str">
        <f t="shared" si="1"/>
        <v>_15.Portevaccinshorsgel</v>
      </c>
    </row>
    <row r="17" spans="1:7" x14ac:dyDescent="0.25">
      <c r="A17" s="156">
        <v>16</v>
      </c>
      <c r="B17" s="176" t="s">
        <v>356</v>
      </c>
      <c r="C17" s="137" t="str">
        <f t="shared" si="0"/>
        <v>_16.Glacières pour vaccins traditionnelles</v>
      </c>
      <c r="D17" s="176"/>
      <c r="E17" s="176"/>
      <c r="F17" s="3" t="str">
        <f t="shared" si="1"/>
        <v>_16.Glacièrespourvaccinstraditionnelles</v>
      </c>
    </row>
    <row r="18" spans="1:7" x14ac:dyDescent="0.25">
      <c r="A18" s="156">
        <v>17</v>
      </c>
      <c r="B18" s="176" t="s">
        <v>357</v>
      </c>
      <c r="C18" s="137" t="str">
        <f t="shared" si="0"/>
        <v>_17.Glacières hors gel</v>
      </c>
      <c r="D18" s="176"/>
      <c r="E18" s="176"/>
      <c r="F18" s="3" t="str">
        <f t="shared" si="1"/>
        <v>_17.Glacièreshorsgel</v>
      </c>
    </row>
    <row r="19" spans="1:7" x14ac:dyDescent="0.25">
      <c r="A19" s="156">
        <v>18</v>
      </c>
      <c r="B19" s="177" t="s">
        <v>358</v>
      </c>
      <c r="C19" s="137" t="str">
        <f t="shared" si="0"/>
        <v>_18.Régulateurs de tension pour équipement</v>
      </c>
      <c r="D19" s="177"/>
      <c r="E19" s="177"/>
      <c r="F19" s="3" t="str">
        <f t="shared" si="1"/>
        <v>_18.Régulateursdetensionpouréquipement</v>
      </c>
    </row>
    <row r="20" spans="1:7" x14ac:dyDescent="0.25">
      <c r="A20" s="156">
        <v>19</v>
      </c>
      <c r="B20" s="165" t="s">
        <v>359</v>
      </c>
      <c r="C20" s="137" t="str">
        <f t="shared" si="0"/>
        <v>_19.Packs de glace</v>
      </c>
      <c r="D20" s="165"/>
      <c r="E20" s="165"/>
      <c r="F20" s="3" t="str">
        <f t="shared" si="1"/>
        <v>_19.Packsdeglace</v>
      </c>
    </row>
    <row r="21" spans="1:7" x14ac:dyDescent="0.25">
      <c r="A21" s="156">
        <v>20</v>
      </c>
      <c r="B21" s="176" t="s">
        <v>360</v>
      </c>
      <c r="C21" s="137" t="str">
        <f t="shared" si="0"/>
        <v>_20.Pièces de rechange pour les nouveaux équipements ILR sans congélateur</v>
      </c>
      <c r="D21" s="176"/>
      <c r="E21" s="176"/>
      <c r="F21" s="3" t="str">
        <f t="shared" si="1"/>
        <v>_20.PiècesderechangepourlesnouveauxéquipementsILRsanscongélateur</v>
      </c>
    </row>
    <row r="22" spans="1:7" x14ac:dyDescent="0.25">
      <c r="A22" s="156">
        <v>21</v>
      </c>
      <c r="B22" s="177" t="s">
        <v>361</v>
      </c>
      <c r="C22" s="137" t="str">
        <f t="shared" si="0"/>
        <v>_21.Pièces de rechange pour les nouveaux équipements ILR avec congélateur</v>
      </c>
      <c r="D22" s="177"/>
      <c r="E22" s="177"/>
      <c r="F22" s="3" t="str">
        <f t="shared" si="1"/>
        <v>_21.PiècesderechangepourlesnouveauxéquipementsILRaveccongélateur</v>
      </c>
    </row>
    <row r="23" spans="1:7" x14ac:dyDescent="0.25">
      <c r="A23" s="156">
        <v>22</v>
      </c>
      <c r="B23" s="177" t="s">
        <v>362</v>
      </c>
      <c r="C23" s="137" t="str">
        <f t="shared" si="0"/>
        <v>_22.Pièces de rechange pour les nouveaux congélateurs</v>
      </c>
      <c r="D23" s="177"/>
      <c r="E23" s="177"/>
      <c r="F23" s="3" t="str">
        <f t="shared" si="1"/>
        <v>_22.Piècesderechangepourlesnouveauxcongélateurs</v>
      </c>
    </row>
    <row r="24" spans="1:7" x14ac:dyDescent="0.25">
      <c r="A24" s="156">
        <v>23</v>
      </c>
      <c r="B24" s="177" t="s">
        <v>363</v>
      </c>
      <c r="C24" s="137" t="str">
        <f t="shared" si="0"/>
        <v>_23.Pièces de rechange pour les nouveaux SDD avec comp. congélateur</v>
      </c>
      <c r="D24" s="177"/>
      <c r="E24" s="177"/>
      <c r="F24" s="3" t="str">
        <f t="shared" si="1"/>
        <v>_23.PiècesderechangepourlesnouveauxSDDaveccomp.congélateur</v>
      </c>
    </row>
    <row r="25" spans="1:7" x14ac:dyDescent="0.25">
      <c r="A25" s="156">
        <v>24</v>
      </c>
      <c r="B25" s="177" t="s">
        <v>364</v>
      </c>
      <c r="C25" s="137" t="str">
        <f t="shared" si="0"/>
        <v>_24.Pièces de rechange pour les nouveaux SDD sans comp. congélateur</v>
      </c>
      <c r="D25" s="177"/>
      <c r="E25" s="177"/>
      <c r="F25" s="3" t="str">
        <f t="shared" si="1"/>
        <v>_24.PiècesderechangepourlesnouveauxSDDsanscomp.congélateur</v>
      </c>
    </row>
    <row r="26" spans="1:7" x14ac:dyDescent="0.25">
      <c r="A26" s="156">
        <v>25</v>
      </c>
      <c r="B26" s="177" t="s">
        <v>365</v>
      </c>
      <c r="C26" s="137" t="str">
        <f t="shared" si="0"/>
        <v>_25.Nouveaux congélateurs SDD pièces de rechange</v>
      </c>
      <c r="D26" s="177"/>
      <c r="E26" s="177"/>
      <c r="F26" s="3" t="str">
        <f t="shared" si="1"/>
        <v>_25.NouveauxcongélateursSDDpiècesderechange</v>
      </c>
    </row>
    <row r="29" spans="1:7" x14ac:dyDescent="0.25">
      <c r="A29" t="s">
        <v>253</v>
      </c>
    </row>
    <row r="30" spans="1:7" x14ac:dyDescent="0.25">
      <c r="B30" t="s">
        <v>366</v>
      </c>
      <c r="G30" s="231"/>
    </row>
    <row r="31" spans="1:7" x14ac:dyDescent="0.25">
      <c r="B31" t="s">
        <v>367</v>
      </c>
      <c r="G31" s="231"/>
    </row>
    <row r="32" spans="1:7" x14ac:dyDescent="0.25">
      <c r="B32" t="s">
        <v>368</v>
      </c>
      <c r="G32" s="231"/>
    </row>
    <row r="33" spans="2:7" x14ac:dyDescent="0.25">
      <c r="B33" t="s">
        <v>369</v>
      </c>
      <c r="G33" s="231"/>
    </row>
    <row r="34" spans="2:7" ht="15.75" thickBot="1" x14ac:dyDescent="0.3">
      <c r="B34" t="s">
        <v>370</v>
      </c>
      <c r="G34" s="3"/>
    </row>
    <row r="35" spans="2:7" ht="15.75" thickBot="1" x14ac:dyDescent="0.3">
      <c r="B35" t="s">
        <v>371</v>
      </c>
      <c r="G35" s="12"/>
    </row>
    <row r="36" spans="2:7" ht="15.75" thickBot="1" x14ac:dyDescent="0.3">
      <c r="B36" t="s">
        <v>372</v>
      </c>
      <c r="G36" s="12"/>
    </row>
    <row r="37" spans="2:7" ht="15.75" thickBot="1" x14ac:dyDescent="0.3">
      <c r="B37" t="s">
        <v>373</v>
      </c>
      <c r="G37" s="12"/>
    </row>
    <row r="38" spans="2:7" ht="15.75" thickBot="1" x14ac:dyDescent="0.3">
      <c r="B38" t="s">
        <v>374</v>
      </c>
      <c r="G38" s="13"/>
    </row>
    <row r="39" spans="2:7" x14ac:dyDescent="0.25">
      <c r="B39" t="s">
        <v>375</v>
      </c>
      <c r="G39" s="3"/>
    </row>
    <row r="40" spans="2:7" x14ac:dyDescent="0.25">
      <c r="B40" t="s">
        <v>376</v>
      </c>
      <c r="G40" s="3"/>
    </row>
    <row r="41" spans="2:7" x14ac:dyDescent="0.25">
      <c r="B41" t="s">
        <v>377</v>
      </c>
      <c r="G41" s="3"/>
    </row>
    <row r="42" spans="2:7" x14ac:dyDescent="0.25">
      <c r="B42" t="s">
        <v>378</v>
      </c>
      <c r="G42" s="3"/>
    </row>
    <row r="43" spans="2:7" x14ac:dyDescent="0.25">
      <c r="G43" s="3"/>
    </row>
    <row r="44" spans="2:7" x14ac:dyDescent="0.25">
      <c r="G44" s="3"/>
    </row>
    <row r="45" spans="2:7" x14ac:dyDescent="0.25">
      <c r="G45" s="3"/>
    </row>
    <row r="46" spans="2:7" x14ac:dyDescent="0.25">
      <c r="G46" s="3"/>
    </row>
    <row r="47" spans="2:7" x14ac:dyDescent="0.25">
      <c r="G47" s="231"/>
    </row>
    <row r="48" spans="2:7" x14ac:dyDescent="0.25">
      <c r="G48" s="3"/>
    </row>
    <row r="49" spans="7:7" x14ac:dyDescent="0.25">
      <c r="G49" s="3"/>
    </row>
    <row r="50" spans="7:7" x14ac:dyDescent="0.25">
      <c r="G50" s="3"/>
    </row>
    <row r="51" spans="7:7" x14ac:dyDescent="0.25">
      <c r="G51" s="3"/>
    </row>
    <row r="52" spans="7:7" x14ac:dyDescent="0.25">
      <c r="G52" s="3"/>
    </row>
    <row r="53" spans="7:7" x14ac:dyDescent="0.25">
      <c r="G53" s="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734C-2004-4534-9DC3-8E2956D81796}">
  <sheetPr codeName="Sheet8">
    <tabColor theme="5"/>
  </sheetPr>
  <dimension ref="A1:AV26"/>
  <sheetViews>
    <sheetView workbookViewId="0">
      <selection activeCell="A2" sqref="A2:Y7"/>
    </sheetView>
  </sheetViews>
  <sheetFormatPr defaultRowHeight="15" x14ac:dyDescent="0.25"/>
  <cols>
    <col min="15" max="15" width="18.5703125" customWidth="1"/>
  </cols>
  <sheetData>
    <row r="1" spans="1:48" ht="21" x14ac:dyDescent="0.35">
      <c r="A1" s="181" t="s">
        <v>250</v>
      </c>
    </row>
    <row r="2" spans="1:48" s="2" customFormat="1" ht="135" x14ac:dyDescent="0.25">
      <c r="A2" s="180" t="s">
        <v>380</v>
      </c>
      <c r="B2" s="180" t="s">
        <v>381</v>
      </c>
      <c r="C2" s="180" t="s">
        <v>382</v>
      </c>
      <c r="D2" s="180" t="s">
        <v>383</v>
      </c>
      <c r="E2" s="180" t="s">
        <v>384</v>
      </c>
      <c r="F2" s="180" t="s">
        <v>385</v>
      </c>
      <c r="G2" s="180" t="s">
        <v>386</v>
      </c>
      <c r="H2" s="180" t="s">
        <v>387</v>
      </c>
      <c r="I2" s="180" t="s">
        <v>388</v>
      </c>
      <c r="J2" s="180" t="s">
        <v>389</v>
      </c>
      <c r="K2" s="180" t="s">
        <v>390</v>
      </c>
      <c r="L2" s="180" t="s">
        <v>391</v>
      </c>
      <c r="M2" s="180" t="s">
        <v>392</v>
      </c>
      <c r="N2" s="180" t="s">
        <v>393</v>
      </c>
      <c r="O2" s="180" t="s">
        <v>394</v>
      </c>
      <c r="P2" s="180" t="s">
        <v>395</v>
      </c>
      <c r="Q2" s="180" t="s">
        <v>396</v>
      </c>
      <c r="R2" s="180" t="s">
        <v>397</v>
      </c>
      <c r="S2" s="180" t="s">
        <v>398</v>
      </c>
      <c r="T2" s="180" t="s">
        <v>399</v>
      </c>
      <c r="U2" s="180" t="s">
        <v>400</v>
      </c>
      <c r="V2" s="180" t="s">
        <v>401</v>
      </c>
      <c r="W2" s="180" t="s">
        <v>402</v>
      </c>
      <c r="X2" s="180" t="s">
        <v>403</v>
      </c>
      <c r="Y2" s="180" t="s">
        <v>404</v>
      </c>
    </row>
    <row r="3" spans="1:48" x14ac:dyDescent="0.25">
      <c r="A3" s="178" t="s">
        <v>51</v>
      </c>
      <c r="B3" s="178" t="s">
        <v>65</v>
      </c>
      <c r="C3" s="178" t="s">
        <v>66</v>
      </c>
      <c r="D3" s="178" t="s">
        <v>51</v>
      </c>
      <c r="E3" s="178" t="s">
        <v>52</v>
      </c>
      <c r="F3" s="178" t="s">
        <v>72</v>
      </c>
      <c r="G3" s="178" t="s">
        <v>72</v>
      </c>
      <c r="H3" s="178" t="s">
        <v>88</v>
      </c>
      <c r="I3" s="178" t="s">
        <v>69</v>
      </c>
      <c r="J3" s="178" t="s">
        <v>69</v>
      </c>
      <c r="K3" s="178" t="s">
        <v>72</v>
      </c>
      <c r="L3" s="178" t="s">
        <v>57</v>
      </c>
      <c r="M3" s="178" t="s">
        <v>254</v>
      </c>
      <c r="N3" s="178" t="s">
        <v>148</v>
      </c>
      <c r="O3" s="178" t="s">
        <v>148</v>
      </c>
      <c r="P3" s="178" t="s">
        <v>206</v>
      </c>
      <c r="Q3" s="178" t="s">
        <v>200</v>
      </c>
      <c r="R3" s="178" t="s">
        <v>57</v>
      </c>
      <c r="S3" s="178" t="s">
        <v>57</v>
      </c>
      <c r="T3" s="178" t="s">
        <v>57</v>
      </c>
      <c r="U3" s="178" t="s">
        <v>57</v>
      </c>
      <c r="V3" s="178" t="s">
        <v>57</v>
      </c>
      <c r="W3" s="178" t="s">
        <v>57</v>
      </c>
      <c r="X3" s="178" t="s">
        <v>57</v>
      </c>
      <c r="Y3" s="178" t="s">
        <v>57</v>
      </c>
    </row>
    <row r="4" spans="1:48" x14ac:dyDescent="0.25">
      <c r="A4" s="178" t="s">
        <v>21</v>
      </c>
      <c r="B4" s="178"/>
      <c r="C4" s="178"/>
      <c r="D4" s="178" t="s">
        <v>66</v>
      </c>
      <c r="E4" s="178" t="s">
        <v>67</v>
      </c>
      <c r="F4" s="178" t="s">
        <v>80</v>
      </c>
      <c r="G4" s="178" t="s">
        <v>80</v>
      </c>
      <c r="H4" s="178" t="s">
        <v>92</v>
      </c>
      <c r="I4" s="178" t="s">
        <v>72</v>
      </c>
      <c r="J4" s="178" t="s">
        <v>72</v>
      </c>
      <c r="K4" s="178" t="s">
        <v>80</v>
      </c>
      <c r="L4" s="178"/>
      <c r="M4" s="178" t="s">
        <v>255</v>
      </c>
      <c r="N4" s="178"/>
      <c r="O4" s="178"/>
      <c r="P4" s="178" t="s">
        <v>200</v>
      </c>
      <c r="Q4" s="178"/>
      <c r="R4" s="178"/>
      <c r="S4" s="178"/>
      <c r="T4" s="178"/>
      <c r="U4" s="178"/>
      <c r="V4" s="178"/>
      <c r="W4" s="178"/>
      <c r="X4" s="178"/>
      <c r="Y4" s="178"/>
    </row>
    <row r="5" spans="1:48" x14ac:dyDescent="0.25">
      <c r="A5" s="178" t="s">
        <v>65</v>
      </c>
      <c r="B5" s="178"/>
      <c r="C5" s="178"/>
      <c r="D5" s="178" t="s">
        <v>21</v>
      </c>
      <c r="E5" s="178" t="s">
        <v>23</v>
      </c>
      <c r="F5" s="178" t="s">
        <v>88</v>
      </c>
      <c r="G5" s="178"/>
      <c r="H5" s="178"/>
      <c r="I5" s="178" t="s">
        <v>80</v>
      </c>
      <c r="J5" s="178" t="s">
        <v>80</v>
      </c>
      <c r="K5" s="178"/>
      <c r="L5" s="178"/>
      <c r="M5" s="178"/>
      <c r="N5" s="178"/>
      <c r="O5" s="178"/>
      <c r="P5" s="178"/>
      <c r="Q5" s="178"/>
      <c r="R5" s="178"/>
      <c r="S5" s="178"/>
      <c r="T5" s="178"/>
      <c r="U5" s="178"/>
      <c r="V5" s="178"/>
      <c r="W5" s="178"/>
      <c r="X5" s="178"/>
      <c r="Y5" s="178"/>
    </row>
    <row r="6" spans="1:48" x14ac:dyDescent="0.25">
      <c r="A6" s="178"/>
      <c r="B6" s="178"/>
      <c r="C6" s="178"/>
      <c r="D6" s="178" t="s">
        <v>65</v>
      </c>
      <c r="E6" s="178" t="s">
        <v>68</v>
      </c>
      <c r="F6" s="178" t="s">
        <v>92</v>
      </c>
      <c r="G6" s="178"/>
      <c r="H6" s="178"/>
      <c r="I6" s="178" t="s">
        <v>88</v>
      </c>
      <c r="J6" s="178" t="s">
        <v>88</v>
      </c>
      <c r="K6" s="178"/>
      <c r="L6" s="178"/>
      <c r="M6" s="178"/>
      <c r="N6" s="178"/>
      <c r="O6" s="178"/>
      <c r="P6" s="178"/>
      <c r="Q6" s="178"/>
      <c r="R6" s="178"/>
      <c r="S6" s="178"/>
      <c r="T6" s="178"/>
      <c r="U6" s="178"/>
      <c r="V6" s="178"/>
      <c r="W6" s="178"/>
      <c r="X6" s="178"/>
      <c r="Y6" s="178"/>
    </row>
    <row r="7" spans="1:48" x14ac:dyDescent="0.25">
      <c r="A7" s="178"/>
      <c r="B7" s="178"/>
      <c r="C7" s="178"/>
      <c r="D7" s="178"/>
      <c r="E7" s="178"/>
      <c r="F7" s="178"/>
      <c r="G7" s="178"/>
      <c r="H7" s="178"/>
      <c r="I7" s="178" t="s">
        <v>92</v>
      </c>
      <c r="J7" s="178"/>
      <c r="K7" s="178"/>
      <c r="L7" s="178"/>
      <c r="M7" s="178"/>
      <c r="N7" s="178"/>
      <c r="O7" s="178"/>
      <c r="P7" s="178"/>
      <c r="Q7" s="178"/>
      <c r="R7" s="178"/>
      <c r="S7" s="178"/>
      <c r="T7" s="178"/>
      <c r="U7" s="178"/>
      <c r="V7" s="178"/>
      <c r="W7" s="178"/>
      <c r="X7" s="178"/>
      <c r="Y7" s="178"/>
    </row>
    <row r="9" spans="1:48" ht="21" x14ac:dyDescent="0.35">
      <c r="A9" s="181" t="s">
        <v>251</v>
      </c>
    </row>
    <row r="10" spans="1:48" s="8" customFormat="1" ht="150" x14ac:dyDescent="0.25">
      <c r="A10" s="180" t="str">
        <f>$A$2&amp;SUBSTITUTE(A3," ","")</f>
        <v>_1.Chambresfroidesdeplainpied10cbm</v>
      </c>
      <c r="B10" s="180" t="str">
        <f>$A$2&amp;SUBSTITUTE(A4," ","")</f>
        <v>_1.Chambresfroidesdeplainpied30cbm</v>
      </c>
      <c r="C10" s="180" t="str">
        <f>$A$2&amp;SUBSTITUTE(A5," ","")</f>
        <v>_1.Chambresfroidesdeplainpied40cbm</v>
      </c>
      <c r="D10" s="180" t="str">
        <f>$B$2&amp;SUBSTITUTE(B3," ","")</f>
        <v>_2.Chambresfroidesdeplainpiedaveccongélateurs40cbm</v>
      </c>
      <c r="E10" s="180" t="str">
        <f>$C$2&amp;SUBSTITUTE(C3," ","")</f>
        <v>_3.Marcherdanslecongélateur20cbm</v>
      </c>
      <c r="F10" s="180" t="str">
        <f>$D$2&amp;SUBSTITUTE(D3," ","")</f>
        <v>_4.Locationàcourttermepourchambresfroides10cbm</v>
      </c>
      <c r="G10" s="180" t="str">
        <f>$D$2&amp;SUBSTITUTE(D4," ","")</f>
        <v>_4.Locationàcourttermepourchambresfroides20cbm</v>
      </c>
      <c r="H10" s="180" t="str">
        <f>$D$2&amp;SUBSTITUTE(D5," ","")</f>
        <v>_4.Locationàcourttermepourchambresfroides30cbm</v>
      </c>
      <c r="I10" s="180" t="str">
        <f>$D$2&amp;SUBSTITUTE(D6," ","")</f>
        <v>_4.Locationàcourttermepourchambresfroides40cbm</v>
      </c>
      <c r="J10" s="180" t="str">
        <f>$E$2&amp;SUBSTITUTE(E3," ","")</f>
        <v>_5.Locationdechambresfroidesdeplainpiedoudechambresdecongélation10cbmLT</v>
      </c>
      <c r="K10" s="180" t="str">
        <f>$E$2&amp;SUBSTITUTE(E4," ","")</f>
        <v>_5.Locationdechambresfroidesdeplainpiedoudechambresdecongélation20cbmLT</v>
      </c>
      <c r="L10" s="180" t="str">
        <f>$E$2&amp;SUBSTITUTE(E5," ","")</f>
        <v>_5.Locationdechambresfroidesdeplainpiedoudechambresdecongélation30cbmLT</v>
      </c>
      <c r="M10" s="180" t="str">
        <f>$E$2&amp;SUBSTITUTE(E6," ","")</f>
        <v>_5.Locationdechambresfroidesdeplainpiedoudechambresdecongélation40cbmLT</v>
      </c>
      <c r="N10" s="180" t="str">
        <f>$F$2&amp;SUBSTITUTE(F3," ","")</f>
        <v>_6.RéfrigérateurILRàgaineréfrigérantesurréseau_sanscomp.congélateur30-&lt;60L</v>
      </c>
      <c r="O10" s="180" t="str">
        <f>$F$2&amp;SUBSTITUTE(F4," ","")</f>
        <v>_6.RéfrigérateurILRàgaineréfrigérantesurréseau_sanscomp.congélateur60-&lt;90L</v>
      </c>
      <c r="P10" s="180" t="str">
        <f>$F$2&amp;SUBSTITUTE(F5," ","")</f>
        <v>_6.RéfrigérateurILRàgaineréfrigérantesurréseau_sanscomp.congélateur90-&lt;120L</v>
      </c>
      <c r="Q10" s="180" t="str">
        <f>$F$2&amp;SUBSTITUTE(F6," ","")</f>
        <v>_6.RéfrigérateurILRàgaineréfrigérantesurréseau_sanscomp.congélateur&gt;120L</v>
      </c>
      <c r="R10" s="180" t="str">
        <f>$G$2&amp;SUBSTITUTE(G3," ","")</f>
        <v>_7.ILRsurréseau_aveccomp.congélateur30-&lt;60L</v>
      </c>
      <c r="S10" s="180" t="str">
        <f>$G$2&amp;SUBSTITUTE(G4," ","")</f>
        <v>_7.ILRsurréseau_aveccomp.congélateur60-&lt;90L</v>
      </c>
      <c r="T10" s="180" t="str">
        <f>$H$2&amp;SUBSTITUTE(H3," ","")</f>
        <v>_8.Congélateurssurréseau90-&lt;120L</v>
      </c>
      <c r="U10" s="180" t="str">
        <f>$H$2&amp;SUBSTITUTE(H4," ","")</f>
        <v>_8.Congélateurssurréseau&gt;120L</v>
      </c>
      <c r="V10" s="180" t="str">
        <f>$I$2&amp;SUBSTITUTE(I3," ","")</f>
        <v>_9.RéfrigérateurshorsréseauSDD_sanscomp.congélateur&lt;30L</v>
      </c>
      <c r="W10" s="180" t="str">
        <f>$I$2&amp;SUBSTITUTE(I4," ","")</f>
        <v>_9.RéfrigérateurshorsréseauSDD_sanscomp.congélateur30-&lt;60L</v>
      </c>
      <c r="X10" s="180" t="str">
        <f>$I$2&amp;SUBSTITUTE(I5," ","")</f>
        <v>_9.RéfrigérateurshorsréseauSDD_sanscomp.congélateur60-&lt;90L</v>
      </c>
      <c r="Y10" s="180" t="str">
        <f>$I$2&amp;SUBSTITUTE(I6," ","")</f>
        <v>_9.RéfrigérateurshorsréseauSDD_sanscomp.congélateur90-&lt;120L</v>
      </c>
      <c r="Z10" s="180" t="str">
        <f>$I$2&amp;SUBSTITUTE(I7," ","")</f>
        <v>_9.RéfrigérateurshorsréseauSDD_sanscomp.congélateur&gt;120L</v>
      </c>
      <c r="AA10" s="180" t="str">
        <f>$J$2&amp;SUBSTITUTE(J3," ","")</f>
        <v>_10.RéfrigérateurshorsréseauSDD_aveccomp.congélateur&lt;30L</v>
      </c>
      <c r="AB10" s="180" t="str">
        <f>$J$2&amp;SUBSTITUTE(J4," ","")</f>
        <v>_10.RéfrigérateurshorsréseauSDD_aveccomp.congélateur30-&lt;60L</v>
      </c>
      <c r="AC10" s="180" t="str">
        <f>$J$2&amp;SUBSTITUTE(J5," ","")</f>
        <v>_10.RéfrigérateurshorsréseauSDD_aveccomp.congélateur60-&lt;90L</v>
      </c>
      <c r="AD10" s="180" t="str">
        <f>$J$2&amp;SUBSTITUTE(J6," ","")</f>
        <v>_10.RéfrigérateurshorsréseauSDD_aveccomp.congélateur90-&lt;120L</v>
      </c>
      <c r="AE10" s="180" t="str">
        <f>$K$2&amp;SUBSTITUTE(K3," ","")</f>
        <v>_11.CongélateurhorsréseauSDD30-&lt;60L</v>
      </c>
      <c r="AF10" s="180" t="str">
        <f>$K$2&amp;SUBSTITUTE(K4," ","")</f>
        <v>_11.CongélateurhorsréseauSDD60-&lt;90L</v>
      </c>
      <c r="AG10" s="180" t="str">
        <f>$L$2&amp;SUBSTITUTE(L3," ","")</f>
        <v>_12.Outildesuividelatempérature_30DTRNA</v>
      </c>
      <c r="AH10" s="180" t="str">
        <f>$M$2&amp;SUBSTITUTE(M3," ","")</f>
        <v>_13.Dispositifsdesurveillanceàdistancedelatempérature_RTMDWICR</v>
      </c>
      <c r="AI10" s="180" t="str">
        <f>$M$2&amp;SUBSTITUTE(M4," ","")</f>
        <v>_13.Dispositifsdesurveillanceàdistancedelatempérature_RTMDRefrigerator</v>
      </c>
      <c r="AJ10" s="180" t="str">
        <f>$N$2&amp;SUBSTITUTE(N3," ","")</f>
        <v>_14.Portevaccinstraditionnels&lt;5L</v>
      </c>
      <c r="AK10" s="180" t="str">
        <f>$O$2&amp;SUBSTITUTE(O3," ","")</f>
        <v>_15.Portevaccinshorsgel&lt;5L</v>
      </c>
      <c r="AL10" s="180" t="str">
        <f>$P$2&amp;SUBSTITUTE(P3," ","")</f>
        <v>_16.Glacièrespourvaccinstraditionnelles5-15L</v>
      </c>
      <c r="AM10" s="180" t="str">
        <f>$P$2&amp;SUBSTITUTE(P4," ","")</f>
        <v>_16.Glacièrespourvaccinstraditionnelles&gt;15L</v>
      </c>
      <c r="AN10" s="180" t="str">
        <f>$Q$2&amp;SUBSTITUTE(Q3," ","")</f>
        <v>_17.Glacièreshorsgel&gt;15L</v>
      </c>
      <c r="AO10" s="180" t="str">
        <f>$R$2&amp;SUBSTITUTE(R3," ","")</f>
        <v>_18.RégulateursdetensionpouréquipementNA</v>
      </c>
      <c r="AP10" s="180" t="str">
        <f>$S$2&amp;SUBSTITUTE(S3," ","")</f>
        <v>_19.PacksdeglaceNA</v>
      </c>
      <c r="AQ10" s="180" t="str">
        <f>$T$2&amp;SUBSTITUTE(T3," ","")</f>
        <v>_20.PiècesderechangepourlesnouveauxéquipementsILRsanscongélateurNA</v>
      </c>
      <c r="AR10" s="180" t="str">
        <f>$U$2&amp;SUBSTITUTE(U3," ","")</f>
        <v>_21.PiècesderechangepourlesnouveauxéquipementsILRaveccongélateurNA</v>
      </c>
      <c r="AS10" s="180" t="str">
        <f>$V$2&amp;SUBSTITUTE(V3," ","")</f>
        <v>_22.PiècesderechangepourlesnouveauxcongélateursNA</v>
      </c>
      <c r="AT10" s="180" t="str">
        <f>$W$2&amp;SUBSTITUTE(W3," ","")</f>
        <v>_23.PiècesderechangepourlesnouveauxSDDaveccomp.congélateurNA</v>
      </c>
      <c r="AU10" s="180" t="str">
        <f>$X$2&amp;SUBSTITUTE(X3," ","")</f>
        <v>_24.PiècesderechangepourlesnouveauxSDDsanscomp.congélateurNA</v>
      </c>
      <c r="AV10" s="180" t="str">
        <f>$Y$2&amp;SUBSTITUTE(Y3," ","")</f>
        <v>_25.NouveauxcongélateursSDDpiècesderechangeNA</v>
      </c>
    </row>
    <row r="11" spans="1:48" ht="120" x14ac:dyDescent="0.25">
      <c r="A11" s="179" t="s">
        <v>479</v>
      </c>
      <c r="B11" s="179" t="s">
        <v>484</v>
      </c>
      <c r="C11" s="179" t="s">
        <v>493</v>
      </c>
      <c r="D11" s="179" t="s">
        <v>502</v>
      </c>
      <c r="E11" s="179" t="s">
        <v>309</v>
      </c>
      <c r="F11" s="179" t="s">
        <v>51</v>
      </c>
      <c r="G11" s="179" t="s">
        <v>66</v>
      </c>
      <c r="H11" s="179" t="s">
        <v>21</v>
      </c>
      <c r="I11" s="179" t="s">
        <v>65</v>
      </c>
      <c r="J11" s="179" t="s">
        <v>52</v>
      </c>
      <c r="K11" s="179" t="s">
        <v>67</v>
      </c>
      <c r="L11" s="179" t="s">
        <v>23</v>
      </c>
      <c r="M11" s="179" t="s">
        <v>68</v>
      </c>
      <c r="N11" s="179" t="s">
        <v>74</v>
      </c>
      <c r="O11" s="179" t="s">
        <v>82</v>
      </c>
      <c r="P11" s="179" t="s">
        <v>89</v>
      </c>
      <c r="Q11" s="179" t="s">
        <v>93</v>
      </c>
      <c r="R11" s="179" t="s">
        <v>99</v>
      </c>
      <c r="S11" s="179" t="s">
        <v>102</v>
      </c>
      <c r="T11" s="179" t="s">
        <v>103</v>
      </c>
      <c r="U11" s="179" t="s">
        <v>105</v>
      </c>
      <c r="V11" s="179" t="s">
        <v>110</v>
      </c>
      <c r="W11" s="179" t="s">
        <v>111</v>
      </c>
      <c r="X11" s="179" t="s">
        <v>118</v>
      </c>
      <c r="Y11" s="179" t="s">
        <v>119</v>
      </c>
      <c r="Z11" s="179" t="s">
        <v>122</v>
      </c>
      <c r="AA11" s="179" t="s">
        <v>126</v>
      </c>
      <c r="AB11" s="179" t="s">
        <v>127</v>
      </c>
      <c r="AC11" s="179" t="s">
        <v>132</v>
      </c>
      <c r="AD11" s="179" t="s">
        <v>133</v>
      </c>
      <c r="AE11" s="179" t="s">
        <v>135</v>
      </c>
      <c r="AF11" s="179" t="s">
        <v>137</v>
      </c>
      <c r="AG11" s="179" t="s">
        <v>138</v>
      </c>
      <c r="AH11" s="179" t="s">
        <v>226</v>
      </c>
      <c r="AI11" s="179" t="s">
        <v>234</v>
      </c>
      <c r="AJ11" s="179" t="s">
        <v>171</v>
      </c>
      <c r="AK11" s="179" t="s">
        <v>150</v>
      </c>
      <c r="AL11" s="179" t="s">
        <v>189</v>
      </c>
      <c r="AM11" s="179" t="s">
        <v>198</v>
      </c>
      <c r="AN11" s="179" t="s">
        <v>155</v>
      </c>
      <c r="AO11" s="179" t="s">
        <v>157</v>
      </c>
      <c r="AP11" s="179" t="s">
        <v>210</v>
      </c>
      <c r="AQ11" s="179" t="s">
        <v>256</v>
      </c>
      <c r="AR11" s="179" t="s">
        <v>271</v>
      </c>
      <c r="AS11" s="179" t="s">
        <v>275</v>
      </c>
      <c r="AT11" s="179" t="s">
        <v>281</v>
      </c>
      <c r="AU11" s="179" t="s">
        <v>297</v>
      </c>
      <c r="AV11" s="179" t="s">
        <v>306</v>
      </c>
    </row>
    <row r="12" spans="1:48" ht="150" x14ac:dyDescent="0.25">
      <c r="A12" s="179" t="s">
        <v>480</v>
      </c>
      <c r="B12" s="179" t="s">
        <v>485</v>
      </c>
      <c r="C12" s="179" t="s">
        <v>494</v>
      </c>
      <c r="D12" s="179" t="s">
        <v>503</v>
      </c>
      <c r="E12" s="179" t="s">
        <v>310</v>
      </c>
      <c r="F12" s="179"/>
      <c r="G12" s="179"/>
      <c r="H12" s="179"/>
      <c r="I12" s="179"/>
      <c r="J12" s="179"/>
      <c r="K12" s="179"/>
      <c r="L12" s="179"/>
      <c r="M12" s="179"/>
      <c r="N12" s="179" t="s">
        <v>77</v>
      </c>
      <c r="O12" s="179" t="s">
        <v>84</v>
      </c>
      <c r="P12" s="179" t="s">
        <v>90</v>
      </c>
      <c r="Q12" s="179" t="s">
        <v>95</v>
      </c>
      <c r="R12" s="179" t="s">
        <v>100</v>
      </c>
      <c r="S12" s="179"/>
      <c r="T12" s="179" t="s">
        <v>104</v>
      </c>
      <c r="U12" s="179" t="s">
        <v>106</v>
      </c>
      <c r="V12" s="179"/>
      <c r="W12" s="179" t="s">
        <v>112</v>
      </c>
      <c r="X12" s="179"/>
      <c r="Y12" s="179" t="s">
        <v>120</v>
      </c>
      <c r="Z12" s="179" t="s">
        <v>123</v>
      </c>
      <c r="AA12" s="179"/>
      <c r="AB12" s="179" t="s">
        <v>128</v>
      </c>
      <c r="AC12" s="179"/>
      <c r="AD12" s="179" t="s">
        <v>134</v>
      </c>
      <c r="AE12" s="179" t="s">
        <v>136</v>
      </c>
      <c r="AF12" s="179"/>
      <c r="AG12" s="179" t="s">
        <v>140</v>
      </c>
      <c r="AH12" s="179" t="s">
        <v>227</v>
      </c>
      <c r="AI12" s="179" t="s">
        <v>235</v>
      </c>
      <c r="AJ12" s="179" t="s">
        <v>173</v>
      </c>
      <c r="AK12" s="179" t="s">
        <v>152</v>
      </c>
      <c r="AL12" s="179" t="s">
        <v>190</v>
      </c>
      <c r="AM12" s="179" t="s">
        <v>199</v>
      </c>
      <c r="AN12" s="179"/>
      <c r="AO12" s="179" t="s">
        <v>158</v>
      </c>
      <c r="AP12" s="179" t="s">
        <v>211</v>
      </c>
      <c r="AQ12" s="179" t="s">
        <v>257</v>
      </c>
      <c r="AR12" s="179" t="s">
        <v>272</v>
      </c>
      <c r="AS12" s="179" t="s">
        <v>276</v>
      </c>
      <c r="AT12" s="179" t="s">
        <v>282</v>
      </c>
      <c r="AU12" s="179" t="s">
        <v>298</v>
      </c>
      <c r="AV12" s="179" t="s">
        <v>307</v>
      </c>
    </row>
    <row r="13" spans="1:48" ht="150" x14ac:dyDescent="0.25">
      <c r="A13" s="179" t="s">
        <v>481</v>
      </c>
      <c r="B13" s="179" t="s">
        <v>486</v>
      </c>
      <c r="C13" s="179" t="s">
        <v>495</v>
      </c>
      <c r="D13" s="179" t="s">
        <v>504</v>
      </c>
      <c r="E13" s="179" t="s">
        <v>311</v>
      </c>
      <c r="F13" s="179"/>
      <c r="G13" s="179"/>
      <c r="H13" s="179"/>
      <c r="I13" s="179"/>
      <c r="J13" s="179"/>
      <c r="K13" s="179"/>
      <c r="L13" s="179"/>
      <c r="M13" s="179"/>
      <c r="N13" s="179" t="s">
        <v>78</v>
      </c>
      <c r="O13" s="179" t="s">
        <v>86</v>
      </c>
      <c r="P13" s="179" t="s">
        <v>91</v>
      </c>
      <c r="Q13" s="179" t="s">
        <v>96</v>
      </c>
      <c r="R13" s="179" t="s">
        <v>101</v>
      </c>
      <c r="S13" s="179"/>
      <c r="T13" s="179"/>
      <c r="U13" s="179" t="s">
        <v>107</v>
      </c>
      <c r="V13" s="179"/>
      <c r="W13" s="179" t="s">
        <v>113</v>
      </c>
      <c r="X13" s="179"/>
      <c r="Y13" s="179" t="s">
        <v>121</v>
      </c>
      <c r="Z13" s="179" t="s">
        <v>124</v>
      </c>
      <c r="AA13" s="179"/>
      <c r="AB13" s="179" t="s">
        <v>129</v>
      </c>
      <c r="AC13" s="179"/>
      <c r="AD13" s="179"/>
      <c r="AF13" s="179"/>
      <c r="AG13" s="179" t="s">
        <v>142</v>
      </c>
      <c r="AH13" s="179" t="s">
        <v>228</v>
      </c>
      <c r="AI13" s="179" t="s">
        <v>236</v>
      </c>
      <c r="AJ13" s="179" t="s">
        <v>176</v>
      </c>
      <c r="AK13" s="179" t="s">
        <v>154</v>
      </c>
      <c r="AL13" s="179" t="s">
        <v>191</v>
      </c>
      <c r="AM13" s="179" t="s">
        <v>201</v>
      </c>
      <c r="AN13" s="179"/>
      <c r="AO13" s="179" t="s">
        <v>159</v>
      </c>
      <c r="AP13" s="179" t="s">
        <v>212</v>
      </c>
      <c r="AQ13" s="179" t="s">
        <v>258</v>
      </c>
      <c r="AR13" s="179" t="s">
        <v>273</v>
      </c>
      <c r="AS13" s="179" t="s">
        <v>277</v>
      </c>
      <c r="AT13" s="179" t="s">
        <v>283</v>
      </c>
      <c r="AU13" s="179" t="s">
        <v>299</v>
      </c>
      <c r="AV13" s="179" t="s">
        <v>308</v>
      </c>
    </row>
    <row r="14" spans="1:48" ht="150" x14ac:dyDescent="0.25">
      <c r="A14" s="179" t="s">
        <v>482</v>
      </c>
      <c r="B14" s="179" t="s">
        <v>487</v>
      </c>
      <c r="C14" s="179" t="s">
        <v>496</v>
      </c>
      <c r="D14" s="179" t="s">
        <v>505</v>
      </c>
      <c r="E14" s="179" t="s">
        <v>312</v>
      </c>
      <c r="F14" s="179"/>
      <c r="G14" s="179"/>
      <c r="H14" s="179"/>
      <c r="I14" s="179"/>
      <c r="J14" s="179"/>
      <c r="K14" s="179"/>
      <c r="L14" s="179"/>
      <c r="M14" s="179"/>
      <c r="N14" s="179"/>
      <c r="O14" s="179" t="s">
        <v>87</v>
      </c>
      <c r="P14" s="179"/>
      <c r="Q14" s="179" t="s">
        <v>97</v>
      </c>
      <c r="R14" s="179"/>
      <c r="S14" s="179"/>
      <c r="T14" s="179"/>
      <c r="U14" s="179" t="s">
        <v>108</v>
      </c>
      <c r="V14" s="179"/>
      <c r="W14" s="179" t="s">
        <v>114</v>
      </c>
      <c r="X14" s="179"/>
      <c r="Y14" s="179"/>
      <c r="Z14" s="179" t="s">
        <v>125</v>
      </c>
      <c r="AA14" s="179"/>
      <c r="AB14" s="179" t="s">
        <v>130</v>
      </c>
      <c r="AC14" s="179"/>
      <c r="AD14" s="179"/>
      <c r="AE14" s="179"/>
      <c r="AF14" s="179"/>
      <c r="AG14" s="179" t="s">
        <v>143</v>
      </c>
      <c r="AH14" s="179" t="s">
        <v>229</v>
      </c>
      <c r="AI14" s="179" t="s">
        <v>237</v>
      </c>
      <c r="AJ14" s="179" t="s">
        <v>177</v>
      </c>
      <c r="AK14" s="179"/>
      <c r="AL14" s="179" t="s">
        <v>192</v>
      </c>
      <c r="AM14" s="179" t="s">
        <v>202</v>
      </c>
      <c r="AN14" s="179"/>
      <c r="AO14" s="179" t="s">
        <v>161</v>
      </c>
      <c r="AP14" s="179" t="s">
        <v>213</v>
      </c>
      <c r="AQ14" s="179" t="s">
        <v>259</v>
      </c>
      <c r="AR14" s="179" t="s">
        <v>274</v>
      </c>
      <c r="AS14" s="179" t="s">
        <v>278</v>
      </c>
      <c r="AT14" s="179" t="s">
        <v>284</v>
      </c>
      <c r="AU14" s="179" t="s">
        <v>300</v>
      </c>
      <c r="AV14" s="179"/>
    </row>
    <row r="15" spans="1:48" ht="135" x14ac:dyDescent="0.25">
      <c r="A15" s="179" t="s">
        <v>483</v>
      </c>
      <c r="B15" s="179" t="s">
        <v>488</v>
      </c>
      <c r="C15" s="179" t="s">
        <v>497</v>
      </c>
      <c r="D15" s="179" t="s">
        <v>506</v>
      </c>
      <c r="E15" s="179" t="s">
        <v>313</v>
      </c>
      <c r="F15" s="179"/>
      <c r="G15" s="179"/>
      <c r="H15" s="179"/>
      <c r="I15" s="179"/>
      <c r="J15" s="179"/>
      <c r="K15" s="179"/>
      <c r="L15" s="179"/>
      <c r="M15" s="179"/>
      <c r="N15" s="179"/>
      <c r="O15" s="179"/>
      <c r="P15" s="179"/>
      <c r="Q15" s="179" t="s">
        <v>98</v>
      </c>
      <c r="R15" s="179"/>
      <c r="S15" s="179"/>
      <c r="T15" s="179"/>
      <c r="U15" s="179"/>
      <c r="V15" s="179"/>
      <c r="W15" s="179" t="s">
        <v>115</v>
      </c>
      <c r="X15" s="179"/>
      <c r="Y15" s="179"/>
      <c r="Z15" s="179"/>
      <c r="AA15" s="179"/>
      <c r="AB15" s="179" t="s">
        <v>131</v>
      </c>
      <c r="AC15" s="179"/>
      <c r="AD15" s="179"/>
      <c r="AE15" s="179"/>
      <c r="AF15" s="179"/>
      <c r="AG15" s="179" t="s">
        <v>145</v>
      </c>
      <c r="AH15" s="179" t="s">
        <v>230</v>
      </c>
      <c r="AI15" s="179" t="s">
        <v>238</v>
      </c>
      <c r="AJ15" s="179" t="s">
        <v>179</v>
      </c>
      <c r="AK15" s="179"/>
      <c r="AL15" s="179" t="s">
        <v>193</v>
      </c>
      <c r="AM15" s="179" t="s">
        <v>203</v>
      </c>
      <c r="AN15" s="179"/>
      <c r="AO15" s="179" t="s">
        <v>162</v>
      </c>
      <c r="AP15" s="179" t="s">
        <v>249</v>
      </c>
      <c r="AQ15" s="179" t="s">
        <v>260</v>
      </c>
      <c r="AR15" s="179"/>
      <c r="AS15" s="179" t="s">
        <v>279</v>
      </c>
      <c r="AT15" s="179" t="s">
        <v>285</v>
      </c>
      <c r="AU15" s="179" t="s">
        <v>301</v>
      </c>
      <c r="AV15" s="179"/>
    </row>
    <row r="16" spans="1:48" ht="135" x14ac:dyDescent="0.25">
      <c r="A16" s="179"/>
      <c r="B16" s="179" t="s">
        <v>489</v>
      </c>
      <c r="C16" s="179" t="s">
        <v>498</v>
      </c>
      <c r="D16" s="179" t="s">
        <v>507</v>
      </c>
      <c r="E16" s="179" t="s">
        <v>314</v>
      </c>
      <c r="F16" s="179"/>
      <c r="G16" s="179"/>
      <c r="H16" s="179"/>
      <c r="I16" s="179"/>
      <c r="J16" s="179"/>
      <c r="K16" s="179"/>
      <c r="L16" s="179"/>
      <c r="M16" s="179"/>
      <c r="N16" s="179"/>
      <c r="O16" s="179"/>
      <c r="P16" s="179"/>
      <c r="Q16" s="179"/>
      <c r="R16" s="179"/>
      <c r="S16" s="179"/>
      <c r="T16" s="179"/>
      <c r="U16" s="179"/>
      <c r="V16" s="179"/>
      <c r="W16" s="179" t="s">
        <v>116</v>
      </c>
      <c r="X16" s="179"/>
      <c r="Y16" s="179"/>
      <c r="Z16" s="179"/>
      <c r="AA16" s="179"/>
      <c r="AB16" s="179"/>
      <c r="AC16" s="179"/>
      <c r="AD16" s="179"/>
      <c r="AE16" s="179"/>
      <c r="AF16" s="179"/>
      <c r="AG16" s="179"/>
      <c r="AH16" s="179" t="s">
        <v>231</v>
      </c>
      <c r="AI16" s="179" t="s">
        <v>239</v>
      </c>
      <c r="AJ16" s="179" t="s">
        <v>180</v>
      </c>
      <c r="AK16" s="179"/>
      <c r="AL16" s="179" t="s">
        <v>194</v>
      </c>
      <c r="AM16" s="179" t="s">
        <v>204</v>
      </c>
      <c r="AN16" s="179"/>
      <c r="AO16" s="179" t="s">
        <v>163</v>
      </c>
      <c r="AP16" s="179" t="s">
        <v>214</v>
      </c>
      <c r="AQ16" s="179" t="s">
        <v>261</v>
      </c>
      <c r="AR16" s="179"/>
      <c r="AS16" s="179" t="s">
        <v>280</v>
      </c>
      <c r="AT16" s="179" t="s">
        <v>286</v>
      </c>
      <c r="AU16" s="179" t="s">
        <v>302</v>
      </c>
      <c r="AV16" s="179"/>
    </row>
    <row r="17" spans="1:48" ht="150" x14ac:dyDescent="0.25">
      <c r="A17" s="179"/>
      <c r="B17" s="179" t="s">
        <v>490</v>
      </c>
      <c r="C17" s="179" t="s">
        <v>499</v>
      </c>
      <c r="D17" s="179" t="s">
        <v>508</v>
      </c>
      <c r="E17" s="179" t="s">
        <v>315</v>
      </c>
      <c r="F17" s="179"/>
      <c r="G17" s="179"/>
      <c r="H17" s="179"/>
      <c r="I17" s="179"/>
      <c r="J17" s="179"/>
      <c r="K17" s="179"/>
      <c r="L17" s="179"/>
      <c r="M17" s="179"/>
      <c r="N17" s="179"/>
      <c r="O17" s="179"/>
      <c r="P17" s="179"/>
      <c r="Q17" s="179"/>
      <c r="R17" s="179"/>
      <c r="S17" s="179"/>
      <c r="T17" s="179"/>
      <c r="U17" s="179"/>
      <c r="V17" s="179"/>
      <c r="W17" s="179" t="s">
        <v>117</v>
      </c>
      <c r="X17" s="179"/>
      <c r="Y17" s="179"/>
      <c r="Z17" s="179"/>
      <c r="AA17" s="179"/>
      <c r="AB17" s="179"/>
      <c r="AC17" s="179"/>
      <c r="AD17" s="179"/>
      <c r="AE17" s="179"/>
      <c r="AF17" s="179"/>
      <c r="AG17" s="179"/>
      <c r="AH17" s="179" t="s">
        <v>232</v>
      </c>
      <c r="AI17" s="179"/>
      <c r="AJ17" s="179" t="s">
        <v>181</v>
      </c>
      <c r="AK17" s="179"/>
      <c r="AL17" s="179" t="s">
        <v>195</v>
      </c>
      <c r="AM17" s="179" t="s">
        <v>205</v>
      </c>
      <c r="AN17" s="179"/>
      <c r="AO17" s="179" t="s">
        <v>164</v>
      </c>
      <c r="AP17" s="179" t="s">
        <v>215</v>
      </c>
      <c r="AQ17" s="179" t="s">
        <v>262</v>
      </c>
      <c r="AR17" s="179"/>
      <c r="AS17" s="179"/>
      <c r="AT17" s="179" t="s">
        <v>287</v>
      </c>
      <c r="AU17" s="179" t="s">
        <v>303</v>
      </c>
      <c r="AV17" s="179"/>
    </row>
    <row r="18" spans="1:48" ht="135" x14ac:dyDescent="0.25">
      <c r="A18" s="179"/>
      <c r="B18" s="179" t="s">
        <v>491</v>
      </c>
      <c r="C18" s="179" t="s">
        <v>500</v>
      </c>
      <c r="D18" s="179" t="s">
        <v>509</v>
      </c>
      <c r="E18" s="179" t="s">
        <v>316</v>
      </c>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t="s">
        <v>233</v>
      </c>
      <c r="AI18" s="179"/>
      <c r="AJ18" s="179" t="s">
        <v>182</v>
      </c>
      <c r="AK18" s="179"/>
      <c r="AL18" s="179" t="s">
        <v>196</v>
      </c>
      <c r="AM18" s="179"/>
      <c r="AN18" s="179"/>
      <c r="AO18" s="179" t="s">
        <v>165</v>
      </c>
      <c r="AP18" s="179" t="s">
        <v>216</v>
      </c>
      <c r="AQ18" s="179" t="s">
        <v>263</v>
      </c>
      <c r="AR18" s="179"/>
      <c r="AS18" s="179"/>
      <c r="AT18" s="179" t="s">
        <v>288</v>
      </c>
      <c r="AU18" s="179" t="s">
        <v>304</v>
      </c>
      <c r="AV18" s="179"/>
    </row>
    <row r="19" spans="1:48" ht="105" x14ac:dyDescent="0.25">
      <c r="A19" s="179"/>
      <c r="B19" s="179" t="s">
        <v>492</v>
      </c>
      <c r="C19" s="179" t="s">
        <v>501</v>
      </c>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I19" s="179"/>
      <c r="AJ19" s="179" t="s">
        <v>183</v>
      </c>
      <c r="AK19" s="179"/>
      <c r="AL19" s="179" t="s">
        <v>197</v>
      </c>
      <c r="AM19" s="179"/>
      <c r="AN19" s="179"/>
      <c r="AO19" s="179" t="s">
        <v>166</v>
      </c>
      <c r="AP19" s="179" t="s">
        <v>217</v>
      </c>
      <c r="AQ19" s="179" t="s">
        <v>264</v>
      </c>
      <c r="AR19" s="179"/>
      <c r="AS19" s="179"/>
      <c r="AT19" s="179" t="s">
        <v>289</v>
      </c>
      <c r="AU19" s="179" t="s">
        <v>305</v>
      </c>
      <c r="AV19" s="179"/>
    </row>
    <row r="20" spans="1:48" ht="60" x14ac:dyDescent="0.25">
      <c r="A20" s="179"/>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I20" s="179"/>
      <c r="AJ20" s="179" t="s">
        <v>184</v>
      </c>
      <c r="AK20" s="179"/>
      <c r="AL20" s="179"/>
      <c r="AM20" s="179"/>
      <c r="AN20" s="179"/>
      <c r="AO20" s="179" t="s">
        <v>167</v>
      </c>
      <c r="AP20" s="179" t="s">
        <v>218</v>
      </c>
      <c r="AQ20" s="179" t="s">
        <v>265</v>
      </c>
      <c r="AR20" s="179"/>
      <c r="AS20" s="179"/>
      <c r="AT20" s="179" t="s">
        <v>290</v>
      </c>
      <c r="AU20" s="179"/>
      <c r="AV20" s="179"/>
    </row>
    <row r="21" spans="1:48" ht="60" x14ac:dyDescent="0.25">
      <c r="A21" s="179"/>
      <c r="B21" s="179"/>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I21" s="179"/>
      <c r="AJ21" s="179" t="s">
        <v>185</v>
      </c>
      <c r="AK21" s="179"/>
      <c r="AL21" s="179"/>
      <c r="AM21" s="179"/>
      <c r="AN21" s="179"/>
      <c r="AO21" s="179" t="s">
        <v>168</v>
      </c>
      <c r="AP21" s="179" t="s">
        <v>219</v>
      </c>
      <c r="AQ21" s="179" t="s">
        <v>266</v>
      </c>
      <c r="AR21" s="179"/>
      <c r="AS21" s="179"/>
      <c r="AT21" s="179" t="s">
        <v>291</v>
      </c>
      <c r="AU21" s="179"/>
      <c r="AV21" s="179"/>
    </row>
    <row r="22" spans="1:48" ht="60" x14ac:dyDescent="0.25">
      <c r="A22" s="179"/>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I22" s="179"/>
      <c r="AJ22" s="179" t="s">
        <v>186</v>
      </c>
      <c r="AK22" s="179"/>
      <c r="AL22" s="179"/>
      <c r="AM22" s="179"/>
      <c r="AN22" s="179"/>
      <c r="AO22" s="179" t="s">
        <v>169</v>
      </c>
      <c r="AP22" s="179" t="s">
        <v>220</v>
      </c>
      <c r="AQ22" s="179" t="s">
        <v>267</v>
      </c>
      <c r="AR22" s="179"/>
      <c r="AS22" s="179"/>
      <c r="AT22" s="179" t="s">
        <v>292</v>
      </c>
      <c r="AU22" s="179"/>
      <c r="AV22" s="179"/>
    </row>
    <row r="23" spans="1:48" ht="60" x14ac:dyDescent="0.25">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I23" s="179"/>
      <c r="AJ23" s="179" t="s">
        <v>187</v>
      </c>
      <c r="AK23" s="179"/>
      <c r="AL23" s="179"/>
      <c r="AM23" s="179"/>
      <c r="AN23" s="179"/>
      <c r="AO23" s="179" t="s">
        <v>170</v>
      </c>
      <c r="AP23" s="179" t="s">
        <v>221</v>
      </c>
      <c r="AQ23" s="179" t="s">
        <v>268</v>
      </c>
      <c r="AR23" s="179"/>
      <c r="AS23" s="179"/>
      <c r="AT23" s="179" t="s">
        <v>293</v>
      </c>
      <c r="AU23" s="179"/>
      <c r="AV23" s="179"/>
    </row>
    <row r="24" spans="1:48" ht="60" x14ac:dyDescent="0.25">
      <c r="A24" s="179"/>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I24" s="179"/>
      <c r="AJ24" s="179" t="s">
        <v>188</v>
      </c>
      <c r="AK24" s="179"/>
      <c r="AL24" s="179"/>
      <c r="AM24" s="179"/>
      <c r="AN24" s="179"/>
      <c r="AO24" s="179"/>
      <c r="AP24" s="179" t="s">
        <v>510</v>
      </c>
      <c r="AQ24" s="179" t="s">
        <v>269</v>
      </c>
      <c r="AR24" s="179"/>
      <c r="AS24" s="179"/>
      <c r="AT24" s="179" t="s">
        <v>294</v>
      </c>
      <c r="AU24" s="179"/>
      <c r="AV24" s="179"/>
    </row>
    <row r="25" spans="1:48" ht="60" x14ac:dyDescent="0.25">
      <c r="A25" s="179"/>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t="s">
        <v>270</v>
      </c>
      <c r="AR25" s="179"/>
      <c r="AS25" s="179"/>
      <c r="AT25" s="179" t="s">
        <v>295</v>
      </c>
      <c r="AU25" s="179"/>
      <c r="AV25" s="179"/>
    </row>
    <row r="26" spans="1:48" ht="60" x14ac:dyDescent="0.25">
      <c r="A26" s="179"/>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t="s">
        <v>296</v>
      </c>
      <c r="AU26" s="179"/>
      <c r="AV26" s="17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7" ma:contentTypeDescription="Gavi Document content type " ma:contentTypeScope="" ma:versionID="a2a4c7f63ad82320bd71c3519bc789cb">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4f143fe849600828eb9a8cbe28f15da2"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GAVI-438364776-938462</_dlc_DocId>
    <_dlc_DocIdUrl xmlns="55894003-98dc-4f3e-8669-85b90bdbcc8c">
      <Url>https://gavinet.sharepoint.com/teams/PAP/srp/_layouts/15/DocIdRedir.aspx?ID=GAVI-438364776-938462</Url>
      <Description>GAVI-438364776-938462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93cb0222-e980-4273-ad97-85dba3159c09" ContentTypeId="0x0101009954897F3EE3CC4ABB9FB9EDAC9CDEBC"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F7D1F-00E8-454A-AC95-CB97C3B06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9FCF9A-26F7-4BA0-ACE8-63D4EB2665F4}">
  <ds:schemaRefs>
    <ds:schemaRef ds:uri="http://schemas.microsoft.com/office/2006/documentManagement/types"/>
    <ds:schemaRef ds:uri="http://purl.org/dc/elements/1.1/"/>
    <ds:schemaRef ds:uri="http://schemas.openxmlformats.org/package/2006/metadata/core-properties"/>
    <ds:schemaRef ds:uri="015fe376-55b6-46ec-ba2b-102320879b19"/>
    <ds:schemaRef ds:uri="http://schemas.microsoft.com/office/infopath/2007/PartnerControls"/>
    <ds:schemaRef ds:uri="http://purl.org/dc/terms/"/>
    <ds:schemaRef ds:uri="cbddf734-021f-4629-a1ca-360fa2de26cd"/>
    <ds:schemaRef ds:uri="http://schemas.microsoft.com/office/2006/metadata/properties"/>
    <ds:schemaRef ds:uri="http://www.w3.org/XML/1998/namespace"/>
    <ds:schemaRef ds:uri="http://purl.org/dc/dcmitype/"/>
    <ds:schemaRef ds:uri="d0706217-df7c-4bf4-936d-b09aa3b837af"/>
    <ds:schemaRef ds:uri="55894003-98dc-4f3e-8669-85b90bdbcc8c"/>
  </ds:schemaRefs>
</ds:datastoreItem>
</file>

<file path=customXml/itemProps3.xml><?xml version="1.0" encoding="utf-8"?>
<ds:datastoreItem xmlns:ds="http://schemas.openxmlformats.org/officeDocument/2006/customXml" ds:itemID="{A8241992-D0BB-4F0D-8237-2FF7F84A8850}">
  <ds:schemaRefs>
    <ds:schemaRef ds:uri="http://schemas.microsoft.com/sharepoint/events"/>
  </ds:schemaRefs>
</ds:datastoreItem>
</file>

<file path=customXml/itemProps4.xml><?xml version="1.0" encoding="utf-8"?>
<ds:datastoreItem xmlns:ds="http://schemas.openxmlformats.org/officeDocument/2006/customXml" ds:itemID="{787A6978-CB04-4726-8713-2646FE2E757B}">
  <ds:schemaRefs>
    <ds:schemaRef ds:uri="Microsoft.SharePoint.Taxonomy.ContentTypeSync"/>
  </ds:schemaRefs>
</ds:datastoreItem>
</file>

<file path=customXml/itemProps5.xml><?xml version="1.0" encoding="utf-8"?>
<ds:datastoreItem xmlns:ds="http://schemas.openxmlformats.org/officeDocument/2006/customXml" ds:itemID="{FD1DEB82-FB4B-4409-B551-4B169D376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153</vt:i4>
      </vt:variant>
    </vt:vector>
  </HeadingPairs>
  <TitlesOfParts>
    <vt:vector size="161" baseType="lpstr">
      <vt:lpstr>Instructions pour les pays</vt:lpstr>
      <vt:lpstr>Résumé des options ECF</vt:lpstr>
      <vt:lpstr>Modèle spécifié d'ECF</vt:lpstr>
      <vt:lpstr>Option B_CCE Model selection</vt:lpstr>
      <vt:lpstr>Option C_CCE Model selection</vt:lpstr>
      <vt:lpstr>Prix et modèle des ECF </vt:lpstr>
      <vt:lpstr>Reference_Dropdown1</vt:lpstr>
      <vt:lpstr>Reference_Dropdowns2</vt:lpstr>
      <vt:lpstr>_1.Chambresfroidesdeplainpied</vt:lpstr>
      <vt:lpstr>_1.Chambresfroidesdeplainpied10cbm</vt:lpstr>
      <vt:lpstr>_1.Chambresfroidesdeplainpied30cbm</vt:lpstr>
      <vt:lpstr>_1.Chambresfroidesdeplainpied40cbm</vt:lpstr>
      <vt:lpstr>_1.Walkincoldrooms</vt:lpstr>
      <vt:lpstr>_1.Walkincoldrooms10cbm</vt:lpstr>
      <vt:lpstr>_1.Walkincoldrooms30cbm</vt:lpstr>
      <vt:lpstr>_1.Walkincoldrooms40cbm</vt:lpstr>
      <vt:lpstr>_10.OffgridSDDrefrigerators_withfreezercomp</vt:lpstr>
      <vt:lpstr>_10.OffgridSDDrefrigerators_withfreezercomp_120L</vt:lpstr>
      <vt:lpstr>_10.OffgridSDDrefrigerators_withfreezercomp_30L</vt:lpstr>
      <vt:lpstr>_10.OffgridSDDrefrigerators_withfreezercomp30__60L</vt:lpstr>
      <vt:lpstr>_10.OffgridSDDrefrigerators_withfreezercomp60__90L</vt:lpstr>
      <vt:lpstr>_10.OffgridSDDrefrigerators_withfreezercomp90__120L</vt:lpstr>
      <vt:lpstr>_10.RéfrigérateurshorsréseauSDD_aveccomp.congélateur</vt:lpstr>
      <vt:lpstr>_10.RéfrigérateurshorsréseauSDD_aveccomp.congélateur_30L</vt:lpstr>
      <vt:lpstr>_10.RéfrigérateurshorsréseauSDD_aveccomp.congélateur30__60L</vt:lpstr>
      <vt:lpstr>_10.RéfrigérateurshorsréseauSDD_aveccomp.congélateur60__90L</vt:lpstr>
      <vt:lpstr>_10.RéfrigérateurshorsréseauSDD_aveccomp.congélateur90__120L</vt:lpstr>
      <vt:lpstr>_11.CongélateurhorsréseauSDD</vt:lpstr>
      <vt:lpstr>_11.CongélateurhorsréseauSDD30__60L</vt:lpstr>
      <vt:lpstr>_11.CongélateurhorsréseauSDD60__90L</vt:lpstr>
      <vt:lpstr>_11.OffgridSDDfreezer</vt:lpstr>
      <vt:lpstr>_11.OffgridSDDfreezer30__60L</vt:lpstr>
      <vt:lpstr>_11.OffgridSDDfreezer60__90L</vt:lpstr>
      <vt:lpstr>_12.Outildesuividelatempérature_30DTR</vt:lpstr>
      <vt:lpstr>_12.Outildesuividelatempérature_30DTRNA</vt:lpstr>
      <vt:lpstr>_12.Temperaturemonitoringdevice_30DTR</vt:lpstr>
      <vt:lpstr>_12.Temperaturemonitoringdevice_30DTRNA</vt:lpstr>
      <vt:lpstr>_13.Dispositifsdesurveillanceàdistancedelatempérature_RTMD</vt:lpstr>
      <vt:lpstr>_13.Dispositifsdesurveillanceàdistancedelatempérature_RTMDRefrigerator</vt:lpstr>
      <vt:lpstr>_13.Dispositifsdesurveillanceàdistancedelatempérature_RTMDWICR</vt:lpstr>
      <vt:lpstr>_13.Remotetemperaturemonitoringdevices_RTMDs</vt:lpstr>
      <vt:lpstr>_13.Remotetemperaturemonitoringdevices_RTMDsRefrigerator</vt:lpstr>
      <vt:lpstr>_13.Remotetemperaturemonitoringdevices_RTMDsWICR</vt:lpstr>
      <vt:lpstr>_14.Portevaccinstraditionnels</vt:lpstr>
      <vt:lpstr>_14.Portevaccinstraditionnels_5L</vt:lpstr>
      <vt:lpstr>_14.Standardvaccinecarriers</vt:lpstr>
      <vt:lpstr>_14.Standardvaccinecarriers_5L</vt:lpstr>
      <vt:lpstr>_15.Freezefreevaccinecarriers</vt:lpstr>
      <vt:lpstr>_15.Freezefreevaccinecarriers_5L</vt:lpstr>
      <vt:lpstr>_15.Portevaccinshorsgel</vt:lpstr>
      <vt:lpstr>_15.Portevaccinshorsgel_5L</vt:lpstr>
      <vt:lpstr>_16.Glacièrespourvaccinstraditionnelles</vt:lpstr>
      <vt:lpstr>_16.Glacièrespourvaccinstraditionnelles_15L</vt:lpstr>
      <vt:lpstr>_16.Glacièrespourvaccinstraditionnelles5_15L</vt:lpstr>
      <vt:lpstr>_16.Standardvaccinecoldboxes</vt:lpstr>
      <vt:lpstr>_16.Standardvaccinecoldboxes_15L</vt:lpstr>
      <vt:lpstr>_16.Standardvaccinecoldboxes5_15L</vt:lpstr>
      <vt:lpstr>_17.Freezefreecoldboxes</vt:lpstr>
      <vt:lpstr>_17.Freezefreecoldboxes_15L</vt:lpstr>
      <vt:lpstr>_17.Glacièreshorsgel</vt:lpstr>
      <vt:lpstr>_17.Glacièreshorsgel_15L</vt:lpstr>
      <vt:lpstr>_18.Régulateursdetensionpouréquipement</vt:lpstr>
      <vt:lpstr>_18.RégulateursdetensionpouréquipementNA</vt:lpstr>
      <vt:lpstr>_18.Voltageregulatorsforequipment</vt:lpstr>
      <vt:lpstr>_18.VoltageregulatorsforequipmentNA</vt:lpstr>
      <vt:lpstr>_19.Icepacks</vt:lpstr>
      <vt:lpstr>_19.IcepacksNA</vt:lpstr>
      <vt:lpstr>_19.Packsdeglace</vt:lpstr>
      <vt:lpstr>_19.PacksdeglaceNA</vt:lpstr>
      <vt:lpstr>_2.Chambresfroidesdeplainpiedaveccongélateurs</vt:lpstr>
      <vt:lpstr>_2.Chambresfroidesdeplainpiedaveccongélateurs40cbm</vt:lpstr>
      <vt:lpstr>_2.Walkincoldroomswithfreezers</vt:lpstr>
      <vt:lpstr>_2.Walkincoldroomswithfreezers40cbm</vt:lpstr>
      <vt:lpstr>_20.PiècesderechangepourlesnouveauxéquipementsILRsanscongélateur</vt:lpstr>
      <vt:lpstr>_20.PiècesderechangepourlesnouveauxéquipementsILRsanscongélateurNA</vt:lpstr>
      <vt:lpstr>_20.SparepartsfornewILRequipmentwithoutfreezer</vt:lpstr>
      <vt:lpstr>_20.SparepartsfornewILRequipmentwithoutfreezerNA</vt:lpstr>
      <vt:lpstr>_21.PiècesderechangepourlesnouveauxéquipementsILRaveccongélateur</vt:lpstr>
      <vt:lpstr>_21.PiècesderechangepourlesnouveauxéquipementsILRaveccongélateurNA</vt:lpstr>
      <vt:lpstr>_21.SparepartsfornewILRequipmentwithfreezer</vt:lpstr>
      <vt:lpstr>_21.SparepartsfornewILRequipmentwithfreezerNA</vt:lpstr>
      <vt:lpstr>_22.Piècesderechangepourlesnouveauxcongélateurs</vt:lpstr>
      <vt:lpstr>_22.PiècesderechangepourlesnouveauxcongélateursNA</vt:lpstr>
      <vt:lpstr>_22.Sparepartsfornewfreezerequipment</vt:lpstr>
      <vt:lpstr>_22.SparepartsfornewfreezerequipmentNA</vt:lpstr>
      <vt:lpstr>_23.PiècesderechangepourlesnouveauxSDDaveccomp.congélateur</vt:lpstr>
      <vt:lpstr>_23.PiècesderechangepourlesnouveauxSDDaveccomp.congélateurNA</vt:lpstr>
      <vt:lpstr>_23.SparepartsfornewSDDwithoutfreezercomp</vt:lpstr>
      <vt:lpstr>_23.SparepartsfornewSDDwithoutfreezercompNA</vt:lpstr>
      <vt:lpstr>_24.PiècesderechangepourlesnouveauxSDDsanscomp.congélateur</vt:lpstr>
      <vt:lpstr>_24.PiècesderechangepourlesnouveauxSDDsanscomp.congélateurNA</vt:lpstr>
      <vt:lpstr>_24.SparepartsfornewSDDwithfreezercomp</vt:lpstr>
      <vt:lpstr>_24.SparepartsfornewSDDwithfreezercompNA</vt:lpstr>
      <vt:lpstr>_25.NouveauxcongélateursSDDpiècesderechange</vt:lpstr>
      <vt:lpstr>_25.NouveauxcongélateursSDDpiècesderechangeNA</vt:lpstr>
      <vt:lpstr>_25.SparepartsfornewSDDfreezer</vt:lpstr>
      <vt:lpstr>_25.SparepartsfornewSDDfreezerNA</vt:lpstr>
      <vt:lpstr>_3.Marcherdanslecongélateur</vt:lpstr>
      <vt:lpstr>_3.Marcherdanslecongélateur20cbm</vt:lpstr>
      <vt:lpstr>_3.Walkinfreezers</vt:lpstr>
      <vt:lpstr>_3.Walkinfreezers20cbm</vt:lpstr>
      <vt:lpstr>_3.WalkinfreezersX</vt:lpstr>
      <vt:lpstr>_4.Locationàcourttermepourchambresfroides</vt:lpstr>
      <vt:lpstr>_4.Locationàcourttermepourchambresfroides10cbm</vt:lpstr>
      <vt:lpstr>_4.Locationàcourttermepourchambresfroides20cbm</vt:lpstr>
      <vt:lpstr>_4.Locationàcourttermepourchambresfroides30cbm</vt:lpstr>
      <vt:lpstr>_4.Locationàcourttermepourchambresfroides40cbm</vt:lpstr>
      <vt:lpstr>_4.ShorttermleaseforWalkincoldrooms</vt:lpstr>
      <vt:lpstr>_4.ShorttermleaseforWalkincoldrooms10cbm</vt:lpstr>
      <vt:lpstr>_4.ShorttermleaseforWalkincoldrooms20cbm</vt:lpstr>
      <vt:lpstr>_4.ShorttermleaseforWalkincoldrooms30cbm</vt:lpstr>
      <vt:lpstr>_4.ShorttermleaseforWalkincoldrooms40cbm</vt:lpstr>
      <vt:lpstr>_5.LeasingWalkincoldroomsorfreezerroom</vt:lpstr>
      <vt:lpstr>_5.LeasingWalkincoldroomsorfreezerroom10cbmLT</vt:lpstr>
      <vt:lpstr>_5.LeasingWalkincoldroomsorfreezerroom20cbmLT</vt:lpstr>
      <vt:lpstr>_5.LeasingWalkincoldroomsorfreezerroom30cbmLT</vt:lpstr>
      <vt:lpstr>_5.LeasingWalkincoldroomsorfreezerroom40cbmLT</vt:lpstr>
      <vt:lpstr>_5.Locationdechambresfroidesdeplainpiedoudechambresdecongélation</vt:lpstr>
      <vt:lpstr>_5.Locationdechambresfroidesdeplainpiedoudechambresdecongélation10cbmLT</vt:lpstr>
      <vt:lpstr>_5.Locationdechambresfroidesdeplainpiedoudechambresdecongélation20cbmLT</vt:lpstr>
      <vt:lpstr>_5.Locationdechambresfroidesdeplainpiedoudechambresdecongélation30cbmLT</vt:lpstr>
      <vt:lpstr>_5.Locationdechambresfroidesdeplainpiedoudechambresdecongélation40cbmLT</vt:lpstr>
      <vt:lpstr>_6.OngridILR_withoutfreezercomp</vt:lpstr>
      <vt:lpstr>_6.OngridILR_withoutfreezercomp_120L</vt:lpstr>
      <vt:lpstr>_6.OngridILR_withoutfreezercomp30__60L</vt:lpstr>
      <vt:lpstr>_6.OngridILR_withoutfreezercomp60__90L</vt:lpstr>
      <vt:lpstr>_6.OngridILR_withoutfreezercomp90__120L</vt:lpstr>
      <vt:lpstr>_6.RéfrigérateurILRàgaineréfrigérantesurréseau_sanscomp.congélateur</vt:lpstr>
      <vt:lpstr>_6.RéfrigérateurILRàgaineréfrigérantesurréseau_sanscomp.congélateur_120L</vt:lpstr>
      <vt:lpstr>_6.RéfrigérateurILRàgaineréfrigérantesurréseau_sanscomp.congélateur30__60L</vt:lpstr>
      <vt:lpstr>_6.RéfrigérateurILRàgaineréfrigérantesurréseau_sanscomp.congélateur60__90L</vt:lpstr>
      <vt:lpstr>_6.RéfrigérateurILRàgaineréfrigérantesurréseau_sanscomp.congélateur90__120L</vt:lpstr>
      <vt:lpstr>_7.ILRsurréseau_aveccomp.congélateur</vt:lpstr>
      <vt:lpstr>_7.ILRsurréseau_aveccomp.congélateur30__60L</vt:lpstr>
      <vt:lpstr>_7.ILRsurréseau_aveccomp.congélateur60__90L</vt:lpstr>
      <vt:lpstr>_7.OngridILR_withfreezercomp</vt:lpstr>
      <vt:lpstr>_7.OngridILR_withfreezercomp30__60L</vt:lpstr>
      <vt:lpstr>_7.OngridILR_withfreezercomp60__90L</vt:lpstr>
      <vt:lpstr>_8.Congélateurssurréseau</vt:lpstr>
      <vt:lpstr>_8.Congélateurssurréseau_120L</vt:lpstr>
      <vt:lpstr>_8.Congélateurssurréseau90__120L</vt:lpstr>
      <vt:lpstr>_8.Ongridfreezers</vt:lpstr>
      <vt:lpstr>_8.Ongridfreezers_120L</vt:lpstr>
      <vt:lpstr>_8.Ongridfreezers30__60L</vt:lpstr>
      <vt:lpstr>_8.Ongridfreezers60__90L</vt:lpstr>
      <vt:lpstr>_8.Ongridfreezers90__120L</vt:lpstr>
      <vt:lpstr>_9.OffgridSDDrefrigerators_withoutfreezercomp</vt:lpstr>
      <vt:lpstr>_9.OffgridSDDrefrigerators_withoutfreezercomp_120L</vt:lpstr>
      <vt:lpstr>_9.OffgridSDDrefrigerators_withoutfreezercomp_30L</vt:lpstr>
      <vt:lpstr>_9.OffgridSDDrefrigerators_withoutfreezercomp30__60L</vt:lpstr>
      <vt:lpstr>_9.OffgridSDDrefrigerators_withoutfreezercomp60__90L</vt:lpstr>
      <vt:lpstr>_9.OffgridSDDrefrigerators_withoutfreezercomp90__120L</vt:lpstr>
      <vt:lpstr>_9.RéfrigérateurshorsréseauSDD_sanscomp.congélateur</vt:lpstr>
      <vt:lpstr>_9.RéfrigérateurshorsréseauSDD_sanscomp.congélateur_120L</vt:lpstr>
      <vt:lpstr>_9.RéfrigérateurshorsréseauSDD_sanscomp.congélateur_30L</vt:lpstr>
      <vt:lpstr>_9.RéfrigérateurshorsréseauSDD_sanscomp.congélateur30__60L</vt:lpstr>
      <vt:lpstr>_9.RéfrigérateurshorsréseauSDD_sanscomp.congélateur60__90L</vt:lpstr>
      <vt:lpstr>_9.RéfrigérateurshorsréseauSDD_sanscomp.congélateur90__120L</vt:lpstr>
      <vt:lpstr>equipmentwithnoservicecost</vt:lpstr>
      <vt:lpstr>Typed_équipement</vt:lpstr>
      <vt:lpstr>typeofequipment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CHAI</cp:lastModifiedBy>
  <cp:revision/>
  <dcterms:created xsi:type="dcterms:W3CDTF">2017-03-23T13:52:16Z</dcterms:created>
  <dcterms:modified xsi:type="dcterms:W3CDTF">2021-10-29T09:24:34Z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0x0101009954897F3EE3CC4ABB9FB9EDAC9CDEBC0061E92A44B5DD2545AEF000129C25E859</vt:lpwstr>
  </property>
  <property fmtid="{D5CDD505-2E9C-101B-9397-08002B2CF9AE}" pid="10" name="TaxKeyword">
    <vt:lpwstr/>
  </property>
  <property fmtid="{D5CDD505-2E9C-101B-9397-08002B2CF9AE}" pid="11" name="TaxKeywordTaxHTField">
    <vt:lpwstr/>
  </property>
  <property fmtid="{D5CDD505-2E9C-101B-9397-08002B2CF9AE}" pid="12" name="_dlc_DocIdItemGuid">
    <vt:lpwstr>fd65e4e2-9d51-4f19-b9b1-ef45ca080403</vt:lpwstr>
  </property>
</Properties>
</file>