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mc:AlternateContent xmlns:mc="http://schemas.openxmlformats.org/markup-compatibility/2006">
    <mc:Choice Requires="x15">
      <x15ac:absPath xmlns:x15ac="http://schemas.microsoft.com/office/spreadsheetml/2010/11/ac" url="C:\Users\CHAI\Box Sync\Ashok folder\COVID-19\Gavi Covid CCE WG\"/>
    </mc:Choice>
  </mc:AlternateContent>
  <xr:revisionPtr revIDLastSave="0" documentId="8_{7594BCFC-7D61-4C98-94E8-C6C7ADF4FE68}" xr6:coauthVersionLast="46" xr6:coauthVersionMax="46" xr10:uidLastSave="{00000000-0000-0000-0000-000000000000}"/>
  <workbookProtection workbookAlgorithmName="SHA-512" workbookHashValue="O8QfAABUdOb5qVgDa/0Z+fHrrq24R5Ra/+64F9mVzkr3zpt2yh+iH1QG2LRPdOM+wxaBXLRBB0V+lcfO1xP5Fw==" workbookSaltValue="UKqnLJNbONBBMhUmYoXUXw==" workbookSpinCount="100000" lockStructure="1"/>
  <bookViews>
    <workbookView xWindow="-120" yWindow="-120" windowWidth="20730" windowHeight="11160" xr2:uid="{00000000-000D-0000-FFFF-FFFF00000000}"/>
  </bookViews>
  <sheets>
    <sheet name="Portada e instrucciones" sheetId="1" r:id="rId1"/>
    <sheet name="Resumen de opciones de CCE" sheetId="8" r:id="rId2"/>
    <sheet name="Opción A Selección de modelo de" sheetId="3" r:id="rId3"/>
    <sheet name="Opción B Selección de modelo de" sheetId="9" r:id="rId4"/>
    <sheet name="Opción C Selección modelo CCE" sheetId="10" r:id="rId5"/>
    <sheet name="Lista precios mod CCE especif." sheetId="2" r:id="rId6"/>
  </sheets>
  <externalReferences>
    <externalReference r:id="rId7"/>
  </externalReferences>
  <definedNames>
    <definedName name="_1.Cámarasdefrío">'Lista precios mod CCE especif.'!$E$4:$E$26</definedName>
    <definedName name="_10.CongeladorSDDsinconexióndered">'Lista precios mod CCE especif.'!$E$119:$E$121</definedName>
    <definedName name="_11.Registradordetemperatura_30DTR">'Lista precios mod CCE especif.'!$E$122:$E$126</definedName>
    <definedName name="_12.Dispositivodemonitoreoremotodetemperatura_RTMD">'Lista precios mod CCE especif.'!$E$127:$E$140</definedName>
    <definedName name="_13.Portavacunasestándar">'Lista precios mod CCE especif.'!$E$141:$E$154</definedName>
    <definedName name="_14.Portavacunasconcontroldecongelamiento">'Lista precios mod CCE especif.'!$E$155:$E$157</definedName>
    <definedName name="_15.Cajasfrigoríficasestándarparavacunas">'Lista precios mod CCE especif.'!$E$158:$E$173</definedName>
    <definedName name="_16.Cajasfrigoríficasconcontroldecongelamiento">'Lista precios mod CCE especif.'!$E$174</definedName>
    <definedName name="_17.Reguladoresdevoltajeparaequipos">'Lista precios mod CCE especif.'!$E$175:$E$187</definedName>
    <definedName name="_18.Bolsasdehielo">'Lista precios mod CCE especif.'!$E$188:$E$201</definedName>
    <definedName name="_19.PiezasparanuevosequiposILRsincongelador">'Lista precios mod CCE especif.'!$E$202:$E$226</definedName>
    <definedName name="_2.Cámarasdefríoconcongelador">'Lista precios mod CCE especif.'!$E$27:$E$34</definedName>
    <definedName name="_20.PiezasparanuevosequiposILRconcongelador">'Lista precios mod CCE especif.'!$E$227:$E$230</definedName>
    <definedName name="_21.Piezasparanuevoscongeladores">'Lista precios mod CCE especif.'!$E$231:$E$238</definedName>
    <definedName name="_22.PiezasparanuevosequiposSDDsincongelador">'Lista precios mod CCE especif.'!$E$239:$E$265</definedName>
    <definedName name="_23.PiezasparanuevosequiposSDDconcongelador">'Lista precios mod CCE especif.'!$E$266:$E$275</definedName>
    <definedName name="_24.PiezasparanuevoscongeladoresSDD">'Lista precios mod CCE especif.'!$E$276:$E$278</definedName>
    <definedName name="_3.Arrendamientoacortoplazodecámarasdefrío">'Lista precios mod CCE especif.'!$E$35:$E$38</definedName>
    <definedName name="_4.Arrendamientodecámarasdefríoocámaracongeladora">'Lista precios mod CCE especif.'!$E$39:$E$42</definedName>
    <definedName name="_5.ILRconconexiónderedsincongelador">'Lista precios mod CCE especif.'!$E$43:$E$68</definedName>
    <definedName name="_6.ILRconconexiónderedycongelador">'Lista precios mod CCE especif.'!$E$69:$E$72</definedName>
    <definedName name="_7.Congeladoresconconexióndered">'Lista precios mod CCE especif.'!$E$73:$E$80</definedName>
    <definedName name="_8.RefrigeradoresSDDsinconexiónderedsincongelador">'Lista precios mod CCE especif.'!$E$81:$E$108</definedName>
    <definedName name="_9.RefrigeradoresSDDsinconexiónderedconcongelador">'Lista precios mod CCE especif.'!$E$109:$E$118</definedName>
    <definedName name="_xlnm._FilterDatabase" localSheetId="5" hidden="1">'Lista precios mod CCE especif.'!$A$3:$O$278</definedName>
    <definedName name="equipmentwithnoservicecost">'Lista precios mod CCE especif.'!$AB$14,'Lista precios mod CCE especif.'!$AB$16:$AB$27</definedName>
    <definedName name="typeofequipment">'Lista precios mod CCE especif.'!$AB$4:$AB$27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5" i="2" l="1"/>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141" i="2"/>
  <c r="A142" i="2"/>
  <c r="A143" i="2"/>
  <c r="A144" i="2"/>
  <c r="A145" i="2"/>
  <c r="A146" i="2"/>
  <c r="A147" i="2"/>
  <c r="A148" i="2"/>
  <c r="A149" i="2"/>
  <c r="A150" i="2"/>
  <c r="A151" i="2"/>
  <c r="A152" i="2"/>
  <c r="A153" i="2"/>
  <c r="A154" i="2"/>
  <c r="A137" i="2"/>
  <c r="A138" i="2"/>
  <c r="A139" i="2"/>
  <c r="A140" i="2"/>
  <c r="A128" i="2"/>
  <c r="A129" i="2"/>
  <c r="A130" i="2"/>
  <c r="A131" i="2"/>
  <c r="A132" i="2"/>
  <c r="A133" i="2"/>
  <c r="A134" i="2"/>
  <c r="A135" i="2"/>
  <c r="A136"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N110" i="2"/>
  <c r="O110" i="2"/>
  <c r="N111" i="2"/>
  <c r="O111" i="2"/>
  <c r="N112" i="2"/>
  <c r="O112" i="2"/>
  <c r="O87" i="2"/>
  <c r="N87" i="2"/>
  <c r="A5" i="2"/>
  <c r="I45" i="10"/>
  <c r="I45" i="9"/>
  <c r="I45" i="3"/>
  <c r="F30" i="10"/>
  <c r="F29" i="10"/>
  <c r="O72" i="2"/>
  <c r="N72" i="2"/>
  <c r="H72" i="2"/>
  <c r="F29" i="3"/>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4" i="10"/>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4" i="3"/>
  <c r="D5" i="10"/>
  <c r="E5" i="10"/>
  <c r="F5" i="10"/>
  <c r="H5" i="10"/>
  <c r="D6" i="10"/>
  <c r="E6" i="10"/>
  <c r="F6" i="10"/>
  <c r="H6" i="10"/>
  <c r="D7" i="10"/>
  <c r="E7" i="10"/>
  <c r="F7" i="10"/>
  <c r="H7" i="10"/>
  <c r="D8" i="10"/>
  <c r="E8" i="10"/>
  <c r="F8" i="10"/>
  <c r="H8" i="10"/>
  <c r="D9" i="10"/>
  <c r="E9" i="10"/>
  <c r="F9" i="10"/>
  <c r="H9" i="10"/>
  <c r="D10" i="10"/>
  <c r="E10" i="10"/>
  <c r="F10" i="10"/>
  <c r="H10" i="10"/>
  <c r="D11" i="10"/>
  <c r="E11" i="10"/>
  <c r="F11" i="10"/>
  <c r="H11" i="10"/>
  <c r="D12" i="10"/>
  <c r="E12" i="10"/>
  <c r="F12" i="10"/>
  <c r="H12" i="10"/>
  <c r="D13" i="10"/>
  <c r="E13" i="10"/>
  <c r="F13" i="10"/>
  <c r="H13" i="10"/>
  <c r="D14" i="10"/>
  <c r="E14" i="10"/>
  <c r="F14" i="10"/>
  <c r="H14" i="10"/>
  <c r="D15" i="10"/>
  <c r="E15" i="10"/>
  <c r="F15" i="10"/>
  <c r="H15" i="10"/>
  <c r="D16" i="10"/>
  <c r="E16" i="10"/>
  <c r="F16" i="10"/>
  <c r="H16" i="10"/>
  <c r="D17" i="10"/>
  <c r="E17" i="10"/>
  <c r="F17" i="10"/>
  <c r="H17" i="10"/>
  <c r="D18" i="10"/>
  <c r="E18" i="10"/>
  <c r="F18" i="10"/>
  <c r="H18" i="10"/>
  <c r="D19" i="10"/>
  <c r="E19" i="10"/>
  <c r="F19" i="10"/>
  <c r="H19" i="10"/>
  <c r="D20" i="10"/>
  <c r="E20" i="10"/>
  <c r="F20" i="10"/>
  <c r="H20" i="10"/>
  <c r="D21" i="10"/>
  <c r="E21" i="10"/>
  <c r="F21" i="10"/>
  <c r="H21" i="10"/>
  <c r="D22" i="10"/>
  <c r="E22" i="10"/>
  <c r="F22" i="10"/>
  <c r="H22" i="10"/>
  <c r="D23" i="10"/>
  <c r="E23" i="10"/>
  <c r="F23" i="10"/>
  <c r="H23" i="10"/>
  <c r="D24" i="10"/>
  <c r="E24" i="10"/>
  <c r="F24" i="10"/>
  <c r="H24" i="10"/>
  <c r="D25" i="10"/>
  <c r="E25" i="10"/>
  <c r="F25" i="10"/>
  <c r="H25" i="10"/>
  <c r="D26" i="10"/>
  <c r="E26" i="10"/>
  <c r="F26" i="10"/>
  <c r="H26" i="10"/>
  <c r="D27" i="10"/>
  <c r="E27" i="10"/>
  <c r="F27" i="10"/>
  <c r="H27" i="10"/>
  <c r="D28" i="10"/>
  <c r="E28" i="10"/>
  <c r="F28" i="10"/>
  <c r="H28" i="10"/>
  <c r="D29" i="10"/>
  <c r="E29" i="10"/>
  <c r="H29" i="10"/>
  <c r="D30" i="10"/>
  <c r="E30" i="10"/>
  <c r="H30" i="10"/>
  <c r="D31" i="10"/>
  <c r="E31" i="10"/>
  <c r="F31" i="10"/>
  <c r="H31" i="10"/>
  <c r="D32" i="10"/>
  <c r="E32" i="10"/>
  <c r="F32" i="10"/>
  <c r="H32" i="10"/>
  <c r="D33" i="10"/>
  <c r="E33" i="10"/>
  <c r="F33" i="10"/>
  <c r="H33" i="10"/>
  <c r="D34" i="10"/>
  <c r="E34" i="10"/>
  <c r="F34" i="10"/>
  <c r="H34" i="10"/>
  <c r="F4" i="10"/>
  <c r="H4" i="10"/>
  <c r="E4" i="10"/>
  <c r="D4" i="10"/>
  <c r="C5" i="9"/>
  <c r="D5" i="9"/>
  <c r="E5" i="9"/>
  <c r="F5" i="9"/>
  <c r="H5" i="9"/>
  <c r="C6" i="9"/>
  <c r="D6" i="9"/>
  <c r="E6" i="9"/>
  <c r="F6" i="9"/>
  <c r="H6" i="9"/>
  <c r="C7" i="9"/>
  <c r="D7" i="9"/>
  <c r="E7" i="9"/>
  <c r="F7" i="9"/>
  <c r="H7" i="9"/>
  <c r="C8" i="9"/>
  <c r="D8" i="9"/>
  <c r="E8" i="9"/>
  <c r="F8" i="9"/>
  <c r="H8" i="9"/>
  <c r="C9" i="9"/>
  <c r="D9" i="9"/>
  <c r="E9" i="9"/>
  <c r="F9" i="9"/>
  <c r="H9" i="9"/>
  <c r="C10" i="9"/>
  <c r="D10" i="9"/>
  <c r="E10" i="9"/>
  <c r="F10" i="9"/>
  <c r="H10" i="9"/>
  <c r="C11" i="9"/>
  <c r="D11" i="9"/>
  <c r="E11" i="9"/>
  <c r="F11" i="9"/>
  <c r="H11" i="9"/>
  <c r="C12" i="9"/>
  <c r="D12" i="9"/>
  <c r="E12" i="9"/>
  <c r="F12" i="9"/>
  <c r="H12" i="9"/>
  <c r="C13" i="9"/>
  <c r="D13" i="9"/>
  <c r="E13" i="9"/>
  <c r="F13" i="9"/>
  <c r="H13" i="9"/>
  <c r="C14" i="9"/>
  <c r="D14" i="9"/>
  <c r="E14" i="9"/>
  <c r="F14" i="9"/>
  <c r="H14" i="9"/>
  <c r="C15" i="9"/>
  <c r="D15" i="9"/>
  <c r="E15" i="9"/>
  <c r="F15" i="9"/>
  <c r="H15" i="9"/>
  <c r="C16" i="9"/>
  <c r="D16" i="9"/>
  <c r="E16" i="9"/>
  <c r="F16" i="9"/>
  <c r="H16" i="9"/>
  <c r="C17" i="9"/>
  <c r="D17" i="9"/>
  <c r="E17" i="9"/>
  <c r="F17" i="9"/>
  <c r="H17" i="9"/>
  <c r="C18" i="9"/>
  <c r="D18" i="9"/>
  <c r="E18" i="9"/>
  <c r="F18" i="9"/>
  <c r="H18" i="9"/>
  <c r="C19" i="9"/>
  <c r="D19" i="9"/>
  <c r="E19" i="9"/>
  <c r="F19" i="9"/>
  <c r="H19" i="9"/>
  <c r="C20" i="9"/>
  <c r="D20" i="9"/>
  <c r="E20" i="9"/>
  <c r="F20" i="9"/>
  <c r="H20" i="9"/>
  <c r="C21" i="9"/>
  <c r="D21" i="9"/>
  <c r="E21" i="9"/>
  <c r="F21" i="9"/>
  <c r="H21" i="9"/>
  <c r="C22" i="9"/>
  <c r="D22" i="9"/>
  <c r="E22" i="9"/>
  <c r="F22" i="9"/>
  <c r="H22" i="9"/>
  <c r="C23" i="9"/>
  <c r="D23" i="9"/>
  <c r="E23" i="9"/>
  <c r="F23" i="9"/>
  <c r="H23" i="9"/>
  <c r="C24" i="9"/>
  <c r="D24" i="9"/>
  <c r="E24" i="9"/>
  <c r="F24" i="9"/>
  <c r="H24" i="9"/>
  <c r="C25" i="9"/>
  <c r="D25" i="9"/>
  <c r="E25" i="9"/>
  <c r="F25" i="9"/>
  <c r="H25" i="9"/>
  <c r="C26" i="9"/>
  <c r="D26" i="9"/>
  <c r="E26" i="9"/>
  <c r="F26" i="9"/>
  <c r="H26" i="9"/>
  <c r="C27" i="9"/>
  <c r="D27" i="9"/>
  <c r="E27" i="9"/>
  <c r="F27" i="9"/>
  <c r="H27" i="9"/>
  <c r="C28" i="9"/>
  <c r="D28" i="9"/>
  <c r="E28" i="9"/>
  <c r="F28" i="9"/>
  <c r="H28" i="9"/>
  <c r="C29" i="9"/>
  <c r="D29" i="9"/>
  <c r="E29" i="9"/>
  <c r="F29" i="9"/>
  <c r="H29" i="9"/>
  <c r="C30" i="9"/>
  <c r="D30" i="9"/>
  <c r="E30" i="9"/>
  <c r="F30" i="9"/>
  <c r="H30" i="9"/>
  <c r="C31" i="9"/>
  <c r="D31" i="9"/>
  <c r="E31" i="9"/>
  <c r="F31" i="9"/>
  <c r="H31" i="9"/>
  <c r="C32" i="9"/>
  <c r="D32" i="9"/>
  <c r="E32" i="9"/>
  <c r="F32" i="9"/>
  <c r="H32" i="9"/>
  <c r="C33" i="9"/>
  <c r="D33" i="9"/>
  <c r="E33" i="9"/>
  <c r="F33" i="9"/>
  <c r="H33" i="9"/>
  <c r="C34" i="9"/>
  <c r="D34" i="9"/>
  <c r="E34" i="9"/>
  <c r="F34" i="9"/>
  <c r="H34" i="9"/>
  <c r="F4" i="9"/>
  <c r="H4" i="9"/>
  <c r="C4" i="9"/>
  <c r="E4" i="9"/>
  <c r="D4" i="9"/>
  <c r="D5" i="3"/>
  <c r="L33" i="3"/>
  <c r="L34" i="3"/>
  <c r="H34" i="3"/>
  <c r="F34" i="3"/>
  <c r="E34" i="3"/>
  <c r="D34" i="3"/>
  <c r="H33" i="3"/>
  <c r="F33" i="3"/>
  <c r="E33" i="3"/>
  <c r="D33" i="3"/>
  <c r="H32" i="3"/>
  <c r="F32" i="3"/>
  <c r="E32" i="3"/>
  <c r="D32" i="3"/>
  <c r="H31" i="3"/>
  <c r="F31" i="3"/>
  <c r="E31" i="3"/>
  <c r="D31" i="3"/>
  <c r="H30" i="3"/>
  <c r="F30" i="3"/>
  <c r="E30" i="3"/>
  <c r="D30" i="3"/>
  <c r="H29" i="3"/>
  <c r="E29" i="3"/>
  <c r="D29" i="3"/>
  <c r="H28" i="3"/>
  <c r="F28" i="3"/>
  <c r="E28" i="3"/>
  <c r="D28" i="3"/>
  <c r="H27" i="3"/>
  <c r="F27" i="3"/>
  <c r="E27" i="3"/>
  <c r="D27" i="3"/>
  <c r="H26" i="3"/>
  <c r="F26" i="3"/>
  <c r="E26" i="3"/>
  <c r="D26" i="3"/>
  <c r="H25" i="3"/>
  <c r="F25" i="3"/>
  <c r="E25" i="3"/>
  <c r="D25" i="3"/>
  <c r="H24" i="3"/>
  <c r="F24" i="3"/>
  <c r="E24" i="3"/>
  <c r="D24" i="3"/>
  <c r="H23" i="3"/>
  <c r="F23" i="3"/>
  <c r="E23" i="3"/>
  <c r="D23" i="3"/>
  <c r="F22" i="3"/>
  <c r="H22" i="3"/>
  <c r="E22" i="3"/>
  <c r="D22" i="3"/>
  <c r="F21" i="3"/>
  <c r="H21" i="3"/>
  <c r="E21" i="3"/>
  <c r="D21" i="3"/>
  <c r="F20" i="3"/>
  <c r="H20" i="3"/>
  <c r="E20" i="3"/>
  <c r="D20" i="3"/>
  <c r="F19" i="3"/>
  <c r="H19" i="3"/>
  <c r="E19" i="3"/>
  <c r="D19" i="3"/>
  <c r="F18" i="3"/>
  <c r="H18" i="3"/>
  <c r="E18" i="3"/>
  <c r="D18" i="3"/>
  <c r="F17" i="3"/>
  <c r="H17" i="3"/>
  <c r="E17" i="3"/>
  <c r="D17" i="3"/>
  <c r="F16" i="3"/>
  <c r="H16" i="3"/>
  <c r="E16" i="3"/>
  <c r="D16" i="3"/>
  <c r="F15" i="3"/>
  <c r="H15" i="3"/>
  <c r="E15" i="3"/>
  <c r="D15" i="3"/>
  <c r="F14" i="3"/>
  <c r="H14" i="3"/>
  <c r="E14" i="3"/>
  <c r="D14" i="3"/>
  <c r="F13" i="3"/>
  <c r="H13" i="3"/>
  <c r="E13" i="3"/>
  <c r="D13" i="3"/>
  <c r="F12" i="3"/>
  <c r="H12" i="3"/>
  <c r="E12" i="3"/>
  <c r="D12" i="3"/>
  <c r="F11" i="3"/>
  <c r="H11" i="3"/>
  <c r="E11" i="3"/>
  <c r="D11" i="3"/>
  <c r="F10" i="3"/>
  <c r="H10" i="3"/>
  <c r="E10" i="3"/>
  <c r="D10" i="3"/>
  <c r="F9" i="3"/>
  <c r="H9" i="3"/>
  <c r="E9" i="3"/>
  <c r="D9" i="3"/>
  <c r="F8" i="3"/>
  <c r="H8" i="3"/>
  <c r="E8" i="3"/>
  <c r="D8" i="3"/>
  <c r="F7" i="3"/>
  <c r="H7" i="3"/>
  <c r="E7" i="3"/>
  <c r="D7" i="3"/>
  <c r="F6" i="3"/>
  <c r="H6" i="3"/>
  <c r="E6" i="3"/>
  <c r="D6" i="3"/>
  <c r="F5" i="3"/>
  <c r="H5" i="3"/>
  <c r="E5" i="3"/>
  <c r="F4" i="3"/>
  <c r="H4" i="3"/>
  <c r="E4" i="3"/>
  <c r="D4" i="3"/>
  <c r="O136" i="2"/>
  <c r="N136" i="2"/>
  <c r="O135" i="2"/>
  <c r="N135" i="2"/>
  <c r="O134" i="2"/>
  <c r="N134" i="2"/>
  <c r="O133" i="2"/>
  <c r="N133" i="2"/>
  <c r="O132" i="2"/>
  <c r="N132" i="2"/>
  <c r="O131" i="2"/>
  <c r="N131" i="2"/>
  <c r="O130" i="2"/>
  <c r="N130" i="2"/>
  <c r="O129" i="2"/>
  <c r="N129" i="2"/>
  <c r="O128" i="2"/>
  <c r="N128" i="2"/>
  <c r="N68" i="2"/>
  <c r="O68" i="2"/>
  <c r="O201" i="2"/>
  <c r="O192" i="2"/>
  <c r="N201" i="2"/>
  <c r="N192" i="2"/>
  <c r="O173" i="2"/>
  <c r="O166" i="2"/>
  <c r="O161" i="2"/>
  <c r="N173" i="2"/>
  <c r="N166" i="2"/>
  <c r="N161" i="2"/>
  <c r="O154" i="2"/>
  <c r="O149" i="2"/>
  <c r="N154" i="2"/>
  <c r="N149" i="2"/>
  <c r="H173" i="2"/>
  <c r="H172" i="2"/>
  <c r="H171" i="2"/>
  <c r="H170" i="2"/>
  <c r="H169" i="2"/>
  <c r="H168" i="2"/>
  <c r="H167" i="2"/>
  <c r="H166" i="2"/>
  <c r="H165" i="2"/>
  <c r="H164" i="2"/>
  <c r="H163" i="2"/>
  <c r="H162" i="2"/>
  <c r="H161" i="2"/>
  <c r="H160" i="2"/>
  <c r="H159" i="2"/>
  <c r="H158" i="2"/>
  <c r="H154" i="2"/>
  <c r="H153" i="2"/>
  <c r="H152" i="2"/>
  <c r="H151" i="2"/>
  <c r="H150" i="2"/>
  <c r="H149" i="2"/>
  <c r="H148" i="2"/>
  <c r="H147" i="2"/>
  <c r="H146" i="2"/>
  <c r="H145" i="2"/>
  <c r="H144" i="2"/>
  <c r="H143" i="2"/>
  <c r="H142" i="2"/>
  <c r="H141" i="2"/>
  <c r="AD21" i="2"/>
  <c r="AD22" i="2"/>
  <c r="AD18" i="2"/>
  <c r="AD16" i="2"/>
  <c r="O35" i="2"/>
  <c r="N35" i="2"/>
  <c r="O38" i="2"/>
  <c r="N38" i="2"/>
  <c r="O37" i="2"/>
  <c r="O36" i="2"/>
  <c r="N36" i="2"/>
  <c r="N37" i="2"/>
  <c r="N139" i="2"/>
  <c r="O139" i="2"/>
  <c r="N137" i="2"/>
  <c r="O137" i="2"/>
  <c r="L34" i="10"/>
  <c r="L33" i="10"/>
  <c r="L32"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4"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J26" i="10"/>
  <c r="J24" i="10"/>
  <c r="J23" i="10"/>
  <c r="J20" i="10"/>
  <c r="J19" i="10"/>
  <c r="J18" i="10"/>
  <c r="J17" i="10"/>
  <c r="J16" i="10"/>
  <c r="J15" i="10"/>
  <c r="J14" i="10"/>
  <c r="J13" i="10"/>
  <c r="J12" i="10"/>
  <c r="J11" i="10"/>
  <c r="J10" i="10"/>
  <c r="J9" i="10"/>
  <c r="J8" i="10"/>
  <c r="J7" i="10"/>
  <c r="J6" i="10"/>
  <c r="J5" i="10"/>
  <c r="J4" i="10"/>
  <c r="J27" i="9"/>
  <c r="J24" i="9"/>
  <c r="J23" i="9"/>
  <c r="J20" i="9"/>
  <c r="J19" i="9"/>
  <c r="J18" i="9"/>
  <c r="J17" i="9"/>
  <c r="J16" i="9"/>
  <c r="J15" i="9"/>
  <c r="J14" i="9"/>
  <c r="J13" i="9"/>
  <c r="J12" i="9"/>
  <c r="J11" i="9"/>
  <c r="J10" i="9"/>
  <c r="J9" i="9"/>
  <c r="J8" i="9"/>
  <c r="J7" i="9"/>
  <c r="J6" i="9"/>
  <c r="J5" i="9"/>
  <c r="J4" i="9"/>
  <c r="J24" i="3"/>
  <c r="J23" i="3"/>
  <c r="J20"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4" i="3"/>
  <c r="AD7" i="2"/>
  <c r="O40" i="2"/>
  <c r="O41" i="2"/>
  <c r="O42" i="2"/>
  <c r="O39" i="2"/>
  <c r="N40" i="2"/>
  <c r="N41" i="2"/>
  <c r="N42" i="2"/>
  <c r="N39" i="2"/>
  <c r="O187" i="2"/>
  <c r="N187" i="2"/>
  <c r="O186" i="2"/>
  <c r="N186" i="2"/>
  <c r="O185" i="2"/>
  <c r="N185" i="2"/>
  <c r="O184" i="2"/>
  <c r="N184" i="2"/>
  <c r="O183" i="2"/>
  <c r="N183" i="2"/>
  <c r="O182" i="2"/>
  <c r="N182" i="2"/>
  <c r="O181" i="2"/>
  <c r="N181" i="2"/>
  <c r="O180" i="2"/>
  <c r="N180" i="2"/>
  <c r="O179" i="2"/>
  <c r="N179" i="2"/>
  <c r="O178" i="2"/>
  <c r="N178" i="2"/>
  <c r="O177" i="2"/>
  <c r="N177" i="2"/>
  <c r="O176" i="2"/>
  <c r="N176" i="2"/>
  <c r="O175" i="2"/>
  <c r="N175" i="2"/>
  <c r="D13" i="8"/>
  <c r="D12" i="8"/>
  <c r="D11" i="8"/>
  <c r="C11" i="8"/>
  <c r="C13" i="8"/>
  <c r="C12" i="8"/>
  <c r="B12" i="8"/>
  <c r="B11" i="8"/>
  <c r="B13" i="8"/>
  <c r="J19" i="3"/>
  <c r="J18" i="3"/>
  <c r="J13" i="3"/>
  <c r="J11" i="3"/>
  <c r="J14" i="3"/>
  <c r="J12" i="3"/>
  <c r="J15" i="3"/>
  <c r="J16" i="3"/>
  <c r="J17" i="3"/>
  <c r="J5" i="3"/>
  <c r="J6" i="3"/>
  <c r="J7" i="3"/>
  <c r="J8" i="3"/>
  <c r="J9" i="3"/>
  <c r="J10" i="3"/>
  <c r="I52" i="10"/>
  <c r="I54" i="10"/>
  <c r="D14" i="8"/>
  <c r="I52" i="9"/>
  <c r="I54" i="9"/>
  <c r="C14" i="8"/>
  <c r="J21" i="9"/>
  <c r="J22" i="9"/>
  <c r="J32" i="9"/>
  <c r="J28" i="10"/>
  <c r="J22" i="10"/>
  <c r="J33" i="3"/>
  <c r="J26" i="9"/>
  <c r="J31" i="9"/>
  <c r="J30" i="9"/>
  <c r="J21" i="10"/>
  <c r="J32" i="10"/>
  <c r="J27" i="10"/>
  <c r="J30" i="10"/>
  <c r="J28" i="9"/>
  <c r="J33" i="10"/>
  <c r="J34" i="9"/>
  <c r="J29" i="10"/>
  <c r="J34" i="10"/>
  <c r="J29" i="9"/>
  <c r="J25" i="9"/>
  <c r="J25" i="10"/>
  <c r="J25" i="3"/>
  <c r="J26" i="3"/>
  <c r="J32" i="3"/>
  <c r="J21" i="3"/>
  <c r="J30" i="3"/>
  <c r="J22" i="3"/>
  <c r="J27" i="3"/>
  <c r="J28" i="3"/>
  <c r="J31" i="3"/>
  <c r="J29" i="3"/>
  <c r="I52" i="3"/>
  <c r="I54" i="3"/>
  <c r="B14" i="8"/>
  <c r="I35" i="9"/>
  <c r="I50" i="9"/>
  <c r="I35" i="10"/>
  <c r="I50" i="10"/>
  <c r="N4" i="2"/>
  <c r="O4" i="2"/>
  <c r="N9" i="2"/>
  <c r="O9" i="2"/>
  <c r="N18" i="2"/>
  <c r="O18" i="2"/>
  <c r="N5" i="2"/>
  <c r="O5" i="2"/>
  <c r="N10" i="2"/>
  <c r="O10" i="2"/>
  <c r="N11" i="2"/>
  <c r="O11" i="2"/>
  <c r="N19" i="2"/>
  <c r="O19" i="2"/>
  <c r="N20" i="2"/>
  <c r="O20" i="2"/>
  <c r="N6" i="2"/>
  <c r="O6" i="2"/>
  <c r="N12" i="2"/>
  <c r="O12" i="2"/>
  <c r="N13" i="2"/>
  <c r="O13" i="2"/>
  <c r="N21" i="2"/>
  <c r="O21" i="2"/>
  <c r="N22" i="2"/>
  <c r="O22" i="2"/>
  <c r="N7" i="2"/>
  <c r="O7" i="2"/>
  <c r="N14" i="2"/>
  <c r="O14" i="2"/>
  <c r="N15" i="2"/>
  <c r="O15" i="2"/>
  <c r="N23" i="2"/>
  <c r="O23" i="2"/>
  <c r="N24" i="2"/>
  <c r="O24" i="2"/>
  <c r="N8" i="2"/>
  <c r="O8" i="2"/>
  <c r="N16" i="2"/>
  <c r="O16" i="2"/>
  <c r="N17" i="2"/>
  <c r="O17" i="2"/>
  <c r="N25" i="2"/>
  <c r="O25" i="2"/>
  <c r="N26" i="2"/>
  <c r="O26" i="2"/>
  <c r="N27" i="2"/>
  <c r="O27" i="2"/>
  <c r="N28" i="2"/>
  <c r="O28" i="2"/>
  <c r="N29" i="2"/>
  <c r="O29" i="2"/>
  <c r="N30" i="2"/>
  <c r="O30" i="2"/>
  <c r="N33" i="2"/>
  <c r="O33" i="2"/>
  <c r="N34" i="2"/>
  <c r="O34" i="2"/>
  <c r="N31" i="2"/>
  <c r="O31" i="2"/>
  <c r="N32" i="2"/>
  <c r="O32" i="2"/>
  <c r="I47" i="9"/>
  <c r="I47" i="10"/>
  <c r="I56" i="9"/>
  <c r="C15" i="8"/>
  <c r="I56" i="10"/>
  <c r="D15" i="8"/>
  <c r="N60" i="2"/>
  <c r="O60" i="2"/>
  <c r="AD6" i="2"/>
  <c r="AD5" i="2"/>
  <c r="AD4" i="2"/>
  <c r="H174" i="2"/>
  <c r="O63" i="2"/>
  <c r="N63" i="2"/>
  <c r="H63" i="2"/>
  <c r="O107" i="2"/>
  <c r="N107" i="2"/>
  <c r="H107" i="2"/>
  <c r="O58" i="2"/>
  <c r="N58" i="2"/>
  <c r="H58" i="2"/>
  <c r="O102" i="2"/>
  <c r="N102" i="2"/>
  <c r="H102" i="2"/>
  <c r="AD27" i="2"/>
  <c r="AD26" i="2"/>
  <c r="AD25" i="2"/>
  <c r="AD24" i="2"/>
  <c r="AD23" i="2"/>
  <c r="AD13" i="2"/>
  <c r="AD20" i="2"/>
  <c r="O62" i="2"/>
  <c r="N62" i="2"/>
  <c r="O54" i="2"/>
  <c r="H54" i="2"/>
  <c r="O49" i="2"/>
  <c r="N49" i="2"/>
  <c r="O106" i="2"/>
  <c r="N106" i="2"/>
  <c r="O99" i="2"/>
  <c r="N99" i="2"/>
  <c r="N54" i="2"/>
  <c r="O94" i="2"/>
  <c r="N94" i="2"/>
  <c r="O126" i="2"/>
  <c r="N126" i="2"/>
  <c r="O71" i="2"/>
  <c r="N71" i="2"/>
  <c r="O174" i="2"/>
  <c r="N174" i="2"/>
  <c r="H157" i="2"/>
  <c r="O53" i="2"/>
  <c r="O45" i="2"/>
  <c r="O44" i="2"/>
  <c r="N44" i="2"/>
  <c r="H44" i="2"/>
  <c r="O70" i="2"/>
  <c r="N70" i="2"/>
  <c r="H70" i="2"/>
  <c r="O52" i="2"/>
  <c r="N52" i="2"/>
  <c r="H52" i="2"/>
  <c r="O96" i="2"/>
  <c r="N96" i="2"/>
  <c r="H96" i="2"/>
  <c r="H53" i="2"/>
  <c r="H45" i="2"/>
  <c r="O108" i="2"/>
  <c r="H108" i="2"/>
  <c r="O89" i="2"/>
  <c r="H89" i="2"/>
  <c r="N67" i="2"/>
  <c r="H67" i="2"/>
  <c r="O120" i="2"/>
  <c r="N120" i="2"/>
  <c r="H115" i="2"/>
  <c r="O91" i="2"/>
  <c r="N91" i="2"/>
  <c r="H91" i="2"/>
  <c r="H69" i="2"/>
  <c r="O69" i="2"/>
  <c r="N69" i="2"/>
  <c r="O83" i="2"/>
  <c r="N83" i="2"/>
  <c r="O43" i="2"/>
  <c r="N43" i="2"/>
  <c r="N86" i="2"/>
  <c r="O86" i="2"/>
  <c r="O50" i="2"/>
  <c r="O59" i="2"/>
  <c r="O65" i="2"/>
  <c r="N50" i="2"/>
  <c r="N59" i="2"/>
  <c r="N65" i="2"/>
  <c r="O119" i="2"/>
  <c r="N119" i="2"/>
  <c r="O122" i="2"/>
  <c r="N122" i="2"/>
  <c r="O127" i="2"/>
  <c r="N127" i="2"/>
  <c r="O140" i="2"/>
  <c r="N140" i="2"/>
  <c r="O138" i="2"/>
  <c r="N138" i="2"/>
  <c r="O125" i="2"/>
  <c r="N125" i="2"/>
  <c r="O124" i="2"/>
  <c r="N124" i="2"/>
  <c r="O123" i="2"/>
  <c r="N123" i="2"/>
  <c r="AD9" i="2"/>
  <c r="AD10" i="2"/>
  <c r="AD11" i="2"/>
  <c r="AD12" i="2"/>
  <c r="AD14" i="2"/>
  <c r="AD15" i="2"/>
  <c r="AD17" i="2"/>
  <c r="AD19" i="2"/>
  <c r="AD8" i="2"/>
  <c r="O121" i="2"/>
  <c r="N121" i="2"/>
  <c r="O118" i="2"/>
  <c r="N118" i="2"/>
  <c r="O117" i="2"/>
  <c r="N117" i="2"/>
  <c r="O116" i="2"/>
  <c r="N116" i="2"/>
  <c r="O105" i="2"/>
  <c r="N105" i="2"/>
  <c r="O104" i="2"/>
  <c r="N104" i="2"/>
  <c r="O103" i="2"/>
  <c r="N103" i="2"/>
  <c r="O100" i="2"/>
  <c r="N100" i="2"/>
  <c r="O101" i="2"/>
  <c r="N101" i="2"/>
  <c r="O98" i="2"/>
  <c r="N98" i="2"/>
  <c r="O97" i="2"/>
  <c r="N97" i="2"/>
  <c r="O95" i="2"/>
  <c r="N95" i="2"/>
  <c r="O114" i="2"/>
  <c r="N114" i="2"/>
  <c r="O93" i="2"/>
  <c r="N93" i="2"/>
  <c r="O92" i="2"/>
  <c r="N92" i="2"/>
  <c r="O90" i="2"/>
  <c r="N90" i="2"/>
  <c r="O88" i="2"/>
  <c r="N88" i="2"/>
  <c r="O85" i="2"/>
  <c r="N85" i="2"/>
  <c r="O84" i="2"/>
  <c r="N84" i="2"/>
  <c r="O82" i="2"/>
  <c r="N82" i="2"/>
  <c r="O109" i="2"/>
  <c r="N109" i="2"/>
  <c r="O81" i="2"/>
  <c r="N81" i="2"/>
  <c r="O80" i="2"/>
  <c r="N80" i="2"/>
  <c r="O79" i="2"/>
  <c r="N79" i="2"/>
  <c r="O78" i="2"/>
  <c r="N78" i="2"/>
  <c r="O77" i="2"/>
  <c r="N77" i="2"/>
  <c r="O76" i="2"/>
  <c r="N76" i="2"/>
  <c r="O75" i="2"/>
  <c r="N75" i="2"/>
  <c r="O74" i="2"/>
  <c r="N74" i="2"/>
  <c r="O73" i="2"/>
  <c r="N73" i="2"/>
  <c r="O66" i="2"/>
  <c r="N66" i="2"/>
  <c r="O64" i="2"/>
  <c r="N64" i="2"/>
  <c r="O61" i="2"/>
  <c r="N61" i="2"/>
  <c r="O57" i="2"/>
  <c r="N57" i="2"/>
  <c r="O56" i="2"/>
  <c r="N56" i="2"/>
  <c r="O55" i="2"/>
  <c r="N55" i="2"/>
  <c r="O51" i="2"/>
  <c r="N51" i="2"/>
  <c r="O48" i="2"/>
  <c r="N48" i="2"/>
  <c r="O47" i="2"/>
  <c r="N47" i="2"/>
  <c r="O46" i="2"/>
  <c r="N46" i="2"/>
  <c r="N45" i="2"/>
  <c r="N108" i="2"/>
  <c r="O67" i="2"/>
  <c r="N53" i="2"/>
  <c r="N89" i="2"/>
  <c r="J4" i="3"/>
  <c r="I35" i="3"/>
  <c r="I47" i="3"/>
  <c r="I50" i="3"/>
  <c r="I56" i="3"/>
  <c r="B15" i="8"/>
  <c r="D16" i="8"/>
  <c r="C16" i="8"/>
  <c r="B16" i="8"/>
</calcChain>
</file>

<file path=xl/sharedStrings.xml><?xml version="1.0" encoding="utf-8"?>
<sst xmlns="http://schemas.openxmlformats.org/spreadsheetml/2006/main" count="2645" uniqueCount="441">
  <si>
    <t>Apoyo de COVAX para el equipo de cadena de frío (CCE)</t>
  </si>
  <si>
    <t xml:space="preserve">País </t>
  </si>
  <si>
    <t>Enlaces a las hojas de este archivo</t>
  </si>
  <si>
    <t>Resumen de opciones de CCE</t>
  </si>
  <si>
    <t>Opción A Selección de modelo de CCE</t>
  </si>
  <si>
    <t>Opción B Selección de modelo de CCE</t>
  </si>
  <si>
    <t>Opción C Selección de modelo de CCE</t>
  </si>
  <si>
    <t>Lista de precios del modelo de CCE especificado</t>
  </si>
  <si>
    <t xml:space="preserve">Instrucciones </t>
  </si>
  <si>
    <r>
      <rPr>
        <sz val="11"/>
        <color theme="1"/>
        <rFont val="Calibri"/>
        <family val="2"/>
        <scheme val="minor"/>
      </rPr>
      <t>1.</t>
    </r>
    <r>
      <rPr>
        <sz val="11"/>
        <color theme="1"/>
        <rFont val="Calibri"/>
        <family val="2"/>
        <scheme val="minor"/>
      </rPr>
      <t xml:space="preserve"> </t>
    </r>
    <r>
      <rPr>
        <sz val="11"/>
        <color theme="1"/>
        <rFont val="Calibri"/>
        <family val="2"/>
        <scheme val="minor"/>
      </rPr>
      <t>Esta plantilla debe ser completada por TODOS los países que soliciten apoyo de COVAX para el equipamiento de la cadena de frío (CCE, por sus siglas en inglés).</t>
    </r>
    <r>
      <rPr>
        <sz val="11"/>
        <color theme="1"/>
        <rFont val="Calibri"/>
        <family val="2"/>
        <scheme val="minor"/>
      </rPr>
      <t xml:space="preserve"> </t>
    </r>
    <r>
      <rPr>
        <b/>
        <sz val="11"/>
        <color rgb="FF000000"/>
        <rFont val="Calibri"/>
        <family val="2"/>
        <scheme val="minor"/>
      </rPr>
      <t>Las tres hojas de opciones de modelos de CCE deben estar completas para que la solicitud sea considerada.</t>
    </r>
  </si>
  <si>
    <r>
      <rPr>
        <sz val="11"/>
        <color theme="1"/>
        <rFont val="Calibri"/>
        <family val="2"/>
        <scheme val="minor"/>
      </rPr>
      <t>2.</t>
    </r>
    <r>
      <rPr>
        <sz val="11"/>
        <color theme="1"/>
        <rFont val="Calibri"/>
        <family val="2"/>
        <scheme val="minor"/>
      </rPr>
      <t xml:space="preserve"> </t>
    </r>
    <r>
      <rPr>
        <sz val="11"/>
        <color theme="1"/>
        <rFont val="Calibri"/>
        <family val="2"/>
        <scheme val="minor"/>
      </rPr>
      <t>La hoja "</t>
    </r>
    <r>
      <rPr>
        <sz val="11"/>
        <color theme="8"/>
        <rFont val="Calibri"/>
        <family val="2"/>
        <scheme val="minor"/>
      </rPr>
      <t>Lista de precios del modelo de CCE especificado</t>
    </r>
    <r>
      <rPr>
        <sz val="11"/>
        <color theme="1"/>
        <rFont val="Calibri"/>
        <family val="2"/>
        <scheme val="minor"/>
      </rPr>
      <t>" ofrece una visión general de los precios para planificación por cada tipo de equipo:</t>
    </r>
    <r>
      <rPr>
        <sz val="11"/>
        <color theme="1"/>
        <rFont val="Calibri"/>
        <family val="2"/>
        <scheme val="minor"/>
      </rPr>
      <t xml:space="preserve"> </t>
    </r>
    <r>
      <rPr>
        <b/>
        <sz val="11"/>
        <color theme="1"/>
        <rFont val="Calibri"/>
        <family val="2"/>
        <scheme val="minor"/>
      </rPr>
      <t>«Precio indicativo PQS por unidad" + 
         "Estimaciones del paquete de servicios"</t>
    </r>
    <r>
      <rPr>
        <sz val="11"/>
        <color theme="1"/>
        <rFont val="Calibri"/>
        <family val="2"/>
        <scheme val="minor"/>
      </rPr>
      <t>.</t>
    </r>
    <r>
      <rPr>
        <sz val="11"/>
        <color theme="1"/>
        <rFont val="Calibri"/>
        <family val="2"/>
        <scheme val="minor"/>
      </rPr>
      <t xml:space="preserve"> </t>
    </r>
    <r>
      <rPr>
        <sz val="11"/>
        <color theme="1"/>
        <rFont val="Calibri"/>
        <family val="2"/>
        <scheme val="minor"/>
      </rPr>
      <t>NO se espera que los Solicitantes completen esta hoja.</t>
    </r>
  </si>
  <si>
    <r>
      <rPr>
        <sz val="11"/>
        <color theme="1"/>
        <rFont val="Calibri"/>
        <family val="2"/>
        <scheme val="minor"/>
      </rPr>
      <t xml:space="preserve">          </t>
    </r>
    <r>
      <rPr>
        <sz val="11"/>
        <color theme="1"/>
        <rFont val="Calibri"/>
        <family val="2"/>
        <scheme val="minor"/>
      </rPr>
      <t>a)  Para los fines de la planificación presupuestaria, las estimaciones del paquete de servicios son:</t>
    </r>
    <r>
      <rPr>
        <sz val="11"/>
        <color theme="1"/>
        <rFont val="Calibri"/>
        <family val="2"/>
        <scheme val="minor"/>
      </rPr>
      <t xml:space="preserve"> 
                        </t>
    </r>
    <r>
      <rPr>
        <sz val="11"/>
        <color theme="1"/>
        <rFont val="Calibri"/>
        <family val="2"/>
        <scheme val="minor"/>
      </rPr>
      <t xml:space="preserve">Para las </t>
    </r>
    <r>
      <rPr>
        <b/>
        <sz val="11"/>
        <color theme="1"/>
        <rFont val="Calibri"/>
        <family val="2"/>
        <scheme val="minor"/>
      </rPr>
      <t>cámaras de frío (WICR):</t>
    </r>
    <r>
      <rPr>
        <sz val="11"/>
        <color theme="1"/>
        <rFont val="Calibri"/>
        <family val="2"/>
        <scheme val="minor"/>
      </rPr>
      <t xml:space="preserve"> </t>
    </r>
    <r>
      <rPr>
        <sz val="11"/>
        <color theme="1"/>
        <rFont val="Calibri"/>
        <family val="2"/>
        <scheme val="minor"/>
      </rPr>
      <t xml:space="preserve">$11.000-$15.000 (10 CBM); $16.500-$23.000 (30 CBM),  $18.500-$26.000 (40CBM)
                               </t>
    </r>
    <r>
      <rPr>
        <b/>
        <sz val="11"/>
        <color theme="1"/>
        <rFont val="Calibri"/>
        <family val="2"/>
        <scheme val="minor"/>
      </rPr>
      <t>Cámaras de frío (WICR) dobles y cámaras congeladoras (WIF)</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$26.000-$38.000 (25 CBM WICR/15 CBM WIF) 
</t>
    </r>
    <r>
      <rPr>
        <b/>
        <sz val="11"/>
        <color theme="1"/>
        <rFont val="Calibri"/>
        <family val="2"/>
        <scheme val="minor"/>
      </rPr>
      <t xml:space="preserve">                               Equipos con conexión de red:</t>
    </r>
    <r>
      <rPr>
        <b/>
        <sz val="11"/>
        <color theme="1"/>
        <rFont val="Calibri"/>
        <family val="2"/>
        <scheme val="minor"/>
      </rPr>
      <t xml:space="preserve"> </t>
    </r>
    <r>
      <rPr>
        <b/>
        <sz val="11"/>
        <color theme="1"/>
        <rFont val="Calibri"/>
        <family val="2"/>
        <scheme val="minor"/>
      </rPr>
      <t xml:space="preserve">$400-$1350,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Equipos sin conexión de red:</t>
    </r>
    <r>
      <rPr>
        <b/>
        <sz val="11"/>
        <color theme="1"/>
        <rFont val="Calibri"/>
        <family val="2"/>
        <scheme val="minor"/>
      </rPr>
      <t xml:space="preserve"> </t>
    </r>
    <r>
      <rPr>
        <b/>
        <sz val="11"/>
        <color theme="1"/>
        <rFont val="Calibri"/>
        <family val="2"/>
        <scheme val="minor"/>
      </rPr>
      <t xml:space="preserve">$650-$2150 (paneles de montaje a piso), $1300-$4000 (paneles de montaje en poste) </t>
    </r>
    <r>
      <rPr>
        <sz val="11"/>
        <color theme="1"/>
        <rFont val="Calibri"/>
        <family val="2"/>
        <scheme val="minor"/>
      </rPr>
      <t xml:space="preserve">
</t>
    </r>
    <r>
      <rPr>
        <b/>
        <sz val="11"/>
        <color theme="1"/>
        <rFont val="Calibri"/>
        <family val="2"/>
        <scheme val="minor"/>
      </rPr>
      <t xml:space="preserve">                               Dispositivos de monitoreo remoto de temperatura (RTMD):</t>
    </r>
    <r>
      <rPr>
        <b/>
        <sz val="11"/>
        <color theme="1"/>
        <rFont val="Calibri"/>
        <family val="2"/>
        <scheme val="minor"/>
      </rPr>
      <t xml:space="preserve"> </t>
    </r>
    <r>
      <rPr>
        <b/>
        <sz val="11"/>
        <color theme="1"/>
        <rFont val="Calibri"/>
        <family val="2"/>
        <scheme val="minor"/>
      </rPr>
      <t>$200-$400</t>
    </r>
  </si>
  <si>
    <r>
      <rPr>
        <sz val="11"/>
        <color theme="1"/>
        <rFont val="Calibri"/>
        <family val="2"/>
        <scheme val="minor"/>
      </rPr>
      <t xml:space="preserve">          </t>
    </r>
    <r>
      <rPr>
        <sz val="11"/>
        <color theme="1"/>
        <rFont val="Calibri"/>
        <family val="2"/>
        <scheme val="minor"/>
      </rPr>
      <t xml:space="preserve">límite superiorc) Los países deben planear sus presupuestos con las </t>
    </r>
    <r>
      <rPr>
        <b/>
        <sz val="11"/>
        <color theme="1"/>
        <rFont val="Calibri"/>
        <family val="2"/>
        <scheme val="minor"/>
      </rPr>
      <t xml:space="preserve">estimaciones del límite </t>
    </r>
    <r>
      <rPr>
        <b/>
        <sz val="11"/>
        <color theme="1"/>
        <rFont val="Calibri"/>
        <family val="2"/>
        <scheme val="minor"/>
      </rPr>
      <t>inferior</t>
    </r>
    <r>
      <rPr>
        <b/>
        <sz val="11"/>
        <color theme="1"/>
        <rFont val="Calibri"/>
        <family val="2"/>
        <scheme val="minor"/>
      </rPr>
      <t xml:space="preserve"> </t>
    </r>
    <r>
      <rPr>
        <sz val="11"/>
        <color theme="1"/>
        <rFont val="Calibri"/>
        <family val="2"/>
        <scheme val="minor"/>
      </rPr>
      <t xml:space="preserve">de paquete de servicios (p. ej., $400 para los equipos con conexión de red) para el CCE que se instalará en centros de salud con bajo costo de transporte dentro del país (p. ej., plazos cortos e infraestructura de calidad); las </t>
    </r>
    <r>
      <rPr>
        <b/>
        <sz val="11"/>
        <color theme="1"/>
        <rFont val="Calibri"/>
        <family val="2"/>
        <scheme val="minor"/>
      </rPr>
      <t>estimaciones del límite superior</t>
    </r>
    <r>
      <rPr>
        <sz val="11"/>
        <color theme="1"/>
        <rFont val="Calibri"/>
        <family val="2"/>
        <scheme val="minor"/>
      </rPr>
      <t xml:space="preserve"> (p. ej., $2150 para los equipos sin conexión de red) para el CCE que se instalará en centros de salud con alto costo de transporte dentro del país (p. ej. largos traslados, infraestructura de baja calidad), y </t>
    </r>
    <r>
      <rPr>
        <b/>
        <sz val="11"/>
        <color theme="1"/>
        <rFont val="Calibri"/>
        <family val="2"/>
        <scheme val="minor"/>
      </rPr>
      <t>estimaciones intermedias</t>
    </r>
    <r>
      <rPr>
        <sz val="11"/>
        <color theme="1"/>
        <rFont val="Calibri"/>
        <family val="2"/>
        <scheme val="minor"/>
      </rPr>
      <t xml:space="preserve"> según corresponda.</t>
    </r>
    <r>
      <rPr>
        <sz val="11"/>
        <color theme="1"/>
        <rFont val="Calibri"/>
        <family val="2"/>
        <scheme val="minor"/>
      </rPr>
      <t xml:space="preserve"> </t>
    </r>
    <r>
      <rPr>
        <sz val="11"/>
        <color theme="1"/>
        <rFont val="Calibri"/>
        <family val="2"/>
        <scheme val="minor"/>
      </rPr>
      <t>Para los pedidos de pequeñas cantidades puede ser necesario que el presupuesto se acerque a los límites superiores.</t>
    </r>
  </si>
  <si>
    <r>
      <rPr>
        <sz val="11"/>
        <color theme="1"/>
        <rFont val="Calibri"/>
        <family val="2"/>
        <scheme val="minor"/>
      </rPr>
      <t>3.</t>
    </r>
    <r>
      <rPr>
        <sz val="11"/>
        <color theme="1"/>
        <rFont val="Calibri"/>
        <family val="2"/>
        <scheme val="minor"/>
      </rPr>
      <t xml:space="preserve"> </t>
    </r>
    <r>
      <rPr>
        <sz val="11"/>
        <color theme="1"/>
        <rFont val="Calibri"/>
        <family val="2"/>
        <scheme val="minor"/>
      </rPr>
      <t>La hoja "</t>
    </r>
    <r>
      <rPr>
        <sz val="11"/>
        <color theme="8"/>
        <rFont val="Calibri"/>
        <family val="2"/>
        <scheme val="minor"/>
      </rPr>
      <t>Opción A/B/C: Selección de modelo de CCE</t>
    </r>
    <r>
      <rPr>
        <sz val="11"/>
        <color theme="1"/>
        <rFont val="Calibri"/>
        <family val="2"/>
        <scheme val="minor"/>
      </rPr>
      <t>" debe usarse para elaborar el presupuesto del CCE (total) solicitado.</t>
    </r>
    <r>
      <rPr>
        <sz val="11"/>
        <color theme="1"/>
        <rFont val="Calibri"/>
        <family val="2"/>
        <scheme val="minor"/>
      </rPr>
      <t xml:space="preserve"> </t>
    </r>
    <r>
      <rPr>
        <b/>
        <sz val="11"/>
        <color theme="1"/>
        <rFont val="Calibri"/>
        <family val="2"/>
        <scheme val="minor"/>
      </rPr>
      <t>Completar</t>
    </r>
    <r>
      <rPr>
        <sz val="11"/>
        <color theme="1"/>
        <rFont val="Calibri"/>
        <family val="2"/>
        <scheme val="minor"/>
      </rPr>
      <t xml:space="preserve"> </t>
    </r>
    <r>
      <rPr>
        <b/>
        <sz val="11"/>
        <color theme="1"/>
        <rFont val="Calibri"/>
        <family val="2"/>
        <scheme val="minor"/>
      </rPr>
      <t>las 3 opciones es obligatorio</t>
    </r>
    <r>
      <rPr>
        <sz val="11"/>
        <color theme="1"/>
        <rFont val="Calibri"/>
        <family val="2"/>
        <scheme val="minor"/>
      </rPr>
      <t xml:space="preserve"> y estas </t>
    </r>
    <r>
      <rPr>
        <b/>
        <sz val="11"/>
        <color theme="1"/>
        <rFont val="Calibri"/>
        <family val="2"/>
        <scheme val="minor"/>
      </rPr>
      <t>deben reflejar 3 opciones de marcas distintas (excepto que no haya 3 marcas disponibles, p. ej., para cajas frigoríficas con control de congelamiento).</t>
    </r>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Para cada categoría de producto y tamaño de equipo (si se seleccionan múltiples opciones de distintos volúmenes dentro de una categoría de producto, p. ej., un refrigerador de pared de hielo [ILR] grande y uno más pequeño), el número de unidades debe ser igual en las tres hojas del presupuesto.</t>
    </r>
    <r>
      <rPr>
        <sz val="11"/>
        <color theme="1"/>
        <rFont val="Calibri"/>
        <family val="2"/>
        <scheme val="minor"/>
      </rPr>
      <t xml:space="preserve"> </t>
    </r>
    <r>
      <rPr>
        <sz val="11"/>
        <color theme="1"/>
        <rFont val="Calibri"/>
        <family val="2"/>
        <scheme val="minor"/>
      </rPr>
      <t>P. ej., si necesita 100 unidades de ILR de 120L, cada opción presupuestaria debe reflejar la misma cantidad en las distintas marcas.</t>
    </r>
  </si>
  <si>
    <r>
      <rPr>
        <b/>
        <sz val="11"/>
        <color theme="5"/>
        <rFont val="Calibri"/>
        <family val="2"/>
        <scheme val="minor"/>
      </rPr>
      <t>ACCIÓN DEL PAÍS -&gt;</t>
    </r>
    <r>
      <rPr>
        <sz val="11"/>
        <color theme="1"/>
        <rFont val="Calibri"/>
        <family val="2"/>
        <scheme val="minor"/>
      </rPr>
      <t xml:space="preserve"> En esta hoja, los países deben:</t>
    </r>
  </si>
  <si>
    <r>
      <rPr>
        <i/>
        <sz val="11"/>
        <color theme="1"/>
        <rFont val="Calibri"/>
        <family val="2"/>
        <scheme val="minor"/>
      </rPr>
      <t xml:space="preserve">            </t>
    </r>
    <r>
      <rPr>
        <i/>
        <sz val="11"/>
        <color theme="1"/>
        <rFont val="Calibri"/>
        <family val="2"/>
        <scheme val="minor"/>
      </rPr>
      <t xml:space="preserve">a) Seleccionar el </t>
    </r>
    <r>
      <rPr>
        <b/>
        <i/>
        <sz val="11"/>
        <color theme="1"/>
        <rFont val="Calibri"/>
        <family val="2"/>
        <scheme val="minor"/>
      </rPr>
      <t>"Modelo de equipo"</t>
    </r>
    <r>
      <rPr>
        <i/>
        <sz val="11"/>
        <color theme="1"/>
        <rFont val="Calibri"/>
        <family val="2"/>
        <scheme val="minor"/>
      </rPr>
      <t xml:space="preserve"> adecuado en relación con los tipos de equipo indicados en la lista.</t>
    </r>
    <r>
      <rPr>
        <i/>
        <sz val="11"/>
        <color rgb="FF000000"/>
        <rFont val="Calibri"/>
        <family val="2"/>
        <scheme val="minor"/>
      </rPr>
      <t xml:space="preserve"> </t>
    </r>
  </si>
  <si>
    <r>
      <rPr>
        <i/>
        <sz val="11"/>
        <color theme="1"/>
        <rFont val="Calibri"/>
        <family val="2"/>
        <scheme val="minor"/>
      </rPr>
      <t xml:space="preserve">            </t>
    </r>
    <r>
      <rPr>
        <i/>
        <sz val="11"/>
        <color theme="1"/>
        <rFont val="Calibri"/>
        <family val="2"/>
        <scheme val="minor"/>
      </rPr>
      <t xml:space="preserve">b) Completar el </t>
    </r>
    <r>
      <rPr>
        <b/>
        <i/>
        <sz val="11"/>
        <color theme="1"/>
        <rFont val="Calibri"/>
        <family val="2"/>
        <scheme val="minor"/>
      </rPr>
      <t>"Costo estimado del paquete de servicios"</t>
    </r>
    <r>
      <rPr>
        <i/>
        <sz val="11"/>
        <color theme="1"/>
        <rFont val="Calibri"/>
        <family val="2"/>
        <scheme val="minor"/>
      </rPr>
      <t xml:space="preserve"> y el </t>
    </r>
    <r>
      <rPr>
        <b/>
        <i/>
        <sz val="11"/>
        <color theme="1"/>
        <rFont val="Calibri"/>
        <family val="2"/>
        <scheme val="minor"/>
      </rPr>
      <t>"Número de equipo"</t>
    </r>
    <r>
      <rPr>
        <i/>
        <sz val="11"/>
        <color theme="1"/>
        <rFont val="Calibri"/>
        <family val="2"/>
        <scheme val="minor"/>
      </rPr>
      <t xml:space="preserve"> solicitado.</t>
    </r>
    <r>
      <rPr>
        <i/>
        <sz val="11"/>
        <color rgb="FF000000"/>
        <rFont val="Calibri"/>
        <family val="2"/>
        <scheme val="minor"/>
      </rPr>
      <t xml:space="preserve"> </t>
    </r>
  </si>
  <si>
    <r>
      <rPr>
        <sz val="11"/>
        <color theme="1"/>
        <rFont val="Calibri"/>
        <family val="2"/>
        <scheme val="minor"/>
      </rPr>
      <t>- Las celdas de</t>
    </r>
    <r>
      <rPr>
        <b/>
        <sz val="11"/>
        <color theme="1"/>
        <rFont val="Calibri"/>
        <family val="2"/>
        <scheme val="minor"/>
      </rPr>
      <t xml:space="preserve"> "Marca del equipo", "Capacidad de vacunas", "Volumen bruto del congelador" </t>
    </r>
    <r>
      <rPr>
        <sz val="11"/>
        <color theme="1"/>
        <rFont val="Calibri"/>
        <family val="2"/>
        <scheme val="minor"/>
      </rPr>
      <t>y</t>
    </r>
    <r>
      <rPr>
        <b/>
        <sz val="11"/>
        <color theme="1"/>
        <rFont val="Calibri"/>
        <family val="2"/>
        <scheme val="minor"/>
      </rPr>
      <t xml:space="preserve"> "</t>
    </r>
    <r>
      <rPr>
        <b/>
        <sz val="11"/>
        <color theme="1"/>
        <rFont val="Calibri"/>
        <family val="2"/>
        <scheme val="minor"/>
      </rPr>
      <t xml:space="preserve">Precios indicativos PQS" </t>
    </r>
    <r>
      <rPr>
        <sz val="11"/>
        <color theme="1"/>
        <rFont val="Calibri"/>
        <family val="2"/>
        <scheme val="minor"/>
      </rPr>
      <t>se completarán automáticamente con datos de la hoja "</t>
    </r>
    <r>
      <rPr>
        <sz val="11"/>
        <color theme="8"/>
        <rFont val="Calibri"/>
        <family val="2"/>
        <scheme val="minor"/>
      </rPr>
      <t>Lista de precios del modelo de CCE especificado</t>
    </r>
    <r>
      <rPr>
        <sz val="11"/>
        <color theme="1"/>
        <rFont val="Calibri"/>
        <family val="2"/>
        <scheme val="minor"/>
      </rPr>
      <t>".</t>
    </r>
    <r>
      <rPr>
        <sz val="11"/>
        <color theme="1"/>
        <rFont val="Calibri"/>
        <family val="2"/>
        <scheme val="minor"/>
      </rPr>
      <t xml:space="preserve">  </t>
    </r>
  </si>
  <si>
    <r>
      <rPr>
        <b/>
        <sz val="11"/>
        <color theme="1"/>
        <rFont val="Calibri"/>
        <family val="2"/>
        <scheme val="minor"/>
      </rPr>
      <t xml:space="preserve">- </t>
    </r>
    <r>
      <rPr>
        <sz val="11"/>
        <color rgb="FF000000"/>
        <rFont val="Calibri"/>
        <family val="2"/>
        <scheme val="minor"/>
      </rPr>
      <t xml:space="preserve">Los países deben </t>
    </r>
    <r>
      <rPr>
        <b/>
        <sz val="11"/>
        <color rgb="FF000000"/>
        <rFont val="Calibri"/>
        <family val="2"/>
        <scheme val="minor"/>
      </rPr>
      <t>solicitar específicamente registradores de temperatura (DTR) de 30 días o RTMD y/o reguladores de voltaje</t>
    </r>
    <r>
      <rPr>
        <sz val="11"/>
        <color rgb="FF000000"/>
        <rFont val="Calibri"/>
        <family val="2"/>
        <scheme val="minor"/>
      </rPr>
      <t xml:space="preserve"> en los rubros de la plantilla si</t>
    </r>
    <r>
      <rPr>
        <b/>
        <sz val="11"/>
        <color rgb="FF000000"/>
        <rFont val="Calibri"/>
        <family val="2"/>
        <scheme val="minor"/>
      </rPr>
      <t>se adquieren para equipos existentes (en el país)</t>
    </r>
    <r>
      <rPr>
        <sz val="11"/>
        <color rgb="FF000000"/>
        <rFont val="Calibri"/>
        <family val="2"/>
        <scheme val="minor"/>
      </rPr>
      <t xml:space="preserve"> (según corresponda) solo </t>
    </r>
    <r>
      <rPr>
        <b/>
        <sz val="11"/>
        <color rgb="FF000000"/>
        <rFont val="Calibri"/>
        <family val="2"/>
        <scheme val="minor"/>
      </rPr>
      <t>para las unidades donde se planea almacenar vacunas contra la COVID-19.</t>
    </r>
    <r>
      <rPr>
        <b/>
        <sz val="11"/>
        <color rgb="FF000000"/>
        <rFont val="Calibri"/>
        <family val="2"/>
        <scheme val="minor"/>
      </rPr>
      <t xml:space="preserve"> </t>
    </r>
  </si>
  <si>
    <r>
      <rPr>
        <sz val="11"/>
        <color rgb="FF000000"/>
        <rFont val="Calibri"/>
        <family val="2"/>
        <scheme val="minor"/>
      </rPr>
      <t xml:space="preserve">- El mecanismo de financiación apoyará la adquisición de </t>
    </r>
    <r>
      <rPr>
        <b/>
        <sz val="11"/>
        <color rgb="FF000000"/>
        <rFont val="Calibri"/>
        <family val="2"/>
        <scheme val="minor"/>
      </rPr>
      <t>piezas de repuesto para equipos de CCE recién adquiridos</t>
    </r>
    <r>
      <rPr>
        <sz val="11"/>
        <color rgb="FF000000"/>
        <rFont val="Calibri"/>
        <family val="2"/>
        <scheme val="minor"/>
      </rPr>
      <t>.</t>
    </r>
    <r>
      <rPr>
        <sz val="11"/>
        <color rgb="FF000000"/>
        <rFont val="Calibri"/>
        <family val="2"/>
        <scheme val="minor"/>
      </rPr>
      <t xml:space="preserve"> </t>
    </r>
    <r>
      <rPr>
        <sz val="11"/>
        <color rgb="FF000000"/>
        <rFont val="Calibri"/>
        <family val="2"/>
        <scheme val="minor"/>
      </rPr>
      <t>Los precios de las piezas pueden consultarse en el catálogo de suministros del UNICEF.</t>
    </r>
  </si>
  <si>
    <t>Enlace del catálogo de suministros del UNICEF para el precio de las piezas de repuesto.</t>
  </si>
  <si>
    <r>
      <rPr>
        <sz val="11"/>
        <color theme="1"/>
        <rFont val="Calibri"/>
        <family val="2"/>
        <scheme val="minor"/>
      </rPr>
      <t xml:space="preserve">- En </t>
    </r>
    <r>
      <rPr>
        <b/>
        <sz val="11"/>
        <color theme="1"/>
        <rFont val="Calibri"/>
        <family val="2"/>
        <scheme val="minor"/>
      </rPr>
      <t>el presupuesto</t>
    </r>
    <r>
      <rPr>
        <sz val="11"/>
        <color theme="1"/>
        <rFont val="Calibri"/>
        <family val="2"/>
        <scheme val="minor"/>
      </rPr>
      <t xml:space="preserve"> se ha incorporado </t>
    </r>
    <r>
      <rPr>
        <b/>
        <sz val="11"/>
        <color theme="1"/>
        <rFont val="Calibri"/>
        <family val="2"/>
        <scheme val="minor"/>
      </rPr>
      <t>un 6 % de intermediación sobre el</t>
    </r>
    <r>
      <rPr>
        <b/>
        <sz val="11"/>
        <color theme="1"/>
        <rFont val="Calibri"/>
        <family val="2"/>
        <scheme val="minor"/>
      </rPr>
      <t xml:space="preserve"> c</t>
    </r>
    <r>
      <rPr>
        <b/>
        <sz val="11"/>
        <color theme="1"/>
        <rFont val="Calibri"/>
        <family val="2"/>
        <scheme val="minor"/>
      </rPr>
      <t>osto total del equipo</t>
    </r>
    <r>
      <rPr>
        <sz val="11"/>
        <color theme="1"/>
        <rFont val="Calibri"/>
        <family val="2"/>
        <scheme val="minor"/>
      </rPr>
      <t>.</t>
    </r>
    <r>
      <rPr>
        <sz val="11"/>
        <color theme="1"/>
        <rFont val="Calibri"/>
        <family val="2"/>
        <scheme val="minor"/>
      </rPr>
      <t xml:space="preserve"> </t>
    </r>
    <r>
      <rPr>
        <sz val="11"/>
        <color theme="1"/>
        <rFont val="Calibri"/>
        <family val="2"/>
        <scheme val="minor"/>
      </rPr>
      <t>Esto cubre variaciones cambiarias, gastos por sobreestadía y costos asociados.</t>
    </r>
  </si>
  <si>
    <r>
      <rPr>
        <sz val="11"/>
        <color theme="1"/>
        <rFont val="Calibri"/>
        <family val="2"/>
        <scheme val="minor"/>
      </rPr>
      <t>- Se aplicará una</t>
    </r>
    <r>
      <rPr>
        <b/>
        <sz val="11"/>
        <color theme="1"/>
        <rFont val="Calibri"/>
        <family val="2"/>
        <scheme val="minor"/>
      </rPr>
      <t xml:space="preserve"> tasa de adquisición del 5 %</t>
    </r>
    <r>
      <rPr>
        <sz val="11"/>
        <color theme="1"/>
        <rFont val="Calibri"/>
        <family val="2"/>
        <scheme val="minor"/>
      </rPr>
      <t xml:space="preserve"> sobre el presupuesto de equipos para cubrir los costos administrativos del UNICEF.</t>
    </r>
    <r>
      <rPr>
        <sz val="11"/>
        <color theme="1"/>
        <rFont val="Calibri"/>
        <family val="2"/>
        <scheme val="minor"/>
      </rPr>
      <t xml:space="preserve"> </t>
    </r>
    <r>
      <rPr>
        <sz val="11"/>
        <color theme="1"/>
        <rFont val="Calibri"/>
        <family val="2"/>
        <scheme val="minor"/>
      </rPr>
      <t>En el caso de los países que opten por arrendar capacidad de cámaras de frío, se aplicará un costo de apoyo al programa del 8 % sobre el presupuesto total de arrendamiento.</t>
    </r>
  </si>
  <si>
    <r>
      <rPr>
        <sz val="11"/>
        <color theme="1"/>
        <rFont val="Calibri"/>
        <family val="2"/>
        <scheme val="minor"/>
      </rPr>
      <t>4.</t>
    </r>
    <r>
      <rPr>
        <sz val="11"/>
        <color theme="1"/>
        <rFont val="Calibri"/>
        <family val="2"/>
        <scheme val="minor"/>
      </rPr>
      <t xml:space="preserve"> </t>
    </r>
    <r>
      <rPr>
        <sz val="11"/>
        <color theme="1"/>
        <rFont val="Calibri"/>
        <family val="2"/>
        <scheme val="minor"/>
      </rPr>
      <t>La hoja</t>
    </r>
    <r>
      <rPr>
        <sz val="11"/>
        <color theme="1"/>
        <rFont val="Calibri"/>
        <family val="2"/>
        <scheme val="minor"/>
      </rPr>
      <t xml:space="preserve"> "</t>
    </r>
    <r>
      <rPr>
        <sz val="11"/>
        <color theme="8"/>
        <rFont val="Calibri"/>
        <family val="2"/>
        <scheme val="minor"/>
      </rPr>
      <t>Resumen de opciones de CCE</t>
    </r>
    <r>
      <rPr>
        <sz val="11"/>
        <color theme="1"/>
        <rFont val="Calibri"/>
        <family val="2"/>
        <scheme val="minor"/>
      </rPr>
      <t>" se debe usar para comparar los presupuestos totales de las opciones de modelos de CCE seleccionadas.</t>
    </r>
    <r>
      <rPr>
        <sz val="11"/>
        <color theme="1"/>
        <rFont val="Calibri"/>
        <family val="2"/>
        <scheme val="minor"/>
      </rPr>
      <t xml:space="preserve"> </t>
    </r>
  </si>
  <si>
    <r>
      <rPr>
        <sz val="11"/>
        <color theme="1"/>
        <rFont val="Calibri"/>
        <family val="2"/>
        <scheme val="minor"/>
      </rPr>
      <t>La sección 1 de esa hoja se completa automáticamente de acuerdo con lo ingresado por el país en la hoja "</t>
    </r>
    <r>
      <rPr>
        <sz val="11"/>
        <color rgb="FF0070C0"/>
        <rFont val="Calibri"/>
        <family val="2"/>
        <scheme val="minor"/>
      </rPr>
      <t>Opción A/B/C: Selección de modelo de CCE</t>
    </r>
    <r>
      <rPr>
        <sz val="11"/>
        <color theme="1"/>
        <rFont val="Calibri"/>
        <family val="2"/>
        <scheme val="minor"/>
      </rPr>
      <t>"</t>
    </r>
    <r>
      <rPr>
        <sz val="11"/>
        <color theme="1"/>
        <rFont val="Calibri"/>
        <family val="2"/>
        <scheme val="minor"/>
      </rPr>
      <t>.</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</si>
  <si>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Total de unidades de CCE para adquisición (WICR+ILR+SDD):</t>
    </r>
    <r>
      <rPr>
        <sz val="11"/>
        <color theme="1"/>
        <rFont val="Calibri"/>
        <family val="2"/>
        <scheme val="minor"/>
      </rPr>
      <t xml:space="preserve"> compara el total de unidades de cámaras de frío (WICR), cámaras congeladoras (WIFR), refrigeradores de pared de hielo (ILR) y refrigeradores solares (SDD) que se adquieren en las opciones A, B y C.</t>
    </r>
  </si>
  <si>
    <r>
      <rPr>
        <sz val="11"/>
        <color theme="1"/>
        <rFont val="Calibri"/>
        <family val="2"/>
        <scheme val="minor"/>
      </rPr>
      <t xml:space="preserve">- </t>
    </r>
    <r>
      <rPr>
        <b/>
        <sz val="11"/>
        <color theme="1"/>
        <rFont val="Calibri"/>
        <family val="2"/>
        <scheme val="minor"/>
      </rPr>
      <t>Total de WICR/WIFR para arrendamiento:</t>
    </r>
    <r>
      <rPr>
        <sz val="11"/>
        <color theme="1"/>
        <rFont val="Calibri"/>
        <family val="2"/>
        <scheme val="minor"/>
      </rPr>
      <t xml:space="preserve"> compara el total de unidades de WICR/WIFR que se proponen para arrendamiento a corto y largo plazo.</t>
    </r>
  </si>
  <si>
    <r>
      <rPr>
        <sz val="11"/>
        <color theme="1"/>
        <rFont val="Calibri"/>
        <family val="2"/>
        <scheme val="minor"/>
      </rPr>
      <t xml:space="preserve">- </t>
    </r>
    <r>
      <rPr>
        <b/>
        <sz val="11"/>
        <color theme="1"/>
        <rFont val="Calibri"/>
        <family val="2"/>
        <scheme val="minor"/>
      </rPr>
      <t>Total de costos de arrendamiento:</t>
    </r>
    <r>
      <rPr>
        <sz val="11"/>
        <color theme="1"/>
        <rFont val="Calibri"/>
        <family val="2"/>
        <scheme val="minor"/>
      </rPr>
      <t xml:space="preserve"> compara el total de costos de arrendamiento (incluye las tasas de los contratos de adquisición).</t>
    </r>
  </si>
  <si>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Total del presupuesto (todos los dispositivos):</t>
    </r>
    <r>
      <rPr>
        <sz val="11"/>
        <color theme="1"/>
        <rFont val="Calibri"/>
        <family val="2"/>
        <scheme val="minor"/>
      </rPr>
      <t xml:space="preserve"> compara el costo total de adquisición de CCE para todas las adquisiciones de equipos (incluye el 6 % de intermediación, gastos de transporte, costos de arrendamiento y tasas de adquisición del UNICEF) correspondientes a cada opción, y destaca la opción más rentable sobre la base de un promedio de $/CCE.</t>
    </r>
  </si>
  <si>
    <r>
      <rPr>
        <i/>
        <sz val="11"/>
        <color theme="1"/>
        <rFont val="Calibri"/>
        <family val="2"/>
        <scheme val="minor"/>
      </rPr>
      <t xml:space="preserve">            </t>
    </r>
    <r>
      <rPr>
        <i/>
        <sz val="11"/>
        <color theme="1"/>
        <rFont val="Calibri"/>
        <family val="2"/>
        <scheme val="minor"/>
      </rPr>
      <t xml:space="preserve">a) </t>
    </r>
    <r>
      <rPr>
        <b/>
        <i/>
        <sz val="11"/>
        <color rgb="FF000000"/>
        <rFont val="Calibri"/>
        <family val="2"/>
        <scheme val="minor"/>
      </rPr>
      <t>Completar</t>
    </r>
    <r>
      <rPr>
        <i/>
        <sz val="11"/>
        <color rgb="FF000000"/>
        <rFont val="Calibri"/>
        <family val="2"/>
        <scheme val="minor"/>
      </rPr>
      <t xml:space="preserve"> la opción de modelo de CCE (celda E11).</t>
    </r>
  </si>
  <si>
    <r>
      <rPr>
        <i/>
        <sz val="11"/>
        <color theme="1"/>
        <rFont val="Calibri"/>
        <family val="2"/>
        <scheme val="minor"/>
      </rPr>
      <t xml:space="preserve">            </t>
    </r>
    <r>
      <rPr>
        <i/>
        <sz val="11"/>
        <color theme="1"/>
        <rFont val="Calibri"/>
        <family val="2"/>
        <scheme val="minor"/>
      </rPr>
      <t>b)</t>
    </r>
    <r>
      <rPr>
        <b/>
        <i/>
        <sz val="11"/>
        <color rgb="FF000000"/>
        <rFont val="Calibri"/>
        <family val="2"/>
        <scheme val="minor"/>
      </rPr>
      <t xml:space="preserve"> Explicar</t>
    </r>
    <r>
      <rPr>
        <i/>
        <sz val="11"/>
        <color rgb="FF000000"/>
        <rFont val="Calibri"/>
        <family val="2"/>
        <scheme val="minor"/>
      </rPr>
      <t xml:space="preserve"> por qué se justifica elegir la opción de modelo de CCE final (celda A18).</t>
    </r>
  </si>
  <si>
    <t>Breve comparación de las opciones de los países</t>
  </si>
  <si>
    <r>
      <rPr>
        <i/>
        <sz val="11"/>
        <color theme="4"/>
        <rFont val="Calibri"/>
        <family val="2"/>
        <scheme val="minor"/>
      </rPr>
      <t>El objeto de esta hoja es permitir a los responsables de la toma de decisiones comparar las implicaciones de costos de las opciones de selección de CCE ingresadas en las hojas de selección de CCE (la opción más rentable se destaca en verde).</t>
    </r>
    <r>
      <rPr>
        <i/>
        <sz val="11"/>
        <color theme="4"/>
        <rFont val="Calibri"/>
        <family val="2"/>
        <scheme val="minor"/>
      </rPr>
      <t xml:space="preserve"> </t>
    </r>
    <r>
      <rPr>
        <i/>
        <sz val="11"/>
        <color theme="4"/>
        <rFont val="Calibri"/>
        <family val="2"/>
        <scheme val="minor"/>
      </rPr>
      <t>El total de unidades y el costo ( celdas B11-D12) se completan automáticamente a partir de los datos de la hoja (Opción A/B/C: Selección de modelo de CCE).</t>
    </r>
    <r>
      <rPr>
        <i/>
        <sz val="11"/>
        <color rgb="FFFF0000"/>
        <rFont val="Calibri"/>
        <family val="2"/>
        <scheme val="minor"/>
      </rPr>
      <t xml:space="preserve"> </t>
    </r>
  </si>
  <si>
    <r>
      <rPr>
        <i/>
        <sz val="11"/>
        <color rgb="FFFF0000"/>
        <rFont val="Calibri"/>
        <family val="2"/>
        <scheme val="minor"/>
      </rPr>
      <t>Nota:</t>
    </r>
    <r>
      <rPr>
        <i/>
        <sz val="11"/>
        <color rgb="FFFF0000"/>
        <rFont val="Calibri"/>
        <family val="2"/>
        <scheme val="minor"/>
      </rPr>
      <t xml:space="preserve"> </t>
    </r>
    <r>
      <rPr>
        <i/>
        <u/>
        <sz val="11"/>
        <color rgb="FFFF0000"/>
        <rFont val="Calibri"/>
        <family val="2"/>
        <scheme val="minor"/>
      </rPr>
      <t>El país DEBE indicar la opción preferida abajo solo después de haber ingresado las tres opciones de modelo de CCE en las hojas con pestañas azules (Opción A/B/C: Selección de modelo de CCE).</t>
    </r>
    <r>
      <rPr>
        <i/>
        <u/>
        <sz val="11"/>
        <color rgb="FFFF0000"/>
        <rFont val="Calibri"/>
        <family val="2"/>
        <scheme val="minor"/>
      </rPr>
      <t xml:space="preserve"> </t>
    </r>
  </si>
  <si>
    <t>Sección 1: Comparación de la rentabilidad de las opciones de modelos de CCE</t>
  </si>
  <si>
    <t>Opción A</t>
  </si>
  <si>
    <t>Opción B</t>
  </si>
  <si>
    <t>Opción C</t>
  </si>
  <si>
    <t>Opción preferida del país</t>
  </si>
  <si>
    <t>Total de unidades de CCE para adquisición (WICR+ILR+SDD)</t>
  </si>
  <si>
    <t>Total de unidades de WICR para arrendamiento a largo plazo</t>
  </si>
  <si>
    <t>Total de unidades de WICR para arrendamiento "puente" a corto plazo</t>
  </si>
  <si>
    <t>Costos totales de arrendamiento*</t>
  </si>
  <si>
    <t>Presupuesto total (todos los equipos)**</t>
  </si>
  <si>
    <t>*Opción más rentable</t>
  </si>
  <si>
    <t>* Incluye tasas de contratación del servicio de adquisición</t>
  </si>
  <si>
    <t>**La hilera de presupuesto total representa las necesidades totales de presupuesto; incluye costos de equipos, intermediación, transporte internacional y arrendamiento, y tasas de adquisición y contratación del UNICEF para cada opción</t>
  </si>
  <si>
    <t>Sección 2: Explique por qué se justifica elegir la opción final abajo</t>
  </si>
  <si>
    <t>TOTAL</t>
  </si>
  <si>
    <t>Tipo de equipo</t>
  </si>
  <si>
    <t>Modelo de equipo</t>
  </si>
  <si>
    <t>Marca del equipo</t>
  </si>
  <si>
    <t>Capacidad de vacunas (L)</t>
  </si>
  <si>
    <t>Volumen bruto del congelador (L)</t>
  </si>
  <si>
    <t>Precio indicativo PQS por unidad (US$)</t>
  </si>
  <si>
    <t>Costo estimado del paquete de servicios (US$)</t>
  </si>
  <si>
    <t>Costo unitario total
incluido el costo del paquete de servicios (US$)</t>
  </si>
  <si>
    <t>Número de equipos</t>
  </si>
  <si>
    <t>Cantidad total
US$</t>
  </si>
  <si>
    <t>Seleccione de la lista desplegable</t>
  </si>
  <si>
    <t xml:space="preserve">Ingrese el costo dentro del rango de precios del paquete de servicios </t>
  </si>
  <si>
    <t>Ingrese la cantidad</t>
  </si>
  <si>
    <t>_1. Cámaras de frío</t>
  </si>
  <si>
    <t>_2. Cámaras de frío con congelador</t>
  </si>
  <si>
    <t>_3. Arrendamiento a corto plazo de cámaras de frío</t>
  </si>
  <si>
    <t>_4. Arrendamiento de cámaras de frío o cámara congeladora</t>
  </si>
  <si>
    <t>_5. ILR con conexión de red sin congelador</t>
  </si>
  <si>
    <t>_6. ILR con conexión de red y congelador</t>
  </si>
  <si>
    <t>_7. Congeladores con conexión de red</t>
  </si>
  <si>
    <t>_8. Refrigeradores SDD sin conexión de red sin congelador</t>
  </si>
  <si>
    <t>_9. Refrigeradores SDD sin conexión de red con congelador</t>
  </si>
  <si>
    <t>_10. Congelador SDD sin conexión de red</t>
  </si>
  <si>
    <t>_13. Portavacunas estándar</t>
  </si>
  <si>
    <t>_14. Portavacunas con control de congelamiento</t>
  </si>
  <si>
    <t>_15. Cajas frigoríficas estándar para vacunas</t>
  </si>
  <si>
    <t>_16. Cajas frigoríficas con control de congelamiento</t>
  </si>
  <si>
    <t xml:space="preserve">_17. Reguladores de voltaje para equipos </t>
  </si>
  <si>
    <t>_18. Bolsas de hielo</t>
  </si>
  <si>
    <t>_19. Piezas para nuevos equipos ILR sin congelador</t>
  </si>
  <si>
    <t>_20. Piezas para nuevos equipos ILR con congelador</t>
  </si>
  <si>
    <t>_21. Piezas para nuevos congeladores</t>
  </si>
  <si>
    <t>_22. Piezas para nuevos equipos SDD sin congelador</t>
  </si>
  <si>
    <t>_23. Piezas para nuevos equipos SDD con congelador</t>
  </si>
  <si>
    <t>_24. Piezas para nuevos congeladores SDD</t>
  </si>
  <si>
    <t>Presupuesto total de equipos (excluye costos de arrendamiento)</t>
  </si>
  <si>
    <t>Total estimado de cargos por transporte internacional, US$</t>
  </si>
  <si>
    <t>Presupuesto total (incl. 6 % adicional por intermediación y transporte internacional)</t>
  </si>
  <si>
    <r>
      <rPr>
        <b/>
        <sz val="11"/>
        <color theme="0"/>
        <rFont val="Calibri"/>
        <family val="2"/>
        <scheme val="minor"/>
      </rPr>
      <t>Tasas de servicio de adquisición (% del presupuesto según el UNICEF:</t>
    </r>
    <r>
      <rPr>
        <b/>
        <sz val="11"/>
        <color theme="0"/>
        <rFont val="Calibri"/>
        <family val="2"/>
        <scheme val="minor"/>
      </rPr>
      <t xml:space="preserve"> </t>
    </r>
    <r>
      <rPr>
        <b/>
        <sz val="11"/>
        <color theme="0"/>
        <rFont val="Calibri"/>
        <family val="2"/>
        <scheme val="minor"/>
      </rPr>
      <t xml:space="preserve">5 %) </t>
    </r>
    <r>
      <rPr>
        <b/>
        <sz val="11"/>
        <color rgb="FFFF0000"/>
        <rFont val="Calibri"/>
        <family val="2"/>
        <scheme val="minor"/>
      </rPr>
      <t>Ingrese %</t>
    </r>
  </si>
  <si>
    <t>Estimación de tasas de adquisición, US$</t>
  </si>
  <si>
    <t>Total de costos de arrendamiento</t>
  </si>
  <si>
    <r>
      <rPr>
        <b/>
        <sz val="11"/>
        <color theme="0"/>
        <rFont val="Calibri"/>
        <family val="2"/>
        <scheme val="minor"/>
      </rPr>
      <t>Costo de apoyo al programa (% de costos de arrendamiento según el UNICEF:</t>
    </r>
    <r>
      <rPr>
        <b/>
        <sz val="11"/>
        <color theme="0"/>
        <rFont val="Calibri"/>
        <family val="2"/>
        <scheme val="minor"/>
      </rPr>
      <t xml:space="preserve"> </t>
    </r>
    <r>
      <rPr>
        <b/>
        <sz val="11"/>
        <color theme="0"/>
        <rFont val="Calibri"/>
        <family val="2"/>
        <scheme val="minor"/>
      </rPr>
      <t xml:space="preserve">8%) </t>
    </r>
    <r>
      <rPr>
        <b/>
        <sz val="11"/>
        <color rgb="FF000000"/>
        <rFont val="Calibri"/>
        <family val="2"/>
        <scheme val="minor"/>
      </rPr>
      <t>Ingrese %</t>
    </r>
  </si>
  <si>
    <t>Costo estimado de apoyo al programa, US$</t>
  </si>
  <si>
    <t>Presupuesto total (incl. 6 % adicional por intermediación, transporte internacional, costos de arrendamiento y tasas de adquisición o contratación del UNICEF) US$</t>
  </si>
  <si>
    <t>VFS 048 SDD: piezas de repuesto</t>
  </si>
  <si>
    <r>
      <rPr>
        <b/>
        <sz val="11"/>
        <color theme="0"/>
        <rFont val="Calibri"/>
        <family val="2"/>
        <scheme val="minor"/>
      </rPr>
      <t>Costo de apoyo al programa (% de los costos de arrendamiento según el UNICEF:</t>
    </r>
    <r>
      <rPr>
        <b/>
        <sz val="11"/>
        <color theme="0"/>
        <rFont val="Calibri"/>
        <family val="2"/>
        <scheme val="minor"/>
      </rPr>
      <t xml:space="preserve"> </t>
    </r>
    <r>
      <rPr>
        <b/>
        <sz val="11"/>
        <color theme="0"/>
        <rFont val="Calibri"/>
        <family val="2"/>
        <scheme val="minor"/>
      </rPr>
      <t xml:space="preserve">8%) </t>
    </r>
    <r>
      <rPr>
        <b/>
        <sz val="11"/>
        <color rgb="FF000000"/>
        <rFont val="Calibri"/>
        <family val="2"/>
        <scheme val="minor"/>
      </rPr>
      <t>Ingrese %</t>
    </r>
  </si>
  <si>
    <t xml:space="preserve">Lista y precios de CCE </t>
  </si>
  <si>
    <r>
      <rPr>
        <b/>
        <i/>
        <sz val="11"/>
        <color theme="1"/>
        <rFont val="Calibri"/>
        <family val="2"/>
        <scheme val="minor"/>
      </rPr>
      <t xml:space="preserve">Consulte en estas columnas los rangos SB para equipos con conexión de red e instalaciones de paneles solares </t>
    </r>
    <r>
      <rPr>
        <b/>
        <i/>
        <u/>
        <sz val="11"/>
        <color theme="1"/>
        <rFont val="Calibri"/>
        <family val="2"/>
        <scheme val="minor"/>
      </rPr>
      <t>de montaje a piso</t>
    </r>
  </si>
  <si>
    <t>Consulte en estas columnas para las instalaciones de paneles solares de montaje en poste</t>
  </si>
  <si>
    <t>Índice</t>
  </si>
  <si>
    <t>Tipo de equipo y fuente de energía</t>
  </si>
  <si>
    <t>Segmento de capacidad (L)</t>
  </si>
  <si>
    <t>Tiempo de efectividad/
autonomía (días)</t>
  </si>
  <si>
    <t>Costo indicativo del paquete de servicios, US$ (límite inferior con montaje a piso de paneles solares)</t>
  </si>
  <si>
    <t>Costo indicativo del paquete de servicios, US$ (límite superior con paneles solares con montaje a piso para SDD)</t>
  </si>
  <si>
    <t>Costo indicativo del paquete de servicios, US$ (límite inferior con montaje en poste)</t>
  </si>
  <si>
    <t>Costo indicativo del paquete de servicios, US$ (límite superior con montaje en poste)</t>
  </si>
  <si>
    <t>Costo unitario total, US$
(límite inferior ILR+montaje a piso)</t>
  </si>
  <si>
    <t>Costo unitario total, US$
(límite superior ILR+montaje a piso)</t>
  </si>
  <si>
    <t>Montaje de paneles solares</t>
  </si>
  <si>
    <t>10 CBM</t>
  </si>
  <si>
    <t>Foster</t>
  </si>
  <si>
    <t>Foster 10 CBM (unidad mono cooling)</t>
  </si>
  <si>
    <t>-</t>
  </si>
  <si>
    <t>N A</t>
  </si>
  <si>
    <t>Haier</t>
  </si>
  <si>
    <t>Haier 10 CBM (unidad mono cooling)</t>
  </si>
  <si>
    <t>Porkka</t>
  </si>
  <si>
    <t>Porkka 10 CBM (unidad mono cooling)</t>
  </si>
  <si>
    <t>Viessmann</t>
  </si>
  <si>
    <t>Viessmann 10 CBM (unidad mono cooling)</t>
  </si>
  <si>
    <t>N/C</t>
  </si>
  <si>
    <t>Zhendre</t>
  </si>
  <si>
    <t>Zhendre 10 CBM (unidad mono cooling)</t>
  </si>
  <si>
    <t>Montaje en poste</t>
  </si>
  <si>
    <t>30 CBM</t>
  </si>
  <si>
    <t>Foster 30 CBM (unidad mono cooling)</t>
  </si>
  <si>
    <t>Montaje a piso</t>
  </si>
  <si>
    <t>Haier 30 CBM (unidad mono cooling)</t>
  </si>
  <si>
    <r>
      <t xml:space="preserve">Haier 30 CBM (equipo refrigerante </t>
    </r>
    <r>
      <rPr>
        <i/>
        <sz val="11"/>
        <rFont val="Calibri"/>
        <family val="2"/>
        <scheme val="minor"/>
      </rPr>
      <t>split</t>
    </r>
    <r>
      <rPr>
        <sz val="11"/>
        <rFont val="Calibri"/>
        <family val="2"/>
        <scheme val="minor"/>
      </rPr>
      <t>)</t>
    </r>
  </si>
  <si>
    <t>Porkka 30 CBM (unidad mono cooling)</t>
  </si>
  <si>
    <r>
      <t xml:space="preserve">Porkka 30 CBM (equipo refrigerante </t>
    </r>
    <r>
      <rPr>
        <i/>
        <sz val="11"/>
        <rFont val="Calibri"/>
        <family val="2"/>
        <scheme val="minor"/>
      </rPr>
      <t>split</t>
    </r>
    <r>
      <rPr>
        <sz val="11"/>
        <rFont val="Calibri"/>
        <family val="2"/>
        <scheme val="minor"/>
      </rPr>
      <t>)</t>
    </r>
  </si>
  <si>
    <t>Viessmann 30 CBM (unidad mono cooling)</t>
  </si>
  <si>
    <r>
      <t xml:space="preserve">Viessmann 30 CBM (equipo refrigerante </t>
    </r>
    <r>
      <rPr>
        <i/>
        <sz val="11"/>
        <rFont val="Calibri"/>
        <family val="2"/>
        <scheme val="minor"/>
      </rPr>
      <t>split</t>
    </r>
    <r>
      <rPr>
        <sz val="11"/>
        <rFont val="Calibri"/>
        <family val="2"/>
        <scheme val="minor"/>
      </rPr>
      <t>)</t>
    </r>
  </si>
  <si>
    <t>Zhendre 30 CBM (unidad mono cooling)</t>
  </si>
  <si>
    <r>
      <t xml:space="preserve">Zhendre 30 CBM (equipo refrigerante </t>
    </r>
    <r>
      <rPr>
        <i/>
        <sz val="11"/>
        <rFont val="Calibri"/>
        <family val="2"/>
        <scheme val="minor"/>
      </rPr>
      <t>split</t>
    </r>
    <r>
      <rPr>
        <sz val="11"/>
        <rFont val="Calibri"/>
        <family val="2"/>
        <scheme val="minor"/>
      </rPr>
      <t>)</t>
    </r>
  </si>
  <si>
    <t>40 CBM</t>
  </si>
  <si>
    <t>Foster 40 CBM (unidad mono cooling)</t>
  </si>
  <si>
    <t>Haier 40 CBM (unidad mono cooling)</t>
  </si>
  <si>
    <r>
      <t xml:space="preserve">Haier 40 CBM (equipo refrigerante </t>
    </r>
    <r>
      <rPr>
        <i/>
        <sz val="11"/>
        <rFont val="Calibri"/>
        <family val="2"/>
        <scheme val="minor"/>
      </rPr>
      <t>split</t>
    </r>
    <r>
      <rPr>
        <sz val="11"/>
        <rFont val="Calibri"/>
        <family val="2"/>
        <scheme val="minor"/>
      </rPr>
      <t>)</t>
    </r>
  </si>
  <si>
    <t>Porkka 40 CBM (unidad mono cooling)</t>
  </si>
  <si>
    <r>
      <t xml:space="preserve">Porkka 40 CBM (equipo refrigerante </t>
    </r>
    <r>
      <rPr>
        <i/>
        <sz val="11"/>
        <rFont val="Calibri"/>
        <family val="2"/>
        <scheme val="minor"/>
      </rPr>
      <t>split</t>
    </r>
    <r>
      <rPr>
        <sz val="11"/>
        <rFont val="Calibri"/>
        <family val="2"/>
        <scheme val="minor"/>
      </rPr>
      <t>)</t>
    </r>
  </si>
  <si>
    <t>Viessmann 40 CBM (unidad mono cooling)</t>
  </si>
  <si>
    <r>
      <t xml:space="preserve">Viessmann 40 CBM (equipo refrigerante </t>
    </r>
    <r>
      <rPr>
        <i/>
        <sz val="11"/>
        <rFont val="Calibri"/>
        <family val="2"/>
        <scheme val="minor"/>
      </rPr>
      <t>split</t>
    </r>
    <r>
      <rPr>
        <sz val="11"/>
        <rFont val="Calibri"/>
        <family val="2"/>
        <scheme val="minor"/>
      </rPr>
      <t>)</t>
    </r>
  </si>
  <si>
    <t>Zhendre 40 CBM (unidad mono cooling)</t>
  </si>
  <si>
    <r>
      <t xml:space="preserve">Zhendre 40 CBM (equipo refrigerante </t>
    </r>
    <r>
      <rPr>
        <i/>
        <sz val="11"/>
        <rFont val="Calibri"/>
        <family val="2"/>
        <scheme val="minor"/>
      </rPr>
      <t>split</t>
    </r>
    <r>
      <rPr>
        <sz val="11"/>
        <rFont val="Calibri"/>
        <family val="2"/>
        <scheme val="minor"/>
      </rPr>
      <t>)</t>
    </r>
  </si>
  <si>
    <t>20 CBM</t>
  </si>
  <si>
    <t>_4. Arrendamiento de cámara de frío o cámara congeladora</t>
  </si>
  <si>
    <t>10 CBM LT</t>
  </si>
  <si>
    <t>20 CBM LT</t>
  </si>
  <si>
    <t>30 CBM LT</t>
  </si>
  <si>
    <t>40 CBM LT</t>
  </si>
  <si>
    <t>&lt;30L</t>
  </si>
  <si>
    <t>Zero</t>
  </si>
  <si>
    <t>ZLF 30 AC</t>
  </si>
  <si>
    <t xml:space="preserve">Godrej &amp; Boyce </t>
  </si>
  <si>
    <t>GVR 25 Lite</t>
  </si>
  <si>
    <t>1. Los países deben planificar con estos precios si solicitan una marca y modelo específicos de CCE.</t>
  </si>
  <si>
    <t>30 - &lt;60L</t>
  </si>
  <si>
    <t>B Medical</t>
  </si>
  <si>
    <t>TCW 40R AC</t>
  </si>
  <si>
    <t xml:space="preserve">2. Los precios indicativos de rendimiento, calidad y seguridad (PQS) han sido tomados de la lista de precios más reciente del sitio PQS de la OMS a noviembre de 2020. Acceso vía: </t>
  </si>
  <si>
    <t>GVR 50 AC</t>
  </si>
  <si>
    <t>Catálogo PQS de la OMS</t>
  </si>
  <si>
    <t>Aucma</t>
  </si>
  <si>
    <t>CFD-50</t>
  </si>
  <si>
    <t xml:space="preserve">3. Los precios unitarios PQS indicados son para fines de planificación y son los precios unitarios más altos que se proveen por cada equipo. </t>
  </si>
  <si>
    <t>GVR 51 Lite AC</t>
  </si>
  <si>
    <t>4. Los costos de los paquetes de servicio son estimaciones de planificación de Gavi. Las estimaciones del límite inferior deben utilizarse para las instalaciones que se encuentran más cercanas al punto de distribución, mientras que las del límite superior deben utilizarse para las instalaciones que se encuentran más alejadas del punto de distribución.</t>
  </si>
  <si>
    <t>60 - &lt;90L</t>
  </si>
  <si>
    <t>Vestfrost</t>
  </si>
  <si>
    <t>VLS 204A</t>
  </si>
  <si>
    <t>*Las adquisiciones de equipos 30DTR deben limitarse a los equipos para almacenar la vacuna contra la COVID-19 únicamente.</t>
  </si>
  <si>
    <t>HBC 80</t>
  </si>
  <si>
    <t xml:space="preserve">*Las adquisiciones de reguladores de voltaje se limitan a los equipos para almacenar la vacuna contra la COVID-19 únicamente.   </t>
  </si>
  <si>
    <t>GVR 75 Lite AC</t>
  </si>
  <si>
    <t>ZLF 80 AC</t>
  </si>
  <si>
    <t>TCW 80 AC</t>
  </si>
  <si>
    <t>90 - &lt;120L</t>
  </si>
  <si>
    <t>VLS 304A AC</t>
  </si>
  <si>
    <t>GVR 99 Lite AC</t>
  </si>
  <si>
    <t>ZLF 100 AC</t>
  </si>
  <si>
    <t>GVR 100 AC</t>
  </si>
  <si>
    <t>HBC-120</t>
  </si>
  <si>
    <t>&gt;120L</t>
  </si>
  <si>
    <t>HBC 150</t>
  </si>
  <si>
    <t>VLS 354A AC</t>
  </si>
  <si>
    <t>ZLF 150 AC</t>
  </si>
  <si>
    <t>VLS 404A AC</t>
  </si>
  <si>
    <t>HBC-240</t>
  </si>
  <si>
    <t>Dulas Solar</t>
  </si>
  <si>
    <t>VC 225 ILR</t>
  </si>
  <si>
    <t>HBC 260</t>
  </si>
  <si>
    <t>GVR 225 AC</t>
  </si>
  <si>
    <t>TCW 4000 AC</t>
  </si>
  <si>
    <t>VLS 504A AC</t>
  </si>
  <si>
    <t>HBCD - 90</t>
  </si>
  <si>
    <t>GVR 55 FF AC</t>
  </si>
  <si>
    <t>VLS 064 RF AC</t>
  </si>
  <si>
    <t>TCW 2000 AC</t>
  </si>
  <si>
    <t>DW-25W147</t>
  </si>
  <si>
    <t>MF 114</t>
  </si>
  <si>
    <t>HBD 116</t>
  </si>
  <si>
    <t>MF 214</t>
  </si>
  <si>
    <t>TFW 3000 AC</t>
  </si>
  <si>
    <t>DW-25W300</t>
  </si>
  <si>
    <t>MF 314</t>
  </si>
  <si>
    <t>HBD 286</t>
  </si>
  <si>
    <t>SunDanzer</t>
  </si>
  <si>
    <t>BFRV 15 SDD</t>
  </si>
  <si>
    <t>TCW 15R SDD</t>
  </si>
  <si>
    <t>Ultra 16 SDD</t>
  </si>
  <si>
    <t>HTC 40 SDD</t>
  </si>
  <si>
    <t>VC 30 SDD</t>
  </si>
  <si>
    <t>VLS 024 SDD</t>
  </si>
  <si>
    <t>ZLF 30DC SDD</t>
  </si>
  <si>
    <t>TCW 40R SDD</t>
  </si>
  <si>
    <t>GVR 50 DC</t>
  </si>
  <si>
    <t>CFD-50 SDD</t>
  </si>
  <si>
    <t>VC 50 SDD</t>
  </si>
  <si>
    <t>BFRV 55 SDD</t>
  </si>
  <si>
    <t>VLS 054A SDD</t>
  </si>
  <si>
    <t>HTC 110 SDD</t>
  </si>
  <si>
    <t>HTC-112</t>
  </si>
  <si>
    <t>VC 88 SDD</t>
  </si>
  <si>
    <t>TCW 3043 SDD</t>
  </si>
  <si>
    <t>VLS 094A SDD</t>
  </si>
  <si>
    <t>GVR 100 DC</t>
  </si>
  <si>
    <t>ZLF 100 DC</t>
  </si>
  <si>
    <t>HTC-120</t>
  </si>
  <si>
    <t>VC 110 SDD</t>
  </si>
  <si>
    <t>ZLF 150DC</t>
  </si>
  <si>
    <t>VC 200 SDD</t>
  </si>
  <si>
    <t>VLS 154A SDD</t>
  </si>
  <si>
    <t>HTC-240</t>
  </si>
  <si>
    <t>TCW 4000 SDD</t>
  </si>
  <si>
    <t>TCW 15 SDD</t>
  </si>
  <si>
    <t>TCW 40 SDD</t>
  </si>
  <si>
    <t>VLS 026 RF SDD</t>
  </si>
  <si>
    <t>HTCD 90 SDD</t>
  </si>
  <si>
    <t>VLS 056 RF SDD</t>
  </si>
  <si>
    <t>VC 60 SDD</t>
  </si>
  <si>
    <t>GVR 55 FF DC</t>
  </si>
  <si>
    <t>TCW 2043 SDD</t>
  </si>
  <si>
    <t>HTCD 160 SDD</t>
  </si>
  <si>
    <t>VC 150 SDD</t>
  </si>
  <si>
    <t>VFS 048 SDD</t>
  </si>
  <si>
    <t>HTD 40 SDD</t>
  </si>
  <si>
    <t>TFW 40 SDD</t>
  </si>
  <si>
    <t>HETL-01</t>
  </si>
  <si>
    <t>LogTag</t>
  </si>
  <si>
    <t>VaxTag 30DTR</t>
  </si>
  <si>
    <t>Berlinger</t>
  </si>
  <si>
    <t>Fridge-Tag 2</t>
  </si>
  <si>
    <t>Fridge-Tag 2 E</t>
  </si>
  <si>
    <t>ELPRO-BUCHS AG</t>
  </si>
  <si>
    <t>LIBERO Ti1</t>
  </si>
  <si>
    <t>Beyond Wireless</t>
  </si>
  <si>
    <t>Nexleaf</t>
  </si>
  <si>
    <t>&lt;5L</t>
  </si>
  <si>
    <t>AOV</t>
  </si>
  <si>
    <t>ADVC24</t>
  </si>
  <si>
    <t>APEX</t>
  </si>
  <si>
    <t>AIDVC24</t>
  </si>
  <si>
    <t>Blow Kings</t>
  </si>
  <si>
    <t>VDC 24-CF</t>
  </si>
  <si>
    <t xml:space="preserve">Nilkamal </t>
  </si>
  <si>
    <t>BBVC23</t>
  </si>
  <si>
    <t>AIVC44 LR</t>
  </si>
  <si>
    <t>BK-VC 1.7-CF</t>
  </si>
  <si>
    <t>BCVC44-A</t>
  </si>
  <si>
    <t>B  Medical</t>
  </si>
  <si>
    <t>RCW1</t>
  </si>
  <si>
    <t>AVC46</t>
  </si>
  <si>
    <t>AIVC46</t>
  </si>
  <si>
    <t>BK-VC 2.6-CF</t>
  </si>
  <si>
    <t>BCVC46</t>
  </si>
  <si>
    <t>RCW4</t>
  </si>
  <si>
    <t>BK-VC 3.4-CF</t>
  </si>
  <si>
    <t>AFVC 46</t>
  </si>
  <si>
    <t>Blowkings</t>
  </si>
  <si>
    <t>BK-VC-FF 1.6L</t>
  </si>
  <si>
    <t xml:space="preserve">Qingdao Leff </t>
  </si>
  <si>
    <t>FFVC-1.7L</t>
  </si>
  <si>
    <t>_15. Caja frigorífica estándar</t>
  </si>
  <si>
    <t>5-15 L</t>
  </si>
  <si>
    <t>AICB243S</t>
  </si>
  <si>
    <t>CB-55-CF</t>
  </si>
  <si>
    <t>RCB324SS</t>
  </si>
  <si>
    <t>RCW8</t>
  </si>
  <si>
    <t>ACB264SL</t>
  </si>
  <si>
    <t>AICB156L</t>
  </si>
  <si>
    <t>CB-12-CF</t>
  </si>
  <si>
    <t>RCB264SL</t>
  </si>
  <si>
    <t>RCW12</t>
  </si>
  <si>
    <t>&gt;15L</t>
  </si>
  <si>
    <t>AICB444L</t>
  </si>
  <si>
    <t>RCB246LS</t>
  </si>
  <si>
    <t>ACB503L</t>
  </si>
  <si>
    <t>AICB503L</t>
  </si>
  <si>
    <t>CB-20-CF</t>
  </si>
  <si>
    <t>RCB444L-A</t>
  </si>
  <si>
    <t>RCW25</t>
  </si>
  <si>
    <t>FFCB-15L</t>
  </si>
  <si>
    <t>Sollatek</t>
  </si>
  <si>
    <t>SVS04-22E, 4A 1kVA 100-290V</t>
  </si>
  <si>
    <t>SVS04-22 4A 1KVA 230V</t>
  </si>
  <si>
    <t>HVS-1000</t>
  </si>
  <si>
    <t>Sagar</t>
  </si>
  <si>
    <t>SVS-5K-1P-ER</t>
  </si>
  <si>
    <t>SVS-10K-1P-ER</t>
  </si>
  <si>
    <t>SVS45E 45A 10kVA 120-288V</t>
  </si>
  <si>
    <t>SVS-10K-TP</t>
  </si>
  <si>
    <t>AVR3LE020, 20 amp./fase</t>
  </si>
  <si>
    <t>SVS-15K-TP</t>
  </si>
  <si>
    <t>SVS-20K-TP</t>
  </si>
  <si>
    <t>AVR3LE030, 30 amp./fase</t>
  </si>
  <si>
    <t>SVS-30K-TP</t>
  </si>
  <si>
    <t>AVR3LE050, 50 amp./fase</t>
  </si>
  <si>
    <t>0,3L</t>
  </si>
  <si>
    <t>AIP3</t>
  </si>
  <si>
    <t>AIIP03</t>
  </si>
  <si>
    <t>BK V4H</t>
  </si>
  <si>
    <t>BIP-3</t>
  </si>
  <si>
    <t>Bolsa de hielo de 0,3L, conjunto de 24</t>
  </si>
  <si>
    <t>0,4L</t>
  </si>
  <si>
    <t>AIP4</t>
  </si>
  <si>
    <t>AIIP04</t>
  </si>
  <si>
    <t>BK 4</t>
  </si>
  <si>
    <t>BIP-4</t>
  </si>
  <si>
    <t>0,6L</t>
  </si>
  <si>
    <t>AIP6</t>
  </si>
  <si>
    <t>AIIP06</t>
  </si>
  <si>
    <t>BK 6</t>
  </si>
  <si>
    <t>BIP-6</t>
  </si>
  <si>
    <t>Bolsa de hielo de 0,6L, conjunto de 24</t>
  </si>
  <si>
    <t>ZLF 30 AC: piezas de repuesto</t>
  </si>
  <si>
    <t>GVR 25 Lite: piezas de repuesto</t>
  </si>
  <si>
    <t>TCW 40R AC: piezas de repuesto</t>
  </si>
  <si>
    <t>GVR 50 AC: piezas de repuesto</t>
  </si>
  <si>
    <t>CFD -50: piezas de repuesto</t>
  </si>
  <si>
    <t>GVR 51 Lite AC: piezas de repuesto</t>
  </si>
  <si>
    <t>VLS 204A: piezas de repuesto</t>
  </si>
  <si>
    <t>HBC 80: piezas de repuesto</t>
  </si>
  <si>
    <t>GVR 75 Lite AC: piezas de repuesto</t>
  </si>
  <si>
    <t>ZLF 80 AC: piezas de repuesto</t>
  </si>
  <si>
    <t>TCW 80 AC: piezas de repuesto</t>
  </si>
  <si>
    <t>VLS 304A AC: piezas de repuesto</t>
  </si>
  <si>
    <t>GVR 99 Lite AC: piezas de repuesto</t>
  </si>
  <si>
    <t>ZLF 100 AC: piezas de repuesto</t>
  </si>
  <si>
    <t>GVR 100 AC: piezas de repuesto</t>
  </si>
  <si>
    <t>HBC -120: piezas de repuesto</t>
  </si>
  <si>
    <t>HBC 150: piezas de repuesto</t>
  </si>
  <si>
    <t>ZLF 150 AC: piezas de repuesto</t>
  </si>
  <si>
    <t>VLS 404A AC: piezas de repuesto</t>
  </si>
  <si>
    <t>HBC -240: piezas de repuesto</t>
  </si>
  <si>
    <t>VC 225 ILR: piezas de repuesto</t>
  </si>
  <si>
    <t>HBC 260: piezas de repuesto</t>
  </si>
  <si>
    <t>GVR 225 AC: piezas de repuesto</t>
  </si>
  <si>
    <t>TCW 4000 AC: piezas de repuesto</t>
  </si>
  <si>
    <t>VLS 504A AC: piezas de repuesto</t>
  </si>
  <si>
    <t>HBCD - 90: piezas de repuesto</t>
  </si>
  <si>
    <t>GVR 55 FF AC: piezas de repuesto</t>
  </si>
  <si>
    <t>VLS 064 RF AC: piezas de repuesto</t>
  </si>
  <si>
    <t>TCW 2000 AC: piezas de repuesto</t>
  </si>
  <si>
    <t>DW-25W147: piezas de repuesto</t>
  </si>
  <si>
    <t>MF 114: piezas de repuesto</t>
  </si>
  <si>
    <t>HBD 116: piezas de repuesto</t>
  </si>
  <si>
    <t>MF 214: piezas de repuesto</t>
  </si>
  <si>
    <t>TFW 3000 AC: piezas de repuesto</t>
  </si>
  <si>
    <t>DW-25W300: piezas de repuesto</t>
  </si>
  <si>
    <t>MF 314: piezas de repuesto</t>
  </si>
  <si>
    <t>HBD 286: piezas de repuesto</t>
  </si>
  <si>
    <t>BFRV 15 SDD: piezas de repuesto</t>
  </si>
  <si>
    <t>TCW 15R SDD: piezas de repuesto</t>
  </si>
  <si>
    <t>Ultra 16 SDD: piezas de repuesto</t>
  </si>
  <si>
    <t>HTC 40 SDD: piezas de repuesto</t>
  </si>
  <si>
    <t>VC 30 SDD: piezas de repuesto</t>
  </si>
  <si>
    <t>VLS 024 SDD: piezas de repuesto</t>
  </si>
  <si>
    <t>ZLF 30DC SDD: piezas de repuesto</t>
  </si>
  <si>
    <t>TCW 40R SDD: piezas de repuesto</t>
  </si>
  <si>
    <t>GVR 50 DC: piezas de repuesto</t>
  </si>
  <si>
    <t>CFD-50 SDD: piezas de repuesto</t>
  </si>
  <si>
    <t>VC 50 SDD: piezas de repuesto</t>
  </si>
  <si>
    <t>BFRV 55 SDD: piezas de repuesto</t>
  </si>
  <si>
    <t>VLS 054A SDD: piezas de repuesto</t>
  </si>
  <si>
    <t>HTC 110 SDD: piezas de repuesto</t>
  </si>
  <si>
    <t>HTC -112: piezas de repuesto</t>
  </si>
  <si>
    <t>VC 88 SDD: piezas de repuesto</t>
  </si>
  <si>
    <t>TCW 3043 SDD: piezas de repuesto</t>
  </si>
  <si>
    <t>VLS 094A SDD: piezas de repuesto</t>
  </si>
  <si>
    <t>GVR 100 DC: piezas de repuesto</t>
  </si>
  <si>
    <t>ZLF 100 DC: piezas de repuesto</t>
  </si>
  <si>
    <t>HTC -120: piezas de repuesto</t>
  </si>
  <si>
    <t>VC 110 SDD: piezas de repuesto</t>
  </si>
  <si>
    <t>ZLF 150DC: piezas de repuesto</t>
  </si>
  <si>
    <t>VC 200 SDD: piezas de repuesto</t>
  </si>
  <si>
    <t>VLS 154A SDD: piezas de repuesto</t>
  </si>
  <si>
    <t>HTC-240: piezas de repuesto</t>
  </si>
  <si>
    <t>TCW 4000 SDD: piezas de repuesto</t>
  </si>
  <si>
    <t>TCW 15 SDD: piezas de repuesto</t>
  </si>
  <si>
    <t>TCW 40 SDD: piezas de repuesto</t>
  </si>
  <si>
    <t>VLS 026 RF SDD: piezas de repuesto</t>
  </si>
  <si>
    <t>HTCD 90 SDD: piezas de repuesto</t>
  </si>
  <si>
    <t>VLS 056 RF SDD: piezas de repuesto</t>
  </si>
  <si>
    <t>VC 60 SDD: piezas de repuesto</t>
  </si>
  <si>
    <t>GVR 55 FF DC: piezas de repuesto</t>
  </si>
  <si>
    <t>TCW 2043 SDD: piezas de repuesto</t>
  </si>
  <si>
    <t>HTCD 160 SDD: piezas de repuesto</t>
  </si>
  <si>
    <t>VC 150 SDD: piezas de repuesto</t>
  </si>
  <si>
    <t>HTD 40 SDD: piezas de repuesto</t>
  </si>
  <si>
    <t>TFW 40 SDD: piezas de repuesto</t>
  </si>
  <si>
    <t>Blulog</t>
  </si>
  <si>
    <t>NA</t>
  </si>
  <si>
    <t>Ikhaya</t>
  </si>
  <si>
    <t>TDL2-5Y data logger (WICR Model)+ Datos sobre tres años/acceso al portal</t>
  </si>
  <si>
    <t>VM 1000 (WICR Model)+ Datos sobre tres años/acceso al portal</t>
  </si>
  <si>
    <t>ICE3 (WICR modelo BC141) + Datos sobre tres años/acceso al portal</t>
  </si>
  <si>
    <t>ICE3 EXTRA - MODEL BC440 (2 WICR Model) + Datos sobre tres años/acceso al portal</t>
  </si>
  <si>
    <t>TDL2-5Y data logger (2 WICR Model) + Datos sobre tres años/acceso al portal</t>
  </si>
  <si>
    <t>VM 1000 (2 WICR Model)+ Datos sobre tres años/acceso al portal</t>
  </si>
  <si>
    <t>ICE3 EXTRA - MODEL BC440 (3 WICR Model)+ Datos sobre tres años/acceso al portal</t>
  </si>
  <si>
    <t>TDL2-5Y data logger (3 WICR Model)+ Datos sobre tres años/acceso al portal</t>
  </si>
  <si>
    <t>VM 1000 (Refrigerator model)+ Datos sobre tres años/acceso al portal</t>
  </si>
  <si>
    <t>TDL2-5Y data logger (Refrigerator Model)+ Datos sobre tres años/acceso al portal</t>
  </si>
  <si>
    <t>ColdTrace 5 (modelo refrigerador CT5) + Datos sobre tres años/acceso al portal</t>
  </si>
  <si>
    <t>Fridge-tag 3 GSM (modelo refrigerador) + Datos sobre tres años/acceso al portal</t>
  </si>
  <si>
    <t>Haier U-Cool (modelo refrigerador) + Datos sobre tres años/acceso al portal</t>
  </si>
  <si>
    <t>ICE3 (modelo refrigerador BC141) ++ Datos sobre tres años/acceso al portal</t>
  </si>
  <si>
    <t>_11. Registrador de temperatura_ 30DTR</t>
  </si>
  <si>
    <t>_12. Dispositivo de monitoreo remoto de temperatura_ RTMD</t>
  </si>
  <si>
    <t>Transporte internacional por unidad (Cámaras de frío/ Cámaras de frío con congelador- Categoría 1-2)</t>
  </si>
  <si>
    <t>Transporte internacional por unidad (ILR/SDD Categoría 5-10)</t>
  </si>
  <si>
    <t>Transporte internacional por unidad (TMDs- Categoría 11)</t>
  </si>
  <si>
    <t>Transporte internacional por unidad (RTMD- Categoría 12)</t>
  </si>
  <si>
    <t>Transporte internacional por unidad (Portavacunas - Categoria 13-14)</t>
  </si>
  <si>
    <t>Transporte internacional por unidad (Cajas frigoríficas Categoria 15-16)</t>
  </si>
  <si>
    <t>Transporte internacional por unidad (Reguladores de voltaje para equipos - Categoria 17)</t>
  </si>
  <si>
    <t>Transporte internacional por unidad (Bolsas de hielo- Categoria 18)</t>
  </si>
  <si>
    <t xml:space="preserve">          b)  Para fines de planificación presupuestaria, se han proporcionado tarifas indicativas de flete internacional por unidad, aunque estas pueden variar 
                según el destino: entrega en puerto marítimo versus países sin litoral.</t>
  </si>
  <si>
    <t>GVR 25 Lite DC</t>
  </si>
  <si>
    <t>d) RTMD es obligatorio para CCE de nivel central / regional. Para cámaras frigoríficas y / o cámaras frigoríficas, seleccione un estabilizador de voltaje adecuado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</si>
</sst>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0.0"/>
    <numFmt numFmtId="166" formatCode="0.0%"/>
    <numFmt numFmtId="167" formatCode="&quot;$&quot;#,##0"/>
    <numFmt numFmtId="168" formatCode="#,##0.0;\-#,##0.0"/>
    <numFmt numFmtId="169" formatCode="[$$-409]#,##0_ ;\-[$$-409]#,##0\ "/>
    <numFmt numFmtId="170" formatCode="[$$-409]#,##0"/>
    <numFmt numFmtId="171" formatCode="[$$-2C09]#,##0"/>
    <numFmt numFmtId="172" formatCode="&quot;$&quot;#,##0.00"/>
  </numFmts>
  <fonts count="3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b/>
      <sz val="22"/>
      <color theme="1"/>
      <name val="Calibri"/>
      <family val="2"/>
      <scheme val="minor"/>
    </font>
    <font>
      <i/>
      <sz val="11"/>
      <color theme="4"/>
      <name val="Calibri"/>
      <family val="2"/>
      <scheme val="minor"/>
    </font>
    <font>
      <i/>
      <sz val="11"/>
      <color theme="1"/>
      <name val="Calibri"/>
      <family val="2"/>
      <scheme val="minor"/>
    </font>
    <font>
      <b/>
      <i/>
      <sz val="16"/>
      <color rgb="FFC00000"/>
      <name val="Calibri"/>
      <family val="2"/>
      <scheme val="minor"/>
    </font>
    <font>
      <sz val="11"/>
      <color rgb="FF0070C0"/>
      <name val="Calibri"/>
      <family val="2"/>
      <scheme val="minor"/>
    </font>
    <font>
      <sz val="11"/>
      <color theme="8"/>
      <name val="Calibri"/>
      <family val="2"/>
      <scheme val="minor"/>
    </font>
    <font>
      <i/>
      <sz val="11"/>
      <name val="Calibri"/>
      <family val="2"/>
      <scheme val="minor"/>
    </font>
    <font>
      <b/>
      <sz val="11"/>
      <color theme="5"/>
      <name val="Calibri"/>
      <family val="2"/>
      <scheme val="minor"/>
    </font>
    <font>
      <b/>
      <u/>
      <sz val="14"/>
      <color theme="8" tint="-0.499984740745262"/>
      <name val="Calibri"/>
      <family val="2"/>
      <scheme val="minor"/>
    </font>
    <font>
      <i/>
      <sz val="11"/>
      <color rgb="FFFF0000"/>
      <name val="Calibri"/>
      <family val="2"/>
      <scheme val="minor"/>
    </font>
    <font>
      <i/>
      <u/>
      <sz val="11"/>
      <color rgb="FFFF0000"/>
      <name val="Calibri"/>
      <family val="2"/>
      <scheme val="minor"/>
    </font>
    <font>
      <b/>
      <i/>
      <sz val="11"/>
      <color theme="1"/>
      <name val="Calibri"/>
      <family val="2"/>
      <scheme val="minor"/>
    </font>
    <font>
      <b/>
      <i/>
      <u/>
      <sz val="11"/>
      <color theme="1"/>
      <name val="Calibri"/>
      <family val="2"/>
      <scheme val="minor"/>
    </font>
    <font>
      <i/>
      <sz val="11"/>
      <color rgb="FFC00000"/>
      <name val="Calibri"/>
      <family val="2"/>
      <scheme val="minor"/>
    </font>
    <font>
      <b/>
      <sz val="18"/>
      <color theme="5"/>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b/>
      <i/>
      <sz val="11"/>
      <color rgb="FF000000"/>
      <name val="Calibri"/>
      <family val="2"/>
      <scheme val="minor"/>
    </font>
    <font>
      <i/>
      <sz val="11"/>
      <color theme="0"/>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CCFF"/>
        <bgColor indexed="64"/>
      </patternFill>
    </fill>
    <fill>
      <patternFill patternType="solid">
        <fgColor theme="3" tint="0.39997558519241921"/>
        <bgColor indexed="64"/>
      </patternFill>
    </fill>
    <fill>
      <patternFill patternType="solid">
        <fgColor rgb="FF7030A0"/>
        <bgColor indexed="64"/>
      </patternFill>
    </fill>
    <fill>
      <patternFill patternType="solid">
        <fgColor rgb="FFFFFF0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rgb="FFB4C6E7"/>
        <bgColor indexed="64"/>
      </patternFill>
    </fill>
  </fills>
  <borders count="84">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right/>
      <top style="thick">
        <color theme="8" tint="-0.499984740745262"/>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style="thick">
        <color theme="8" tint="-0.499984740745262"/>
      </left>
      <right/>
      <top style="thick">
        <color theme="8" tint="-0.499984740745262"/>
      </top>
      <bottom/>
      <diagonal/>
    </border>
    <border>
      <left/>
      <right style="thick">
        <color theme="8" tint="-0.499984740745262"/>
      </right>
      <top style="thick">
        <color theme="8" tint="-0.499984740745262"/>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bottom style="thin">
        <color auto="1"/>
      </bottom>
      <diagonal/>
    </border>
    <border>
      <left style="thick">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n">
        <color auto="1"/>
      </right>
      <top style="medium">
        <color indexed="64"/>
      </top>
      <bottom style="medium">
        <color indexed="64"/>
      </bottom>
      <diagonal/>
    </border>
    <border>
      <left style="thin">
        <color auto="1"/>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thin">
        <color auto="1"/>
      </top>
      <bottom style="medium">
        <color indexed="64"/>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5">
    <xf numFmtId="0" fontId="0" fillId="0" borderId="0"/>
    <xf numFmtId="0" fontId="8" fillId="0" borderId="0" applyNumberFormat="0" applyFill="0" applyBorder="0" applyAlignment="0" applyProtection="0"/>
    <xf numFmtId="9" fontId="10" fillId="0" borderId="0" applyFont="0" applyFill="0" applyBorder="0" applyAlignment="0" applyProtection="0"/>
    <xf numFmtId="0" fontId="14" fillId="0" borderId="0"/>
    <xf numFmtId="164" fontId="10" fillId="0" borderId="0" applyFont="0" applyFill="0" applyBorder="0" applyAlignment="0" applyProtection="0"/>
  </cellStyleXfs>
  <cellXfs count="354">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5" borderId="8" xfId="0" applyFont="1" applyFill="1" applyBorder="1" applyAlignment="1">
      <alignment horizontal="center" vertical="center" wrapText="1"/>
    </xf>
    <xf numFmtId="0" fontId="0" fillId="0" borderId="0" xfId="0" applyFont="1" applyAlignment="1">
      <alignment vertical="center"/>
    </xf>
    <xf numFmtId="0" fontId="1" fillId="15" borderId="15" xfId="0" applyFont="1" applyFill="1" applyBorder="1" applyAlignment="1">
      <alignment horizontal="center" vertical="center" wrapText="1"/>
    </xf>
    <xf numFmtId="0" fontId="0" fillId="0" borderId="0" xfId="0" applyAlignment="1">
      <alignment vertical="center" wrapText="1"/>
    </xf>
    <xf numFmtId="0" fontId="1" fillId="15" borderId="14"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0" fillId="0" borderId="0" xfId="0" applyFont="1" applyBorder="1" applyAlignment="1">
      <alignment vertical="center"/>
    </xf>
    <xf numFmtId="0" fontId="0" fillId="0" borderId="17" xfId="0" applyBorder="1" applyAlignment="1">
      <alignment vertical="top"/>
    </xf>
    <xf numFmtId="0" fontId="0" fillId="0" borderId="17" xfId="0" applyBorder="1" applyAlignment="1">
      <alignment vertical="top" wrapText="1"/>
    </xf>
    <xf numFmtId="0" fontId="0" fillId="5" borderId="9" xfId="0" applyFill="1" applyBorder="1" applyAlignment="1">
      <alignment vertical="center" wrapText="1"/>
    </xf>
    <xf numFmtId="0" fontId="4" fillId="16" borderId="9" xfId="0" applyFont="1" applyFill="1" applyBorder="1" applyAlignment="1">
      <alignment vertical="center" wrapText="1"/>
    </xf>
    <xf numFmtId="0" fontId="0" fillId="2" borderId="9" xfId="0" applyFill="1" applyBorder="1" applyAlignment="1">
      <alignment vertical="center" wrapText="1"/>
    </xf>
    <xf numFmtId="0" fontId="4" fillId="8" borderId="9" xfId="0" applyFont="1" applyFill="1" applyBorder="1" applyAlignment="1">
      <alignment vertical="center" wrapText="1"/>
    </xf>
    <xf numFmtId="0" fontId="4" fillId="4" borderId="9" xfId="0" applyFont="1" applyFill="1" applyBorder="1" applyAlignment="1">
      <alignment vertical="center" wrapText="1"/>
    </xf>
    <xf numFmtId="0" fontId="0" fillId="9" borderId="9" xfId="0" applyFill="1" applyBorder="1" applyAlignment="1">
      <alignment vertical="center" wrapText="1"/>
    </xf>
    <xf numFmtId="0" fontId="0" fillId="7" borderId="9" xfId="0" applyFill="1" applyBorder="1" applyAlignment="1">
      <alignment vertical="center" wrapText="1"/>
    </xf>
    <xf numFmtId="0" fontId="0" fillId="10" borderId="9" xfId="0" applyFill="1" applyBorder="1" applyAlignment="1">
      <alignment vertical="center" wrapText="1"/>
    </xf>
    <xf numFmtId="0" fontId="0" fillId="11" borderId="9" xfId="0" applyFill="1" applyBorder="1" applyAlignment="1">
      <alignment vertical="center"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wrapText="1"/>
    </xf>
    <xf numFmtId="0" fontId="0" fillId="0" borderId="0" xfId="0" applyFont="1" applyAlignment="1">
      <alignment vertical="center" wrapText="1"/>
    </xf>
    <xf numFmtId="0" fontId="7" fillId="0" borderId="2" xfId="0" applyFont="1" applyBorder="1" applyAlignment="1">
      <alignment horizontal="left" vertical="top" wrapText="1"/>
    </xf>
    <xf numFmtId="0" fontId="7" fillId="0" borderId="1" xfId="0" applyFont="1" applyBorder="1" applyAlignment="1">
      <alignment vertical="top"/>
    </xf>
    <xf numFmtId="0" fontId="0" fillId="0" borderId="9" xfId="0" applyFont="1" applyBorder="1" applyAlignment="1">
      <alignment horizontal="left" vertical="center" wrapText="1"/>
    </xf>
    <xf numFmtId="37" fontId="1" fillId="15" borderId="15" xfId="0" applyNumberFormat="1" applyFont="1" applyFill="1" applyBorder="1" applyAlignment="1">
      <alignment horizontal="center" vertical="center" wrapText="1"/>
    </xf>
    <xf numFmtId="37" fontId="1" fillId="15" borderId="14" xfId="0" applyNumberFormat="1" applyFont="1" applyFill="1" applyBorder="1" applyAlignment="1">
      <alignment horizontal="center" vertical="center" wrapText="1"/>
    </xf>
    <xf numFmtId="37" fontId="0" fillId="0" borderId="9" xfId="0" applyNumberFormat="1" applyFont="1" applyBorder="1" applyAlignment="1">
      <alignment vertical="center" wrapText="1"/>
    </xf>
    <xf numFmtId="37" fontId="0" fillId="0" borderId="0" xfId="0" applyNumberFormat="1"/>
    <xf numFmtId="165" fontId="0" fillId="0" borderId="9" xfId="0" applyNumberFormat="1" applyBorder="1" applyAlignment="1">
      <alignment horizontal="right" vertical="center"/>
    </xf>
    <xf numFmtId="165" fontId="0" fillId="12" borderId="9" xfId="0" applyNumberFormat="1" applyFill="1" applyBorder="1" applyAlignment="1">
      <alignment horizontal="right" vertical="center"/>
    </xf>
    <xf numFmtId="0" fontId="7"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3" fillId="5" borderId="9" xfId="0" applyFont="1" applyFill="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1" fillId="16" borderId="9" xfId="0" applyFont="1" applyFill="1" applyBorder="1" applyAlignment="1" applyProtection="1">
      <alignment vertical="center" wrapText="1"/>
      <protection locked="0"/>
    </xf>
    <xf numFmtId="0" fontId="3" fillId="13" borderId="9"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1" fillId="4" borderId="9"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3" fillId="9" borderId="9" xfId="0" applyFont="1" applyFill="1" applyBorder="1" applyAlignment="1" applyProtection="1">
      <alignment vertical="center" wrapText="1"/>
      <protection locked="0"/>
    </xf>
    <xf numFmtId="0" fontId="3" fillId="10" borderId="9" xfId="0" applyFont="1" applyFill="1" applyBorder="1" applyAlignment="1" applyProtection="1">
      <alignment vertical="center" wrapText="1"/>
      <protection locked="0"/>
    </xf>
    <xf numFmtId="0" fontId="3" fillId="11" borderId="9" xfId="0" applyFont="1" applyFill="1" applyBorder="1" applyAlignment="1" applyProtection="1">
      <alignment vertical="center" wrapText="1"/>
      <protection locked="0"/>
    </xf>
    <xf numFmtId="0" fontId="6" fillId="14" borderId="9" xfId="0" applyFont="1" applyFill="1" applyBorder="1" applyAlignment="1" applyProtection="1">
      <alignment vertical="center" wrapText="1"/>
      <protection locked="0"/>
    </xf>
    <xf numFmtId="37" fontId="0" fillId="0" borderId="9" xfId="0" applyNumberFormat="1" applyFont="1" applyBorder="1" applyAlignment="1" applyProtection="1">
      <alignment vertical="center" wrapText="1"/>
      <protection locked="0"/>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Alignment="1" applyProtection="1">
      <alignment vertical="center" wrapText="1"/>
      <protection locked="0"/>
    </xf>
    <xf numFmtId="37" fontId="0" fillId="0" borderId="0" xfId="0" applyNumberFormat="1" applyProtection="1">
      <protection locked="0"/>
    </xf>
    <xf numFmtId="0" fontId="2" fillId="0" borderId="0" xfId="0" applyFont="1" applyBorder="1" applyAlignment="1">
      <alignment vertical="top" wrapText="1"/>
    </xf>
    <xf numFmtId="0" fontId="0" fillId="0" borderId="0" xfId="0" applyProtection="1">
      <protection locked="0"/>
    </xf>
    <xf numFmtId="0" fontId="0" fillId="0" borderId="6" xfId="0" applyBorder="1" applyAlignment="1">
      <alignment wrapText="1"/>
    </xf>
    <xf numFmtId="0" fontId="12" fillId="0" borderId="0" xfId="0" applyFont="1"/>
    <xf numFmtId="0" fontId="11" fillId="0" borderId="0" xfId="0" applyFont="1" applyBorder="1" applyAlignment="1" applyProtection="1">
      <alignment horizontal="left" vertical="top" wrapText="1"/>
      <protection locked="0"/>
    </xf>
    <xf numFmtId="0" fontId="11" fillId="0" borderId="4" xfId="0" applyFont="1" applyBorder="1" applyAlignment="1" applyProtection="1">
      <alignment horizontal="left" vertical="top"/>
      <protection locked="0"/>
    </xf>
    <xf numFmtId="0" fontId="12" fillId="0" borderId="6" xfId="0" applyFont="1" applyBorder="1"/>
    <xf numFmtId="0" fontId="12" fillId="0" borderId="0" xfId="0" applyFont="1" applyAlignment="1">
      <alignment vertical="top"/>
    </xf>
    <xf numFmtId="0" fontId="13" fillId="0" borderId="12" xfId="0" applyFont="1" applyBorder="1" applyAlignment="1"/>
    <xf numFmtId="0" fontId="13" fillId="0" borderId="13" xfId="0" applyFont="1" applyBorder="1" applyAlignment="1"/>
    <xf numFmtId="0" fontId="0" fillId="0" borderId="0" xfId="0" applyFont="1" applyProtection="1">
      <protection locked="0"/>
    </xf>
    <xf numFmtId="0" fontId="0" fillId="0" borderId="0" xfId="0" applyFont="1"/>
    <xf numFmtId="0" fontId="13" fillId="0" borderId="16" xfId="0" applyFont="1" applyBorder="1" applyAlignment="1"/>
    <xf numFmtId="0" fontId="0" fillId="0" borderId="0" xfId="0" applyFont="1" applyBorder="1" applyAlignment="1">
      <alignment vertical="center" wrapText="1"/>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26" xfId="0" applyNumberFormat="1" applyFont="1" applyBorder="1" applyAlignment="1" applyProtection="1">
      <alignment vertical="center" wrapText="1"/>
      <protection locked="0"/>
    </xf>
    <xf numFmtId="37" fontId="0" fillId="0" borderId="27" xfId="0" applyNumberFormat="1" applyFont="1" applyBorder="1" applyAlignment="1">
      <alignment vertical="center" wrapText="1"/>
    </xf>
    <xf numFmtId="37" fontId="1" fillId="15" borderId="8" xfId="0" applyNumberFormat="1" applyFont="1" applyFill="1" applyBorder="1" applyAlignment="1">
      <alignment horizontal="center" vertical="center" wrapText="1"/>
    </xf>
    <xf numFmtId="37" fontId="1" fillId="15" borderId="30" xfId="0" applyNumberFormat="1" applyFont="1" applyFill="1" applyBorder="1" applyAlignment="1">
      <alignment horizontal="center" vertical="center" wrapText="1"/>
    </xf>
    <xf numFmtId="37" fontId="1" fillId="15" borderId="31" xfId="0" applyNumberFormat="1" applyFont="1" applyFill="1" applyBorder="1" applyAlignment="1">
      <alignment horizontal="center" vertical="center" wrapText="1"/>
    </xf>
    <xf numFmtId="37" fontId="5" fillId="15" borderId="14" xfId="0" applyNumberFormat="1" applyFont="1" applyFill="1" applyBorder="1" applyAlignment="1">
      <alignment horizontal="center" vertical="center" wrapText="1"/>
    </xf>
    <xf numFmtId="37" fontId="5" fillId="15" borderId="33" xfId="0" applyNumberFormat="1" applyFont="1" applyFill="1" applyBorder="1" applyAlignment="1">
      <alignment horizontal="center" vertical="center" wrapText="1"/>
    </xf>
    <xf numFmtId="37" fontId="1" fillId="15" borderId="28" xfId="0" applyNumberFormat="1" applyFont="1" applyFill="1" applyBorder="1" applyAlignment="1">
      <alignment horizontal="center" vertical="center" wrapText="1"/>
    </xf>
    <xf numFmtId="0" fontId="0" fillId="6" borderId="9" xfId="0" applyFill="1" applyBorder="1" applyAlignment="1">
      <alignment vertical="center" wrapText="1"/>
    </xf>
    <xf numFmtId="0" fontId="0" fillId="0" borderId="9" xfId="0" applyFill="1" applyBorder="1" applyAlignment="1">
      <alignment horizontal="right" vertical="center" wrapText="1"/>
    </xf>
    <xf numFmtId="0" fontId="0" fillId="14" borderId="9" xfId="0" applyFill="1" applyBorder="1" applyAlignment="1">
      <alignment vertical="center" wrapText="1"/>
    </xf>
    <xf numFmtId="37" fontId="0" fillId="0" borderId="9" xfId="0" applyNumberFormat="1" applyBorder="1" applyAlignment="1">
      <alignment horizontal="center" vertical="center"/>
    </xf>
    <xf numFmtId="0" fontId="15" fillId="0" borderId="0" xfId="0" applyFont="1"/>
    <xf numFmtId="0" fontId="4" fillId="20" borderId="34" xfId="0" applyFont="1" applyFill="1" applyBorder="1"/>
    <xf numFmtId="0" fontId="4" fillId="20" borderId="35" xfId="0" applyFont="1" applyFill="1" applyBorder="1" applyAlignment="1">
      <alignment horizontal="center" vertical="center"/>
    </xf>
    <xf numFmtId="167" fontId="0" fillId="0" borderId="38" xfId="0" applyNumberFormat="1" applyBorder="1" applyAlignment="1">
      <alignment horizontal="center" vertical="center"/>
    </xf>
    <xf numFmtId="0" fontId="4" fillId="0" borderId="0" xfId="0" applyFont="1" applyBorder="1" applyAlignment="1">
      <alignment horizontal="center" vertical="center"/>
    </xf>
    <xf numFmtId="0" fontId="17" fillId="21" borderId="0" xfId="0" applyFont="1" applyFill="1" applyBorder="1"/>
    <xf numFmtId="0" fontId="18" fillId="0" borderId="0" xfId="0" applyFont="1" applyAlignment="1">
      <alignment horizontal="left" vertical="center"/>
    </xf>
    <xf numFmtId="0" fontId="18" fillId="0" borderId="0" xfId="0" applyFont="1" applyAlignment="1">
      <alignment horizontal="left" vertical="center" wrapText="1"/>
    </xf>
    <xf numFmtId="37" fontId="0" fillId="0" borderId="10" xfId="0" applyNumberFormat="1" applyBorder="1" applyAlignment="1">
      <alignment horizontal="center" vertical="center"/>
    </xf>
    <xf numFmtId="167" fontId="0" fillId="0" borderId="47" xfId="0" applyNumberFormat="1" applyBorder="1" applyAlignment="1">
      <alignment horizontal="center" vertical="center"/>
    </xf>
    <xf numFmtId="0" fontId="4" fillId="20" borderId="48" xfId="0" applyFont="1" applyFill="1" applyBorder="1" applyAlignment="1">
      <alignment horizontal="center" vertical="center"/>
    </xf>
    <xf numFmtId="0" fontId="0" fillId="0" borderId="0" xfId="0" applyFont="1" applyBorder="1"/>
    <xf numFmtId="0" fontId="11" fillId="0" borderId="42" xfId="0" applyFont="1" applyBorder="1" applyAlignment="1" applyProtection="1">
      <alignment horizontal="left" vertical="top" wrapText="1"/>
      <protection locked="0"/>
    </xf>
    <xf numFmtId="0" fontId="11" fillId="0" borderId="5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0" fillId="0" borderId="42" xfId="0" applyFont="1" applyBorder="1"/>
    <xf numFmtId="0" fontId="0" fillId="0" borderId="43" xfId="0" applyFont="1" applyBorder="1"/>
    <xf numFmtId="0" fontId="6" fillId="0" borderId="42" xfId="0" applyFont="1" applyBorder="1" applyAlignment="1">
      <alignment horizontal="lef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0" fillId="0" borderId="44" xfId="0" applyBorder="1"/>
    <xf numFmtId="0" fontId="0" fillId="0" borderId="45" xfId="0" applyBorder="1"/>
    <xf numFmtId="0" fontId="0" fillId="0" borderId="46" xfId="0" applyBorder="1"/>
    <xf numFmtId="0" fontId="11" fillId="0" borderId="42"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8" fillId="0" borderId="42" xfId="1" quotePrefix="1" applyBorder="1" applyAlignment="1" applyProtection="1">
      <alignment horizontal="left" vertical="top"/>
      <protection locked="0"/>
    </xf>
    <xf numFmtId="0" fontId="23" fillId="0" borderId="42" xfId="0" applyFont="1" applyBorder="1" applyAlignment="1" applyProtection="1">
      <alignment horizontal="left" vertical="top"/>
      <protection locked="0"/>
    </xf>
    <xf numFmtId="37" fontId="0" fillId="0" borderId="10" xfId="0" applyNumberFormat="1" applyFont="1" applyBorder="1" applyAlignment="1">
      <alignment horizontal="right" vertical="center" wrapText="1"/>
    </xf>
    <xf numFmtId="0" fontId="4" fillId="20" borderId="35" xfId="0" applyFont="1" applyFill="1" applyBorder="1" applyAlignment="1">
      <alignment horizontal="center" vertical="center" wrapText="1"/>
    </xf>
    <xf numFmtId="0" fontId="6" fillId="5" borderId="49" xfId="0" applyFont="1" applyFill="1" applyBorder="1" applyAlignment="1">
      <alignment horizontal="center" vertical="center"/>
    </xf>
    <xf numFmtId="0" fontId="6" fillId="14" borderId="10" xfId="0" applyFont="1" applyFill="1" applyBorder="1" applyAlignment="1" applyProtection="1">
      <alignment vertical="center" wrapText="1"/>
      <protection locked="0"/>
    </xf>
    <xf numFmtId="0" fontId="0" fillId="24" borderId="9" xfId="0" applyFill="1" applyBorder="1" applyAlignment="1">
      <alignment vertical="center" wrapText="1"/>
    </xf>
    <xf numFmtId="0" fontId="0" fillId="25" borderId="9" xfId="0" applyFill="1" applyBorder="1" applyAlignment="1">
      <alignment vertical="center" wrapText="1"/>
    </xf>
    <xf numFmtId="0" fontId="0" fillId="26" borderId="9" xfId="0" applyFill="1" applyBorder="1" applyAlignment="1">
      <alignment vertical="center" wrapText="1"/>
    </xf>
    <xf numFmtId="0" fontId="0" fillId="27" borderId="9" xfId="0" applyFill="1" applyBorder="1" applyAlignment="1">
      <alignment vertical="center" wrapText="1"/>
    </xf>
    <xf numFmtId="0" fontId="4" fillId="19" borderId="9" xfId="0" applyFont="1" applyFill="1" applyBorder="1" applyAlignment="1">
      <alignment vertical="center" wrapText="1"/>
    </xf>
    <xf numFmtId="0" fontId="4" fillId="28" borderId="9" xfId="0" applyFont="1" applyFill="1" applyBorder="1" applyAlignment="1">
      <alignment vertical="center" wrapText="1"/>
    </xf>
    <xf numFmtId="0" fontId="8" fillId="0" borderId="43" xfId="1" applyBorder="1" applyAlignment="1">
      <alignment horizontal="left" vertical="top" wrapText="1"/>
    </xf>
    <xf numFmtId="37" fontId="0" fillId="0" borderId="9" xfId="0" applyNumberFormat="1" applyFont="1" applyBorder="1" applyAlignment="1" applyProtection="1">
      <alignment vertical="center" wrapText="1"/>
      <protection hidden="1"/>
    </xf>
    <xf numFmtId="0" fontId="1" fillId="15" borderId="29" xfId="0" applyFont="1" applyFill="1" applyBorder="1" applyAlignment="1">
      <alignment horizontal="center" vertical="center" wrapText="1"/>
    </xf>
    <xf numFmtId="3" fontId="0" fillId="0" borderId="10" xfId="0" applyNumberFormat="1" applyBorder="1" applyAlignment="1">
      <alignment vertical="center"/>
    </xf>
    <xf numFmtId="165" fontId="0" fillId="0" borderId="10" xfId="0" applyNumberFormat="1" applyBorder="1" applyAlignment="1">
      <alignment horizontal="right" vertical="center"/>
    </xf>
    <xf numFmtId="0" fontId="1" fillId="15" borderId="22" xfId="0" applyFont="1" applyFill="1" applyBorder="1" applyAlignment="1">
      <alignment horizontal="center" vertical="center" wrapText="1"/>
    </xf>
    <xf numFmtId="3" fontId="0" fillId="0" borderId="25" xfId="0" applyNumberFormat="1" applyBorder="1" applyAlignment="1">
      <alignment vertical="center"/>
    </xf>
    <xf numFmtId="3" fontId="0" fillId="0" borderId="36" xfId="0" applyNumberFormat="1" applyBorder="1" applyAlignment="1">
      <alignment vertical="center"/>
    </xf>
    <xf numFmtId="3" fontId="0" fillId="0" borderId="68" xfId="0" applyNumberFormat="1" applyBorder="1" applyAlignment="1">
      <alignment vertical="center"/>
    </xf>
    <xf numFmtId="3" fontId="0" fillId="0" borderId="36" xfId="0" applyNumberFormat="1" applyFont="1" applyBorder="1" applyAlignment="1">
      <alignment vertical="center"/>
    </xf>
    <xf numFmtId="3" fontId="0" fillId="0" borderId="37" xfId="0" applyNumberFormat="1" applyFont="1" applyBorder="1" applyAlignment="1">
      <alignment vertical="center"/>
    </xf>
    <xf numFmtId="3" fontId="0" fillId="0" borderId="69" xfId="0" applyNumberFormat="1" applyBorder="1" applyAlignment="1">
      <alignment vertical="center"/>
    </xf>
    <xf numFmtId="165" fontId="0" fillId="0" borderId="25" xfId="0" applyNumberFormat="1" applyBorder="1" applyAlignment="1">
      <alignment horizontal="right" vertical="center"/>
    </xf>
    <xf numFmtId="0" fontId="1" fillId="15" borderId="73" xfId="0" applyFont="1" applyFill="1" applyBorder="1" applyAlignment="1">
      <alignment horizontal="center" vertical="center" wrapText="1"/>
    </xf>
    <xf numFmtId="0" fontId="28" fillId="0" borderId="0" xfId="0" applyFont="1" applyFill="1" applyBorder="1"/>
    <xf numFmtId="0" fontId="6" fillId="0" borderId="8" xfId="0" applyFont="1" applyFill="1" applyBorder="1" applyAlignment="1">
      <alignment horizontal="center" vertical="center" wrapText="1"/>
    </xf>
    <xf numFmtId="0" fontId="9" fillId="0" borderId="0" xfId="0" applyFont="1" applyFill="1" applyAlignment="1" applyProtection="1">
      <alignment vertical="center" wrapText="1"/>
      <protection locked="0"/>
    </xf>
    <xf numFmtId="0" fontId="9" fillId="0" borderId="0" xfId="0" applyFont="1" applyFill="1" applyAlignment="1">
      <alignment vertical="center" wrapText="1"/>
    </xf>
    <xf numFmtId="0" fontId="6" fillId="0" borderId="0" xfId="0" applyFont="1" applyFill="1" applyAlignment="1">
      <alignment horizontal="left" vertical="center"/>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3" fontId="0" fillId="0" borderId="74" xfId="0" applyNumberFormat="1" applyBorder="1" applyAlignment="1">
      <alignment vertical="center"/>
    </xf>
    <xf numFmtId="3" fontId="9" fillId="0" borderId="29" xfId="0" applyNumberFormat="1" applyFont="1" applyFill="1" applyBorder="1" applyAlignment="1">
      <alignment horizontal="right" vertical="center" wrapText="1"/>
    </xf>
    <xf numFmtId="0" fontId="9" fillId="0" borderId="0" xfId="0" applyFont="1" applyFill="1" applyAlignment="1">
      <alignment horizontal="left" vertical="center"/>
    </xf>
    <xf numFmtId="0" fontId="9" fillId="0" borderId="9" xfId="0" applyFont="1" applyFill="1" applyBorder="1" applyAlignment="1">
      <alignment horizontal="right" vertical="center" wrapText="1"/>
    </xf>
    <xf numFmtId="0" fontId="0" fillId="0" borderId="36" xfId="0" applyBorder="1" applyAlignment="1">
      <alignment vertical="center" wrapText="1"/>
    </xf>
    <xf numFmtId="3" fontId="7" fillId="0" borderId="2" xfId="0" applyNumberFormat="1" applyFont="1" applyBorder="1" applyAlignment="1" applyProtection="1">
      <alignment horizontal="left" vertical="top" wrapText="1"/>
      <protection locked="0"/>
    </xf>
    <xf numFmtId="3" fontId="9" fillId="0" borderId="36" xfId="0" applyNumberFormat="1" applyFont="1" applyFill="1" applyBorder="1" applyAlignment="1">
      <alignment horizontal="center" vertical="center" wrapText="1"/>
    </xf>
    <xf numFmtId="3" fontId="9" fillId="0" borderId="68" xfId="0" applyNumberFormat="1" applyFont="1" applyFill="1" applyBorder="1" applyAlignment="1">
      <alignment horizontal="center" vertical="center" wrapText="1"/>
    </xf>
    <xf numFmtId="168" fontId="0" fillId="0" borderId="9" xfId="0" applyNumberFormat="1" applyFont="1" applyBorder="1" applyAlignment="1">
      <alignment vertical="center" wrapText="1"/>
    </xf>
    <xf numFmtId="0" fontId="4" fillId="0" borderId="0" xfId="0" applyFont="1" applyAlignment="1" applyProtection="1">
      <alignment vertical="center" wrapText="1"/>
      <protection hidden="1"/>
    </xf>
    <xf numFmtId="0" fontId="0" fillId="0" borderId="0" xfId="0" quotePrefix="1" applyFont="1" applyAlignment="1" applyProtection="1">
      <alignment vertical="center"/>
      <protection locked="0"/>
    </xf>
    <xf numFmtId="0" fontId="0" fillId="0" borderId="43" xfId="0" quotePrefix="1" applyBorder="1"/>
    <xf numFmtId="0" fontId="8" fillId="0" borderId="42" xfId="1" quotePrefix="1" applyBorder="1"/>
    <xf numFmtId="37" fontId="0" fillId="31" borderId="8" xfId="0" applyNumberFormat="1" applyFill="1" applyBorder="1" applyAlignment="1">
      <alignment horizontal="center" vertical="center"/>
    </xf>
    <xf numFmtId="37" fontId="0" fillId="31" borderId="29" xfId="0" applyNumberFormat="1" applyFill="1" applyBorder="1" applyAlignment="1">
      <alignment horizontal="center" vertical="center"/>
    </xf>
    <xf numFmtId="0" fontId="17" fillId="31" borderId="72" xfId="0" applyFont="1" applyFill="1" applyBorder="1" applyAlignment="1">
      <alignment vertical="center" wrapText="1"/>
    </xf>
    <xf numFmtId="0" fontId="28" fillId="0" borderId="0" xfId="0" applyFont="1"/>
    <xf numFmtId="167" fontId="0" fillId="0" borderId="78" xfId="0" applyNumberFormat="1" applyBorder="1" applyAlignment="1">
      <alignment horizontal="center" vertical="center"/>
    </xf>
    <xf numFmtId="169" fontId="0" fillId="31" borderId="29" xfId="0" applyNumberFormat="1" applyFill="1" applyBorder="1" applyAlignment="1">
      <alignment horizontal="center" vertical="center"/>
    </xf>
    <xf numFmtId="170" fontId="0" fillId="31" borderId="9" xfId="0" applyNumberFormat="1" applyFill="1" applyBorder="1" applyAlignment="1">
      <alignment horizontal="center" vertical="center"/>
    </xf>
    <xf numFmtId="171" fontId="0" fillId="31" borderId="9" xfId="0" applyNumberFormat="1" applyFill="1" applyBorder="1" applyAlignment="1">
      <alignment horizontal="center" vertical="center"/>
    </xf>
    <xf numFmtId="0" fontId="1" fillId="15" borderId="79" xfId="0" applyFont="1" applyFill="1" applyBorder="1" applyAlignment="1">
      <alignment horizontal="center" vertical="center" wrapText="1"/>
    </xf>
    <xf numFmtId="0" fontId="1" fillId="15" borderId="80" xfId="0" applyFont="1" applyFill="1" applyBorder="1" applyAlignment="1">
      <alignment horizontal="center" vertical="center" wrapText="1"/>
    </xf>
    <xf numFmtId="3" fontId="9" fillId="0" borderId="81" xfId="0" applyNumberFormat="1" applyFont="1" applyFill="1" applyBorder="1" applyAlignment="1">
      <alignment horizontal="center" vertical="center" wrapText="1"/>
    </xf>
    <xf numFmtId="3" fontId="0" fillId="0" borderId="36" xfId="0" applyNumberFormat="1" applyBorder="1" applyAlignment="1">
      <alignment horizontal="center" vertical="center"/>
    </xf>
    <xf numFmtId="3" fontId="0" fillId="0" borderId="68" xfId="0" applyNumberFormat="1" applyBorder="1" applyAlignment="1">
      <alignment horizontal="center" vertical="center"/>
    </xf>
    <xf numFmtId="0" fontId="9" fillId="0" borderId="0" xfId="0" applyFont="1" applyFill="1" applyAlignment="1" applyProtection="1">
      <alignment vertical="center"/>
      <protection locked="0"/>
    </xf>
    <xf numFmtId="37" fontId="0" fillId="8" borderId="9" xfId="0" applyNumberFormat="1" applyFont="1" applyFill="1" applyBorder="1" applyAlignment="1" applyProtection="1">
      <alignment vertical="center" wrapText="1"/>
      <protection locked="0"/>
    </xf>
    <xf numFmtId="0" fontId="0" fillId="0" borderId="42" xfId="0" applyBorder="1"/>
    <xf numFmtId="0" fontId="0" fillId="0" borderId="0" xfId="0" applyBorder="1"/>
    <xf numFmtId="0" fontId="0" fillId="0" borderId="43" xfId="0" applyBorder="1"/>
    <xf numFmtId="0" fontId="29" fillId="0" borderId="0" xfId="0" quotePrefix="1" applyFont="1" applyAlignment="1" applyProtection="1">
      <alignment vertical="center"/>
      <protection locked="0"/>
    </xf>
    <xf numFmtId="0" fontId="6" fillId="0" borderId="0" xfId="0" applyFont="1" applyBorder="1" applyAlignment="1">
      <alignment horizontal="left" vertical="top" wrapText="1"/>
    </xf>
    <xf numFmtId="0" fontId="6" fillId="0" borderId="43" xfId="0" applyFont="1" applyBorder="1" applyAlignment="1">
      <alignment horizontal="left" vertical="top" wrapText="1"/>
    </xf>
    <xf numFmtId="0" fontId="0" fillId="0" borderId="0" xfId="0" applyBorder="1" applyAlignment="1">
      <alignment vertical="center" wrapText="1"/>
    </xf>
    <xf numFmtId="0" fontId="0" fillId="0" borderId="42" xfId="0" applyBorder="1" applyAlignment="1">
      <alignment wrapText="1"/>
    </xf>
    <xf numFmtId="0" fontId="0" fillId="0" borderId="0" xfId="0" applyBorder="1" applyAlignment="1">
      <alignment wrapText="1"/>
    </xf>
    <xf numFmtId="0" fontId="0" fillId="0" borderId="43" xfId="0" applyBorder="1" applyAlignment="1">
      <alignment wrapText="1"/>
    </xf>
    <xf numFmtId="0" fontId="0" fillId="0" borderId="42" xfId="0" quotePrefix="1" applyBorder="1" applyAlignment="1">
      <alignment horizontal="left" vertical="center" wrapText="1" indent="4"/>
    </xf>
    <xf numFmtId="0" fontId="0" fillId="0" borderId="0" xfId="0" quotePrefix="1" applyBorder="1" applyAlignment="1">
      <alignment horizontal="left" vertical="center" wrapText="1" indent="4"/>
    </xf>
    <xf numFmtId="0" fontId="0" fillId="0" borderId="43" xfId="0" quotePrefix="1" applyBorder="1" applyAlignment="1">
      <alignment horizontal="left" vertical="center" wrapText="1" indent="4"/>
    </xf>
    <xf numFmtId="0" fontId="16" fillId="0" borderId="0" xfId="0" applyFont="1" applyAlignment="1">
      <alignment horizontal="left" vertical="center" wrapText="1"/>
    </xf>
    <xf numFmtId="0" fontId="0" fillId="0" borderId="20" xfId="0" applyFont="1" applyBorder="1" applyAlignment="1">
      <alignment vertical="center"/>
    </xf>
    <xf numFmtId="0" fontId="0" fillId="32" borderId="9" xfId="0" applyFill="1" applyBorder="1" applyAlignment="1">
      <alignment vertical="center" wrapText="1"/>
    </xf>
    <xf numFmtId="0" fontId="9" fillId="0" borderId="0" xfId="0" applyFont="1" applyFill="1" applyAlignment="1">
      <alignment vertical="center"/>
    </xf>
    <xf numFmtId="0" fontId="0" fillId="0" borderId="0" xfId="0" applyBorder="1" applyAlignment="1">
      <alignment vertical="center" wrapText="1"/>
    </xf>
    <xf numFmtId="0" fontId="0" fillId="30" borderId="9" xfId="0" applyFill="1" applyBorder="1" applyAlignment="1">
      <alignment vertical="center" wrapText="1"/>
    </xf>
    <xf numFmtId="0" fontId="0" fillId="0" borderId="0" xfId="0" applyBorder="1" applyAlignment="1">
      <alignment vertical="center" wrapText="1"/>
    </xf>
    <xf numFmtId="0" fontId="0" fillId="29" borderId="9" xfId="0" applyFill="1" applyBorder="1" applyAlignment="1">
      <alignment horizontal="right" vertical="center" wrapText="1"/>
    </xf>
    <xf numFmtId="3" fontId="0" fillId="29" borderId="10" xfId="0" applyNumberFormat="1" applyFill="1" applyBorder="1" applyAlignment="1">
      <alignment vertical="center"/>
    </xf>
    <xf numFmtId="37" fontId="1" fillId="15" borderId="72" xfId="0" applyNumberFormat="1" applyFont="1" applyFill="1" applyBorder="1" applyAlignment="1">
      <alignment horizontal="center" vertical="center" wrapText="1"/>
    </xf>
    <xf numFmtId="37" fontId="1" fillId="15" borderId="73" xfId="0" applyNumberFormat="1" applyFont="1" applyFill="1" applyBorder="1" applyAlignment="1">
      <alignment horizontal="center" vertical="center" wrapText="1"/>
    </xf>
    <xf numFmtId="37" fontId="5" fillId="15" borderId="82" xfId="0" applyNumberFormat="1" applyFont="1" applyFill="1" applyBorder="1" applyAlignment="1">
      <alignment horizontal="center" vertical="center" wrapText="1"/>
    </xf>
    <xf numFmtId="37" fontId="1" fillId="15" borderId="83" xfId="0" applyNumberFormat="1" applyFont="1" applyFill="1" applyBorder="1" applyAlignment="1">
      <alignment horizontal="center" vertical="center" wrapText="1"/>
    </xf>
    <xf numFmtId="37" fontId="0" fillId="0" borderId="36" xfId="0" applyNumberFormat="1" applyFont="1" applyBorder="1" applyAlignment="1" applyProtection="1">
      <alignment vertical="center" wrapText="1"/>
      <protection locked="0"/>
    </xf>
    <xf numFmtId="37" fontId="0" fillId="0" borderId="68" xfId="0" applyNumberFormat="1" applyFont="1" applyBorder="1" applyAlignment="1">
      <alignment vertical="center" wrapText="1"/>
    </xf>
    <xf numFmtId="37" fontId="0" fillId="0" borderId="37" xfId="0" applyNumberFormat="1" applyFont="1" applyBorder="1" applyAlignment="1" applyProtection="1">
      <alignment vertical="center" wrapText="1"/>
      <protection locked="0"/>
    </xf>
    <xf numFmtId="37" fontId="0" fillId="0" borderId="69" xfId="0" applyNumberFormat="1" applyFont="1" applyBorder="1" applyAlignment="1">
      <alignment vertical="center" wrapText="1"/>
    </xf>
    <xf numFmtId="0" fontId="0" fillId="0" borderId="0" xfId="0" applyFill="1"/>
    <xf numFmtId="0" fontId="0" fillId="0" borderId="37" xfId="0" applyBorder="1" applyAlignment="1">
      <alignment vertical="center" wrapText="1"/>
    </xf>
    <xf numFmtId="37" fontId="0" fillId="0" borderId="9" xfId="0" applyNumberFormat="1" applyFont="1" applyBorder="1" applyAlignment="1" applyProtection="1">
      <alignment vertical="center" wrapText="1"/>
      <protection locked="0" hidden="1"/>
    </xf>
    <xf numFmtId="0" fontId="21" fillId="0" borderId="42" xfId="0" applyFont="1" applyBorder="1" applyAlignment="1"/>
    <xf numFmtId="0" fontId="21" fillId="0" borderId="0" xfId="0" applyFont="1" applyAlignment="1"/>
    <xf numFmtId="0" fontId="21" fillId="0" borderId="43" xfId="0" applyFont="1" applyBorder="1" applyAlignment="1"/>
    <xf numFmtId="0" fontId="0" fillId="0" borderId="42" xfId="0" applyBorder="1" applyAlignment="1">
      <alignment wrapText="1"/>
    </xf>
    <xf numFmtId="0" fontId="0" fillId="0" borderId="0" xfId="0" applyBorder="1" applyAlignment="1">
      <alignment wrapText="1"/>
    </xf>
    <xf numFmtId="0" fontId="0" fillId="0" borderId="43" xfId="0" applyBorder="1" applyAlignment="1">
      <alignment wrapText="1"/>
    </xf>
    <xf numFmtId="0" fontId="0" fillId="0" borderId="42" xfId="0" quotePrefix="1" applyBorder="1" applyAlignment="1">
      <alignment horizontal="left" vertical="center" wrapText="1" indent="4"/>
    </xf>
    <xf numFmtId="0" fontId="0" fillId="0" borderId="0" xfId="0" quotePrefix="1" applyBorder="1" applyAlignment="1">
      <alignment horizontal="left" vertical="center" wrapText="1" indent="4"/>
    </xf>
    <xf numFmtId="0" fontId="0" fillId="0" borderId="43" xfId="0" quotePrefix="1" applyBorder="1" applyAlignment="1">
      <alignment horizontal="left" vertical="center" wrapText="1" indent="4"/>
    </xf>
    <xf numFmtId="0" fontId="0" fillId="0" borderId="42" xfId="0" applyBorder="1" applyAlignment="1"/>
    <xf numFmtId="0" fontId="0" fillId="0" borderId="0" xfId="0" applyBorder="1" applyAlignment="1"/>
    <xf numFmtId="0" fontId="0" fillId="0" borderId="43" xfId="0" applyBorder="1" applyAlignment="1"/>
    <xf numFmtId="0" fontId="21" fillId="0" borderId="0" xfId="0" applyFont="1" applyBorder="1" applyAlignment="1"/>
    <xf numFmtId="0" fontId="0" fillId="0" borderId="42" xfId="0" quotePrefix="1" applyBorder="1" applyAlignment="1">
      <alignment horizontal="left" vertical="center" wrapText="1" indent="1"/>
    </xf>
    <xf numFmtId="0" fontId="0" fillId="0" borderId="0" xfId="0" quotePrefix="1" applyBorder="1" applyAlignment="1">
      <alignment horizontal="left" vertical="center" wrapText="1" indent="1"/>
    </xf>
    <xf numFmtId="0" fontId="0" fillId="0" borderId="43" xfId="0" quotePrefix="1" applyBorder="1" applyAlignment="1">
      <alignment horizontal="left" vertical="center" wrapText="1" indent="1"/>
    </xf>
    <xf numFmtId="0" fontId="0" fillId="0" borderId="55" xfId="0" applyBorder="1" applyAlignment="1"/>
    <xf numFmtId="0" fontId="0" fillId="0" borderId="2" xfId="0" applyBorder="1" applyAlignment="1"/>
    <xf numFmtId="0" fontId="0" fillId="0" borderId="56" xfId="0" applyBorder="1" applyAlignment="1"/>
    <xf numFmtId="0" fontId="0" fillId="0" borderId="42" xfId="0" applyBorder="1" applyAlignment="1">
      <alignment vertical="center" wrapText="1"/>
    </xf>
    <xf numFmtId="0" fontId="0" fillId="0" borderId="0" xfId="0" applyBorder="1" applyAlignment="1">
      <alignment vertical="center" wrapText="1"/>
    </xf>
    <xf numFmtId="0" fontId="0" fillId="0" borderId="43" xfId="0" applyBorder="1" applyAlignment="1">
      <alignment vertical="center"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5" borderId="3" xfId="0" applyFont="1" applyFill="1" applyBorder="1" applyAlignment="1" applyProtection="1">
      <alignment horizontal="left" vertical="top"/>
      <protection locked="0"/>
    </xf>
    <xf numFmtId="0" fontId="11" fillId="5" borderId="5" xfId="0" applyFont="1" applyFill="1" applyBorder="1" applyAlignment="1" applyProtection="1">
      <alignment horizontal="left" vertical="top"/>
      <protection locked="0"/>
    </xf>
    <xf numFmtId="0" fontId="11" fillId="5" borderId="4" xfId="0" applyFont="1" applyFill="1" applyBorder="1" applyAlignment="1" applyProtection="1">
      <alignment horizontal="left" vertical="top"/>
      <protection locked="0"/>
    </xf>
    <xf numFmtId="0" fontId="12" fillId="0" borderId="42" xfId="0" applyFont="1" applyBorder="1" applyAlignment="1" applyProtection="1">
      <protection locked="0"/>
    </xf>
    <xf numFmtId="0" fontId="12" fillId="0" borderId="0" xfId="0" applyFont="1" applyBorder="1" applyAlignment="1" applyProtection="1">
      <protection locked="0"/>
    </xf>
    <xf numFmtId="0" fontId="12" fillId="0" borderId="43" xfId="0" applyFont="1" applyBorder="1" applyAlignment="1" applyProtection="1">
      <protection locked="0"/>
    </xf>
    <xf numFmtId="0" fontId="11" fillId="0" borderId="53" xfId="0" applyFont="1" applyBorder="1" applyAlignment="1">
      <alignment horizontal="left" vertical="top" wrapText="1"/>
    </xf>
    <xf numFmtId="0" fontId="11" fillId="0" borderId="7" xfId="0" applyFont="1" applyBorder="1" applyAlignment="1">
      <alignment horizontal="left" vertical="top" wrapText="1"/>
    </xf>
    <xf numFmtId="0" fontId="11" fillId="0" borderId="54" xfId="0" applyFont="1" applyBorder="1" applyAlignment="1">
      <alignment horizontal="left" vertical="top" wrapText="1"/>
    </xf>
    <xf numFmtId="0" fontId="0" fillId="0" borderId="42" xfId="0" quotePrefix="1" applyFont="1" applyBorder="1" applyAlignment="1">
      <alignment vertical="top" wrapText="1"/>
    </xf>
    <xf numFmtId="0" fontId="0" fillId="0" borderId="0" xfId="0" applyFont="1" applyBorder="1" applyAlignment="1">
      <alignment vertical="top" wrapText="1"/>
    </xf>
    <xf numFmtId="0" fontId="0" fillId="0" borderId="43" xfId="0" applyFont="1" applyBorder="1" applyAlignment="1">
      <alignment vertical="top" wrapText="1"/>
    </xf>
    <xf numFmtId="0" fontId="6" fillId="0" borderId="42" xfId="0" quotePrefix="1" applyFont="1" applyBorder="1" applyAlignment="1">
      <alignment horizontal="left" vertical="top" wrapText="1"/>
    </xf>
    <xf numFmtId="0" fontId="6" fillId="0" borderId="0" xfId="0" applyFont="1" applyBorder="1" applyAlignment="1">
      <alignment horizontal="left" vertical="top" wrapText="1"/>
    </xf>
    <xf numFmtId="0" fontId="6" fillId="0" borderId="43" xfId="0" applyFont="1" applyBorder="1" applyAlignment="1">
      <alignment horizontal="left" vertical="top" wrapText="1"/>
    </xf>
    <xf numFmtId="0" fontId="17" fillId="0" borderId="42" xfId="0" applyFont="1" applyBorder="1" applyAlignment="1"/>
    <xf numFmtId="0" fontId="17" fillId="0" borderId="0" xfId="0" applyFont="1" applyBorder="1" applyAlignment="1"/>
    <xf numFmtId="0" fontId="17" fillId="0" borderId="43" xfId="0" applyFont="1" applyBorder="1" applyAlignment="1"/>
    <xf numFmtId="0" fontId="0" fillId="0" borderId="42" xfId="0" quotePrefix="1" applyFont="1" applyBorder="1" applyAlignment="1">
      <alignment horizontal="left" vertical="center" wrapText="1"/>
    </xf>
    <xf numFmtId="0" fontId="0" fillId="0" borderId="0" xfId="0" quotePrefix="1" applyFont="1" applyBorder="1" applyAlignment="1">
      <alignment horizontal="left" vertical="center" wrapText="1"/>
    </xf>
    <xf numFmtId="0" fontId="0" fillId="0" borderId="43" xfId="0" quotePrefix="1" applyFont="1" applyBorder="1" applyAlignment="1">
      <alignment horizontal="left" vertical="center" wrapText="1"/>
    </xf>
    <xf numFmtId="0" fontId="16" fillId="0" borderId="0" xfId="0" applyFont="1" applyAlignment="1">
      <alignment horizontal="left" vertical="center" wrapText="1"/>
    </xf>
    <xf numFmtId="0" fontId="17" fillId="5" borderId="50" xfId="0" applyFont="1" applyFill="1" applyBorder="1" applyAlignment="1" applyProtection="1">
      <alignment horizontal="center" vertical="center" wrapText="1"/>
      <protection locked="0"/>
    </xf>
    <xf numFmtId="0" fontId="17" fillId="5" borderId="77" xfId="0" applyFont="1" applyFill="1" applyBorder="1" applyAlignment="1" applyProtection="1">
      <alignment horizontal="center" vertical="center" wrapText="1"/>
      <protection locked="0"/>
    </xf>
    <xf numFmtId="0" fontId="17" fillId="5" borderId="51" xfId="0" applyFont="1" applyFill="1" applyBorder="1" applyAlignment="1" applyProtection="1">
      <alignment horizontal="center" vertical="center" wrapText="1"/>
      <protection locked="0"/>
    </xf>
    <xf numFmtId="0" fontId="24" fillId="0" borderId="0" xfId="0" applyFont="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0" fillId="5" borderId="0" xfId="0" applyFill="1" applyAlignment="1" applyProtection="1">
      <alignment horizontal="center"/>
      <protection locked="0"/>
    </xf>
    <xf numFmtId="0" fontId="0" fillId="5" borderId="43"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5" borderId="45" xfId="0" applyFill="1" applyBorder="1" applyAlignment="1" applyProtection="1">
      <alignment horizontal="center"/>
      <protection locked="0"/>
    </xf>
    <xf numFmtId="0" fontId="0" fillId="5" borderId="46" xfId="0" applyFill="1" applyBorder="1" applyAlignment="1" applyProtection="1">
      <alignment horizontal="center"/>
      <protection locked="0"/>
    </xf>
    <xf numFmtId="0" fontId="34" fillId="19" borderId="32" xfId="0" applyFont="1" applyFill="1" applyBorder="1" applyAlignment="1">
      <alignment horizontal="left" vertical="center" wrapText="1"/>
    </xf>
    <xf numFmtId="0" fontId="34" fillId="19" borderId="57" xfId="0" applyFont="1" applyFill="1" applyBorder="1" applyAlignment="1">
      <alignment horizontal="left" vertical="center" wrapText="1"/>
    </xf>
    <xf numFmtId="0" fontId="34" fillId="19" borderId="58" xfId="0" applyFont="1" applyFill="1" applyBorder="1" applyAlignment="1">
      <alignment horizontal="left" vertical="center" wrapText="1"/>
    </xf>
    <xf numFmtId="167" fontId="9" fillId="0" borderId="26" xfId="4" applyNumberFormat="1" applyFont="1" applyFill="1" applyBorder="1" applyAlignment="1" applyProtection="1">
      <alignment vertical="center" wrapText="1"/>
      <protection locked="0"/>
    </xf>
    <xf numFmtId="167" fontId="9" fillId="0" borderId="27" xfId="4" applyNumberFormat="1" applyFont="1" applyFill="1" applyBorder="1" applyAlignment="1" applyProtection="1">
      <alignment vertical="center" wrapText="1"/>
      <protection locked="0"/>
    </xf>
    <xf numFmtId="172" fontId="9" fillId="0" borderId="26" xfId="4" applyNumberFormat="1" applyFont="1" applyFill="1" applyBorder="1" applyAlignment="1" applyProtection="1">
      <alignment vertical="center" wrapText="1"/>
      <protection locked="0"/>
    </xf>
    <xf numFmtId="172" fontId="9" fillId="0" borderId="27" xfId="4" applyNumberFormat="1" applyFont="1" applyFill="1" applyBorder="1" applyAlignment="1" applyProtection="1">
      <alignment vertical="center" wrapText="1"/>
      <protection locked="0"/>
    </xf>
    <xf numFmtId="0" fontId="1" fillId="23" borderId="62" xfId="0" applyFont="1" applyFill="1" applyBorder="1" applyAlignment="1">
      <alignment horizontal="left" vertical="center" wrapText="1"/>
    </xf>
    <xf numFmtId="0" fontId="1" fillId="23" borderId="63" xfId="0" applyFont="1" applyFill="1" applyBorder="1" applyAlignment="1">
      <alignment horizontal="left" vertical="center" wrapText="1"/>
    </xf>
    <xf numFmtId="0" fontId="1" fillId="23" borderId="64" xfId="0" applyFont="1" applyFill="1" applyBorder="1" applyAlignment="1">
      <alignment horizontal="left" vertical="center" wrapText="1"/>
    </xf>
    <xf numFmtId="167" fontId="0" fillId="0" borderId="65" xfId="0" applyNumberFormat="1" applyBorder="1" applyAlignment="1">
      <alignment vertical="center"/>
    </xf>
    <xf numFmtId="167" fontId="0" fillId="0" borderId="66" xfId="0" applyNumberFormat="1" applyBorder="1" applyAlignment="1">
      <alignment vertical="center"/>
    </xf>
    <xf numFmtId="0" fontId="1" fillId="18" borderId="32" xfId="0" applyFont="1" applyFill="1" applyBorder="1" applyAlignment="1">
      <alignment horizontal="left" vertical="center" wrapText="1"/>
    </xf>
    <xf numFmtId="0" fontId="1" fillId="18" borderId="57" xfId="0" applyFont="1" applyFill="1" applyBorder="1" applyAlignment="1">
      <alignment horizontal="left" vertical="center" wrapText="1"/>
    </xf>
    <xf numFmtId="0" fontId="1" fillId="18" borderId="58" xfId="0" applyFont="1" applyFill="1" applyBorder="1" applyAlignment="1">
      <alignment horizontal="left" vertical="center" wrapText="1"/>
    </xf>
    <xf numFmtId="0" fontId="1" fillId="18" borderId="29" xfId="0" applyFont="1" applyFill="1" applyBorder="1" applyAlignment="1">
      <alignment horizontal="left" vertical="center" wrapText="1"/>
    </xf>
    <xf numFmtId="0" fontId="1" fillId="18" borderId="21" xfId="0" applyFont="1" applyFill="1" applyBorder="1" applyAlignment="1">
      <alignment horizontal="left" vertical="center" wrapText="1"/>
    </xf>
    <xf numFmtId="0" fontId="1" fillId="18" borderId="59" xfId="0" applyFont="1" applyFill="1" applyBorder="1" applyAlignment="1">
      <alignment horizontal="left" vertical="center" wrapText="1"/>
    </xf>
    <xf numFmtId="167" fontId="0" fillId="0" borderId="26" xfId="0" applyNumberFormat="1" applyFont="1" applyBorder="1" applyAlignment="1">
      <alignment horizontal="right" vertical="center" wrapText="1"/>
    </xf>
    <xf numFmtId="167" fontId="0" fillId="0" borderId="27" xfId="0" applyNumberFormat="1" applyFont="1" applyBorder="1" applyAlignment="1">
      <alignment horizontal="right" vertical="center" wrapText="1"/>
    </xf>
    <xf numFmtId="0" fontId="1" fillId="22" borderId="10" xfId="0" applyFont="1" applyFill="1" applyBorder="1" applyAlignment="1">
      <alignment horizontal="left" vertical="center" wrapText="1"/>
    </xf>
    <xf numFmtId="0" fontId="1" fillId="22" borderId="11" xfId="0" applyFont="1" applyFill="1" applyBorder="1" applyAlignment="1">
      <alignment horizontal="left" vertical="center" wrapText="1"/>
    </xf>
    <xf numFmtId="0" fontId="1" fillId="30" borderId="10" xfId="0" applyFont="1" applyFill="1" applyBorder="1" applyAlignment="1">
      <alignment horizontal="left"/>
    </xf>
    <xf numFmtId="0" fontId="1" fillId="30" borderId="11" xfId="0" applyFont="1" applyFill="1" applyBorder="1" applyAlignment="1">
      <alignment horizontal="left"/>
    </xf>
    <xf numFmtId="0" fontId="1" fillId="30" borderId="25" xfId="0" applyFont="1" applyFill="1" applyBorder="1" applyAlignment="1">
      <alignment horizontal="left"/>
    </xf>
    <xf numFmtId="167" fontId="0" fillId="0" borderId="26" xfId="0" applyNumberFormat="1" applyBorder="1" applyAlignment="1">
      <alignment vertical="center"/>
    </xf>
    <xf numFmtId="167" fontId="0" fillId="0" borderId="27" xfId="0" applyNumberFormat="1" applyBorder="1" applyAlignment="1">
      <alignment vertical="center"/>
    </xf>
    <xf numFmtId="0" fontId="1" fillId="17" borderId="10" xfId="0" applyFont="1" applyFill="1" applyBorder="1" applyAlignment="1">
      <alignment vertical="center" wrapText="1"/>
    </xf>
    <xf numFmtId="0" fontId="1" fillId="17" borderId="11" xfId="0" applyFont="1" applyFill="1" applyBorder="1" applyAlignment="1">
      <alignment vertical="center" wrapText="1"/>
    </xf>
    <xf numFmtId="0" fontId="13" fillId="0" borderId="39" xfId="0" applyFont="1" applyBorder="1" applyAlignment="1">
      <alignment horizontal="center"/>
    </xf>
    <xf numFmtId="0" fontId="13" fillId="0" borderId="41" xfId="0" applyFont="1" applyBorder="1" applyAlignment="1">
      <alignment horizontal="center"/>
    </xf>
    <xf numFmtId="167" fontId="0" fillId="0" borderId="33" xfId="0" applyNumberFormat="1" applyFont="1" applyBorder="1" applyAlignment="1">
      <alignment horizontal="right" vertical="center" wrapText="1"/>
    </xf>
    <xf numFmtId="167" fontId="0" fillId="0" borderId="28" xfId="0" applyNumberFormat="1" applyFont="1" applyBorder="1" applyAlignment="1">
      <alignment horizontal="right" vertical="center" wrapText="1"/>
    </xf>
    <xf numFmtId="0" fontId="1" fillId="30" borderId="10" xfId="0" applyFont="1" applyFill="1" applyBorder="1" applyAlignment="1">
      <alignment horizontal="left" vertical="center" wrapText="1"/>
    </xf>
    <xf numFmtId="0" fontId="1" fillId="30" borderId="11" xfId="0" applyFont="1" applyFill="1" applyBorder="1" applyAlignment="1">
      <alignment horizontal="left" vertical="center" wrapText="1"/>
    </xf>
    <xf numFmtId="0" fontId="1" fillId="30" borderId="9" xfId="0" applyFont="1" applyFill="1" applyBorder="1" applyAlignment="1">
      <alignment horizontal="left"/>
    </xf>
    <xf numFmtId="167" fontId="9" fillId="0" borderId="75" xfId="4" applyNumberFormat="1" applyFont="1" applyFill="1" applyBorder="1" applyAlignment="1" applyProtection="1">
      <alignment horizontal="right" vertical="center" wrapText="1"/>
      <protection locked="0"/>
    </xf>
    <xf numFmtId="167" fontId="9" fillId="0" borderId="76" xfId="4" applyNumberFormat="1" applyFont="1" applyFill="1" applyBorder="1" applyAlignment="1" applyProtection="1">
      <alignment horizontal="right" vertical="center" wrapText="1"/>
      <protection locked="0"/>
    </xf>
    <xf numFmtId="166" fontId="9" fillId="0" borderId="26" xfId="2" applyNumberFormat="1" applyFont="1" applyFill="1" applyBorder="1" applyAlignment="1" applyProtection="1">
      <alignment vertical="center" wrapText="1"/>
      <protection locked="0"/>
    </xf>
    <xf numFmtId="166" fontId="9" fillId="0" borderId="27" xfId="2" applyNumberFormat="1" applyFont="1" applyFill="1" applyBorder="1" applyAlignment="1" applyProtection="1">
      <alignment vertical="center" wrapText="1"/>
      <protection locked="0"/>
    </xf>
    <xf numFmtId="0" fontId="1" fillId="19" borderId="60" xfId="0" applyFont="1" applyFill="1" applyBorder="1" applyAlignment="1">
      <alignment horizontal="left" vertical="center" wrapText="1"/>
    </xf>
    <xf numFmtId="0" fontId="1" fillId="19" borderId="0" xfId="0" applyFont="1" applyFill="1" applyBorder="1" applyAlignment="1">
      <alignment horizontal="left" vertical="center" wrapText="1"/>
    </xf>
    <xf numFmtId="0" fontId="1" fillId="19" borderId="61" xfId="0" applyFont="1" applyFill="1" applyBorder="1" applyAlignment="1">
      <alignment horizontal="left" vertical="center" wrapText="1"/>
    </xf>
    <xf numFmtId="37" fontId="1" fillId="15" borderId="29" xfId="0" applyNumberFormat="1" applyFont="1" applyFill="1" applyBorder="1" applyAlignment="1">
      <alignment horizontal="center" vertical="center" wrapText="1"/>
    </xf>
    <xf numFmtId="37" fontId="1" fillId="15" borderId="32" xfId="0" applyNumberFormat="1" applyFont="1" applyFill="1" applyBorder="1" applyAlignment="1">
      <alignment horizontal="center" vertical="center" wrapText="1"/>
    </xf>
    <xf numFmtId="0" fontId="13" fillId="0" borderId="23" xfId="0" applyFont="1" applyBorder="1" applyAlignment="1">
      <alignment horizontal="center"/>
    </xf>
    <xf numFmtId="0" fontId="13" fillId="0" borderId="24" xfId="0" applyFont="1" applyBorder="1" applyAlignment="1">
      <alignment horizontal="center"/>
    </xf>
    <xf numFmtId="37" fontId="1" fillId="15" borderId="31" xfId="0" applyNumberFormat="1" applyFont="1" applyFill="1" applyBorder="1" applyAlignment="1">
      <alignment horizontal="center" vertical="center" wrapText="1"/>
    </xf>
    <xf numFmtId="37" fontId="1" fillId="15" borderId="28" xfId="0" applyNumberFormat="1" applyFont="1" applyFill="1" applyBorder="1" applyAlignment="1">
      <alignment horizontal="center" vertical="center" wrapText="1"/>
    </xf>
    <xf numFmtId="167" fontId="9" fillId="0" borderId="75" xfId="4" applyNumberFormat="1" applyFont="1" applyFill="1" applyBorder="1" applyAlignment="1" applyProtection="1">
      <alignment horizontal="right" vertical="center" wrapText="1"/>
    </xf>
    <xf numFmtId="167" fontId="9" fillId="0" borderId="76" xfId="4" applyNumberFormat="1" applyFont="1" applyFill="1" applyBorder="1" applyAlignment="1" applyProtection="1">
      <alignment horizontal="right" vertical="center" wrapText="1"/>
    </xf>
    <xf numFmtId="166" fontId="9" fillId="0" borderId="25" xfId="2" applyNumberFormat="1" applyFont="1" applyFill="1" applyBorder="1" applyAlignment="1" applyProtection="1">
      <alignment vertical="center" wrapText="1"/>
      <protection locked="0"/>
    </xf>
    <xf numFmtId="167" fontId="0" fillId="0" borderId="25" xfId="0" applyNumberFormat="1" applyBorder="1" applyAlignment="1">
      <alignment vertical="center"/>
    </xf>
    <xf numFmtId="0" fontId="26" fillId="29" borderId="62" xfId="0" applyFont="1" applyFill="1" applyBorder="1" applyAlignment="1" applyProtection="1">
      <alignment horizontal="center" wrapText="1"/>
      <protection locked="0"/>
    </xf>
    <xf numFmtId="0" fontId="26" fillId="29" borderId="67" xfId="0" applyFont="1" applyFill="1" applyBorder="1" applyAlignment="1" applyProtection="1">
      <alignment horizontal="center" wrapText="1"/>
      <protection locked="0"/>
    </xf>
    <xf numFmtId="0" fontId="26" fillId="11" borderId="70" xfId="0" applyFont="1" applyFill="1" applyBorder="1" applyAlignment="1" applyProtection="1">
      <alignment horizontal="center" vertical="center" wrapText="1"/>
      <protection locked="0"/>
    </xf>
    <xf numFmtId="0" fontId="26" fillId="11" borderId="71" xfId="0" applyFont="1" applyFill="1" applyBorder="1" applyAlignment="1" applyProtection="1">
      <alignment horizontal="center" vertical="center" wrapText="1"/>
      <protection locked="0"/>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8" fillId="0" borderId="18" xfId="1" applyBorder="1" applyAlignment="1">
      <alignment vertical="center"/>
    </xf>
    <xf numFmtId="0" fontId="8" fillId="0" borderId="19" xfId="1" applyBorder="1" applyAlignment="1">
      <alignment vertical="center"/>
    </xf>
    <xf numFmtId="0" fontId="8" fillId="0" borderId="20" xfId="1" applyBorder="1" applyAlignment="1">
      <alignment vertical="center"/>
    </xf>
    <xf numFmtId="0" fontId="0" fillId="0" borderId="18" xfId="0" applyFont="1" applyBorder="1" applyAlignment="1">
      <alignment vertical="center" wrapText="1"/>
    </xf>
    <xf numFmtId="0" fontId="0" fillId="0" borderId="19" xfId="0" applyFont="1"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9" xfId="0" applyFill="1" applyBorder="1" applyAlignment="1">
      <alignment horizontal="right" vertical="center"/>
    </xf>
    <xf numFmtId="165" fontId="0" fillId="0" borderId="9" xfId="0" applyNumberFormat="1" applyFill="1" applyBorder="1" applyAlignment="1">
      <alignment horizontal="right" vertical="center"/>
    </xf>
    <xf numFmtId="3" fontId="0" fillId="0" borderId="10" xfId="0" applyNumberFormat="1" applyFill="1" applyBorder="1" applyAlignment="1">
      <alignment vertical="center"/>
    </xf>
    <xf numFmtId="3" fontId="0" fillId="0" borderId="36" xfId="0" applyNumberFormat="1" applyFill="1" applyBorder="1" applyAlignment="1">
      <alignment vertical="center"/>
    </xf>
    <xf numFmtId="3" fontId="0" fillId="0" borderId="68" xfId="0" applyNumberFormat="1" applyFill="1" applyBorder="1" applyAlignment="1">
      <alignment vertical="center"/>
    </xf>
    <xf numFmtId="3" fontId="0" fillId="0" borderId="25" xfId="0" applyNumberFormat="1" applyFill="1" applyBorder="1" applyAlignment="1">
      <alignment vertical="center"/>
    </xf>
    <xf numFmtId="3" fontId="0" fillId="0" borderId="9" xfId="0" applyNumberFormat="1" applyFill="1" applyBorder="1" applyAlignment="1">
      <alignment vertical="center"/>
    </xf>
    <xf numFmtId="0" fontId="0" fillId="0" borderId="42" xfId="0" applyBorder="1" applyAlignment="1">
      <alignment horizontal="left" vertical="center" wrapText="1" indent="5"/>
    </xf>
    <xf numFmtId="0" fontId="0" fillId="0" borderId="0" xfId="0" applyBorder="1" applyAlignment="1">
      <alignment horizontal="left" vertical="center" wrapText="1" indent="5"/>
    </xf>
    <xf numFmtId="0" fontId="0" fillId="0" borderId="43" xfId="0" applyBorder="1" applyAlignment="1">
      <alignment horizontal="left" vertical="center" wrapText="1" indent="5"/>
    </xf>
  </cellXfs>
  <cellStyles count="5">
    <cellStyle name="Currency" xfId="4" builtinId="4"/>
    <cellStyle name="Hyperlink" xfId="1" builtinId="8"/>
    <cellStyle name="Normal" xfId="0" builtinId="0"/>
    <cellStyle name="Normal 2 112" xfId="3" xr:uid="{00000000-0005-0000-0000-000003000000}"/>
    <cellStyle name="Percent" xfId="2" builtinId="5"/>
  </cellStyles>
  <dxfs count="120">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b val="0"/>
        <i val="0"/>
        <strike val="0"/>
        <color theme="1"/>
      </font>
      <fill>
        <patternFill>
          <bgColor theme="1" tint="0.49998474074526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b val="0"/>
        <i val="0"/>
        <strike val="0"/>
        <color theme="1"/>
      </font>
      <fill>
        <patternFill>
          <bgColor theme="1" tint="0.49998474074526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ill>
        <patternFill patternType="solid">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patternType="solid">
          <bgColor theme="9"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99FF"/>
      <color rgb="FFFFFF00"/>
      <color rgb="FFFFFF66"/>
      <color rgb="FF9900CC"/>
      <color rgb="FFCC00FF"/>
      <color rgb="FFFF99FF"/>
      <color rgb="FFFFCCFF"/>
      <color rgb="FFCC99FF"/>
      <color rgb="FFCCCCFF"/>
      <color rgb="FFEC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pecified%20CCE%20Model%20Price%20Li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fied CCE Model Price 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ly.unicef.org/all-materials/cold-chain-equipment/refrigerator-spare-part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apps.who.int/immunization_standards/vaccine_quality/pqs_catalogue/PdfCatalogue.aspx?cat_ty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63"/>
  <sheetViews>
    <sheetView showGridLines="0" tabSelected="1" zoomScale="80" zoomScaleNormal="80" workbookViewId="0">
      <selection sqref="A1:J1"/>
    </sheetView>
  </sheetViews>
  <sheetFormatPr defaultColWidth="0" defaultRowHeight="15" zeroHeight="1" x14ac:dyDescent="0.25"/>
  <cols>
    <col min="1" max="1" width="9" customWidth="1"/>
    <col min="2" max="7" width="9.140625" customWidth="1"/>
    <col min="8" max="9" width="15" customWidth="1"/>
    <col min="10" max="10" width="61.85546875" customWidth="1"/>
    <col min="11" max="12" width="9.140625" customWidth="1"/>
  </cols>
  <sheetData>
    <row r="1" spans="1:21 16384:16384" s="62" customFormat="1" ht="18.75" x14ac:dyDescent="0.3">
      <c r="A1" s="230" t="s">
        <v>0</v>
      </c>
      <c r="B1" s="231"/>
      <c r="C1" s="231"/>
      <c r="D1" s="231"/>
      <c r="E1" s="231"/>
      <c r="F1" s="231"/>
      <c r="G1" s="231"/>
      <c r="H1" s="231"/>
      <c r="I1" s="231"/>
      <c r="J1" s="232"/>
    </row>
    <row r="2" spans="1:21 16384:16384" s="62" customFormat="1" ht="19.5" thickBot="1" x14ac:dyDescent="0.35">
      <c r="A2" s="99"/>
      <c r="B2" s="63"/>
      <c r="C2" s="63"/>
      <c r="D2" s="63"/>
      <c r="E2" s="63"/>
      <c r="F2" s="63"/>
      <c r="G2" s="63"/>
      <c r="H2" s="63"/>
      <c r="I2" s="63"/>
      <c r="J2" s="158"/>
    </row>
    <row r="3" spans="1:21 16384:16384" s="62" customFormat="1" ht="19.5" thickBot="1" x14ac:dyDescent="0.35">
      <c r="A3" s="100" t="s">
        <v>1</v>
      </c>
      <c r="B3" s="64"/>
      <c r="C3" s="233"/>
      <c r="D3" s="234"/>
      <c r="E3" s="234"/>
      <c r="F3" s="234"/>
      <c r="G3" s="234"/>
      <c r="H3" s="234"/>
      <c r="I3" s="235"/>
      <c r="J3" s="101"/>
      <c r="XFD3" s="65"/>
    </row>
    <row r="4" spans="1:21 16384:16384" s="62" customFormat="1" ht="18.75" x14ac:dyDescent="0.3">
      <c r="A4" s="110"/>
      <c r="B4" s="111"/>
      <c r="C4" s="112"/>
      <c r="D4" s="112"/>
      <c r="E4" s="112"/>
      <c r="F4" s="112"/>
      <c r="G4" s="112"/>
      <c r="H4" s="112"/>
      <c r="I4" s="112"/>
      <c r="J4" s="101"/>
      <c r="XFD4" s="65"/>
    </row>
    <row r="5" spans="1:21 16384:16384" s="62" customFormat="1" ht="18.75" x14ac:dyDescent="0.3">
      <c r="A5" s="110"/>
      <c r="B5" s="111"/>
      <c r="C5" s="112"/>
      <c r="D5" s="112"/>
      <c r="E5" s="112"/>
      <c r="F5" s="112"/>
      <c r="G5" s="112"/>
      <c r="H5" s="112"/>
      <c r="I5" s="112"/>
      <c r="J5" s="101"/>
      <c r="XFD5" s="65"/>
    </row>
    <row r="6" spans="1:21 16384:16384" s="62" customFormat="1" ht="18.75" x14ac:dyDescent="0.3">
      <c r="A6" s="114" t="s">
        <v>2</v>
      </c>
      <c r="B6" s="111"/>
      <c r="C6" s="112"/>
      <c r="D6" s="112"/>
      <c r="E6" s="112"/>
      <c r="F6" s="112"/>
      <c r="G6" s="112"/>
      <c r="H6" s="112"/>
      <c r="I6" s="112"/>
      <c r="J6" s="101"/>
      <c r="XFD6" s="65"/>
    </row>
    <row r="7" spans="1:21 16384:16384" s="62" customFormat="1" ht="18.75" x14ac:dyDescent="0.3">
      <c r="A7" s="113" t="s">
        <v>3</v>
      </c>
      <c r="B7" s="111"/>
      <c r="C7" s="112"/>
      <c r="D7" s="112"/>
      <c r="E7" s="112"/>
      <c r="F7" s="112"/>
      <c r="G7" s="112"/>
      <c r="H7" s="112"/>
      <c r="I7" s="112"/>
      <c r="J7" s="101"/>
      <c r="XFD7" s="65"/>
    </row>
    <row r="8" spans="1:21 16384:16384" s="62" customFormat="1" ht="18.75" x14ac:dyDescent="0.3">
      <c r="A8" s="113" t="s">
        <v>4</v>
      </c>
      <c r="B8" s="111"/>
      <c r="C8" s="112"/>
      <c r="D8" s="112"/>
      <c r="E8" s="112"/>
      <c r="F8" s="112"/>
      <c r="G8" s="112"/>
      <c r="H8" s="112"/>
      <c r="I8" s="112"/>
      <c r="J8" s="101"/>
      <c r="XFD8" s="65"/>
    </row>
    <row r="9" spans="1:21 16384:16384" s="62" customFormat="1" ht="18.75" x14ac:dyDescent="0.3">
      <c r="A9" s="159" t="s">
        <v>5</v>
      </c>
      <c r="B9" s="111"/>
      <c r="C9" s="112"/>
      <c r="D9" s="112"/>
      <c r="E9" s="112"/>
      <c r="F9" s="112"/>
      <c r="G9" s="112"/>
      <c r="H9" s="112"/>
      <c r="I9" s="112"/>
      <c r="J9" s="101"/>
      <c r="XFD9" s="65"/>
    </row>
    <row r="10" spans="1:21 16384:16384" s="62" customFormat="1" ht="18.75" x14ac:dyDescent="0.3">
      <c r="A10" s="113" t="s">
        <v>6</v>
      </c>
      <c r="B10" s="111"/>
      <c r="C10" s="112"/>
      <c r="D10" s="112"/>
      <c r="E10" s="112"/>
      <c r="F10" s="112"/>
      <c r="G10" s="112"/>
      <c r="H10" s="112"/>
      <c r="I10" s="112"/>
      <c r="J10" s="101"/>
      <c r="XFD10" s="65"/>
    </row>
    <row r="11" spans="1:21 16384:16384" s="62" customFormat="1" ht="18.75" x14ac:dyDescent="0.3">
      <c r="A11" s="113" t="s">
        <v>7</v>
      </c>
      <c r="B11" s="111"/>
      <c r="C11" s="112"/>
      <c r="D11" s="112"/>
      <c r="E11" s="112"/>
      <c r="F11" s="112"/>
      <c r="G11" s="112"/>
      <c r="H11" s="112"/>
      <c r="I11" s="112"/>
      <c r="J11" s="101"/>
      <c r="XFD11" s="65"/>
    </row>
    <row r="12" spans="1:21 16384:16384" s="62" customFormat="1" ht="18.75" x14ac:dyDescent="0.3">
      <c r="A12" s="236"/>
      <c r="B12" s="237"/>
      <c r="C12" s="237"/>
      <c r="D12" s="237"/>
      <c r="E12" s="237"/>
      <c r="F12" s="237"/>
      <c r="G12" s="237"/>
      <c r="H12" s="237"/>
      <c r="I12" s="237"/>
      <c r="J12" s="238"/>
      <c r="P12" s="66"/>
      <c r="Q12" s="66"/>
      <c r="R12" s="66"/>
      <c r="S12" s="66"/>
      <c r="T12" s="66"/>
      <c r="U12" s="66"/>
      <c r="XFD12" s="65"/>
    </row>
    <row r="13" spans="1:21 16384:16384" s="62" customFormat="1" ht="19.5" thickBot="1" x14ac:dyDescent="0.35">
      <c r="A13" s="239" t="s">
        <v>8</v>
      </c>
      <c r="B13" s="240"/>
      <c r="C13" s="240"/>
      <c r="D13" s="240"/>
      <c r="E13" s="240"/>
      <c r="F13" s="240"/>
      <c r="G13" s="240"/>
      <c r="H13" s="240"/>
      <c r="I13" s="240"/>
      <c r="J13" s="241"/>
      <c r="XFD13" s="65"/>
    </row>
    <row r="14" spans="1:21 16384:16384" x14ac:dyDescent="0.25">
      <c r="A14" s="224"/>
      <c r="B14" s="225"/>
      <c r="C14" s="225"/>
      <c r="D14" s="225"/>
      <c r="E14" s="225"/>
      <c r="F14" s="225"/>
      <c r="G14" s="225"/>
      <c r="H14" s="225"/>
      <c r="I14" s="225"/>
      <c r="J14" s="226"/>
      <c r="XFD14" s="1"/>
    </row>
    <row r="15" spans="1:21 16384:16384" ht="36.75" customHeight="1" x14ac:dyDescent="0.25">
      <c r="A15" s="227" t="s">
        <v>9</v>
      </c>
      <c r="B15" s="228"/>
      <c r="C15" s="228"/>
      <c r="D15" s="228"/>
      <c r="E15" s="228"/>
      <c r="F15" s="228"/>
      <c r="G15" s="228"/>
      <c r="H15" s="228"/>
      <c r="I15" s="228"/>
      <c r="J15" s="229"/>
      <c r="XFD15" s="1"/>
    </row>
    <row r="16" spans="1:21 16384:16384" x14ac:dyDescent="0.25">
      <c r="A16" s="175"/>
      <c r="B16" s="176"/>
      <c r="C16" s="176"/>
      <c r="D16" s="176"/>
      <c r="E16" s="176"/>
      <c r="F16" s="176"/>
      <c r="G16" s="176"/>
      <c r="H16" s="176"/>
      <c r="I16" s="176"/>
      <c r="J16" s="177"/>
      <c r="XFD16" s="1"/>
    </row>
    <row r="17" spans="1:10 16384:16384" ht="27.75" customHeight="1" x14ac:dyDescent="0.25">
      <c r="A17" s="211" t="s">
        <v>10</v>
      </c>
      <c r="B17" s="218"/>
      <c r="C17" s="218"/>
      <c r="D17" s="218"/>
      <c r="E17" s="218"/>
      <c r="F17" s="218"/>
      <c r="G17" s="218"/>
      <c r="H17" s="218"/>
      <c r="I17" s="218"/>
      <c r="J17" s="219"/>
      <c r="XFD17" s="1"/>
    </row>
    <row r="18" spans="1:10 16384:16384" x14ac:dyDescent="0.25">
      <c r="A18" s="217"/>
      <c r="B18" s="218"/>
      <c r="C18" s="218"/>
      <c r="D18" s="218"/>
      <c r="E18" s="218"/>
      <c r="F18" s="218"/>
      <c r="G18" s="218"/>
      <c r="H18" s="218"/>
      <c r="I18" s="218"/>
      <c r="J18" s="219"/>
      <c r="XFD18" s="1"/>
    </row>
    <row r="19" spans="1:10 16384:16384" s="25" customFormat="1" ht="114" customHeight="1" x14ac:dyDescent="0.25">
      <c r="A19" s="211" t="s">
        <v>11</v>
      </c>
      <c r="B19" s="212"/>
      <c r="C19" s="212"/>
      <c r="D19" s="212"/>
      <c r="E19" s="212"/>
      <c r="F19" s="212"/>
      <c r="G19" s="212"/>
      <c r="H19" s="212"/>
      <c r="I19" s="212"/>
      <c r="J19" s="213"/>
      <c r="XFD19" s="61"/>
    </row>
    <row r="20" spans="1:10 16384:16384" s="25" customFormat="1" x14ac:dyDescent="0.25">
      <c r="A20" s="182"/>
      <c r="B20" s="183"/>
      <c r="C20" s="183"/>
      <c r="D20" s="183"/>
      <c r="E20" s="183"/>
      <c r="F20" s="183"/>
      <c r="G20" s="183"/>
      <c r="H20" s="183"/>
      <c r="I20" s="183"/>
      <c r="J20" s="184"/>
      <c r="XFD20" s="61"/>
    </row>
    <row r="21" spans="1:10 16384:16384" s="25" customFormat="1" ht="48.75" customHeight="1" x14ac:dyDescent="0.25">
      <c r="A21" s="211" t="s">
        <v>438</v>
      </c>
      <c r="B21" s="212"/>
      <c r="C21" s="212"/>
      <c r="D21" s="212"/>
      <c r="E21" s="212"/>
      <c r="F21" s="212"/>
      <c r="G21" s="212"/>
      <c r="H21" s="212"/>
      <c r="I21" s="212"/>
      <c r="J21" s="213"/>
      <c r="XFD21" s="61"/>
    </row>
    <row r="22" spans="1:10 16384:16384" x14ac:dyDescent="0.25">
      <c r="A22" s="217"/>
      <c r="B22" s="218"/>
      <c r="C22" s="218"/>
      <c r="D22" s="218"/>
      <c r="E22" s="218"/>
      <c r="F22" s="218"/>
      <c r="G22" s="218"/>
      <c r="H22" s="218"/>
      <c r="I22" s="218"/>
      <c r="J22" s="219"/>
      <c r="XFD22" s="1"/>
    </row>
    <row r="23" spans="1:10 16384:16384" customFormat="1" ht="60" customHeight="1" x14ac:dyDescent="0.25">
      <c r="A23" s="211" t="s">
        <v>12</v>
      </c>
      <c r="B23" s="218"/>
      <c r="C23" s="218"/>
      <c r="D23" s="218"/>
      <c r="E23" s="218"/>
      <c r="F23" s="218"/>
      <c r="G23" s="218"/>
      <c r="H23" s="218"/>
      <c r="I23" s="218"/>
      <c r="J23" s="219"/>
      <c r="XFD23" s="1"/>
    </row>
    <row r="24" spans="1:10 16384:16384" customFormat="1" ht="60" customHeight="1" x14ac:dyDescent="0.25">
      <c r="A24" s="351" t="s">
        <v>440</v>
      </c>
      <c r="B24" s="352"/>
      <c r="C24" s="352"/>
      <c r="D24" s="352"/>
      <c r="E24" s="352"/>
      <c r="F24" s="352"/>
      <c r="G24" s="352"/>
      <c r="H24" s="352"/>
      <c r="I24" s="352"/>
      <c r="J24" s="353"/>
      <c r="XFD24" s="1"/>
    </row>
    <row r="25" spans="1:10 16384:16384" customFormat="1" x14ac:dyDescent="0.25">
      <c r="A25" s="217"/>
      <c r="B25" s="218"/>
      <c r="C25" s="218"/>
      <c r="D25" s="218"/>
      <c r="E25" s="218"/>
      <c r="F25" s="218"/>
      <c r="G25" s="218"/>
      <c r="H25" s="218"/>
      <c r="I25" s="218"/>
      <c r="J25" s="219"/>
      <c r="XFD25" s="1"/>
    </row>
    <row r="26" spans="1:10 16384:16384" customFormat="1" ht="107.25" customHeight="1" x14ac:dyDescent="0.25">
      <c r="A26" s="227" t="s">
        <v>13</v>
      </c>
      <c r="B26" s="228"/>
      <c r="C26" s="228"/>
      <c r="D26" s="228"/>
      <c r="E26" s="228"/>
      <c r="F26" s="228"/>
      <c r="G26" s="228"/>
      <c r="H26" s="228"/>
      <c r="I26" s="228"/>
      <c r="J26" s="229"/>
      <c r="XFD26" s="1"/>
    </row>
    <row r="27" spans="1:10 16384:16384" customFormat="1" x14ac:dyDescent="0.25">
      <c r="A27" s="217"/>
      <c r="B27" s="218"/>
      <c r="C27" s="218"/>
      <c r="D27" s="218"/>
      <c r="E27" s="218"/>
      <c r="F27" s="218"/>
      <c r="G27" s="218"/>
      <c r="H27" s="218"/>
      <c r="I27" s="218"/>
      <c r="J27" s="219"/>
      <c r="XFD27" s="1"/>
    </row>
    <row r="28" spans="1:10 16384:16384" customFormat="1" x14ac:dyDescent="0.25">
      <c r="A28" s="217" t="s">
        <v>14</v>
      </c>
      <c r="B28" s="218"/>
      <c r="C28" s="218"/>
      <c r="D28" s="218"/>
      <c r="E28" s="218"/>
      <c r="F28" s="218"/>
      <c r="G28" s="218"/>
      <c r="H28" s="218"/>
      <c r="I28" s="218"/>
      <c r="J28" s="219"/>
      <c r="XFD28" s="1"/>
    </row>
    <row r="29" spans="1:10 16384:16384" customFormat="1" x14ac:dyDescent="0.25">
      <c r="A29" s="208" t="s">
        <v>15</v>
      </c>
      <c r="B29" s="220"/>
      <c r="C29" s="220"/>
      <c r="D29" s="220"/>
      <c r="E29" s="220"/>
      <c r="F29" s="220"/>
      <c r="G29" s="220"/>
      <c r="H29" s="220"/>
      <c r="I29" s="220"/>
      <c r="J29" s="210"/>
      <c r="XFD29" s="1"/>
    </row>
    <row r="30" spans="1:10 16384:16384" customFormat="1" x14ac:dyDescent="0.25">
      <c r="A30" s="248"/>
      <c r="B30" s="249"/>
      <c r="C30" s="249"/>
      <c r="D30" s="249"/>
      <c r="E30" s="249"/>
      <c r="F30" s="249"/>
      <c r="G30" s="249"/>
      <c r="H30" s="249"/>
      <c r="I30" s="249"/>
      <c r="J30" s="250"/>
      <c r="XFD30" s="1"/>
    </row>
    <row r="31" spans="1:10 16384:16384" customFormat="1" x14ac:dyDescent="0.25">
      <c r="A31" s="208" t="s">
        <v>16</v>
      </c>
      <c r="B31" s="220"/>
      <c r="C31" s="220"/>
      <c r="D31" s="220"/>
      <c r="E31" s="220"/>
      <c r="F31" s="220"/>
      <c r="G31" s="220"/>
      <c r="H31" s="220"/>
      <c r="I31" s="220"/>
      <c r="J31" s="210"/>
      <c r="XFD31" s="1"/>
    </row>
    <row r="32" spans="1:10 16384:16384" customFormat="1" x14ac:dyDescent="0.25">
      <c r="A32" s="217"/>
      <c r="B32" s="218"/>
      <c r="C32" s="218"/>
      <c r="D32" s="218"/>
      <c r="E32" s="218"/>
      <c r="F32" s="218"/>
      <c r="G32" s="218"/>
      <c r="H32" s="218"/>
      <c r="I32" s="218"/>
      <c r="J32" s="219"/>
      <c r="XFD32" s="1"/>
    </row>
    <row r="33" spans="1:21 16384:16384" customFormat="1" x14ac:dyDescent="0.25">
      <c r="A33" s="175"/>
      <c r="B33" s="176"/>
      <c r="C33" s="176"/>
      <c r="D33" s="176"/>
      <c r="E33" s="176"/>
      <c r="F33" s="176"/>
      <c r="G33" s="176"/>
      <c r="H33" s="176"/>
      <c r="I33" s="176"/>
      <c r="J33" s="177"/>
      <c r="XFD33" s="1"/>
    </row>
    <row r="34" spans="1:21 16384:16384" customFormat="1" ht="29.25" customHeight="1" x14ac:dyDescent="0.25">
      <c r="A34" s="251" t="s">
        <v>17</v>
      </c>
      <c r="B34" s="252"/>
      <c r="C34" s="252"/>
      <c r="D34" s="252"/>
      <c r="E34" s="252"/>
      <c r="F34" s="252"/>
      <c r="G34" s="252"/>
      <c r="H34" s="252"/>
      <c r="I34" s="252"/>
      <c r="J34" s="253"/>
      <c r="XFD34" s="1"/>
    </row>
    <row r="35" spans="1:21 16384:16384" customFormat="1" x14ac:dyDescent="0.25">
      <c r="A35" s="102"/>
      <c r="B35" s="98"/>
      <c r="C35" s="98"/>
      <c r="D35" s="98"/>
      <c r="E35" s="98"/>
      <c r="F35" s="98"/>
      <c r="G35" s="98"/>
      <c r="H35" s="98"/>
      <c r="I35" s="98"/>
      <c r="J35" s="103"/>
      <c r="XFD35" s="1"/>
    </row>
    <row r="36" spans="1:21 16384:16384" customFormat="1" ht="32.1" customHeight="1" x14ac:dyDescent="0.25">
      <c r="A36" s="245" t="s">
        <v>18</v>
      </c>
      <c r="B36" s="246"/>
      <c r="C36" s="246"/>
      <c r="D36" s="246"/>
      <c r="E36" s="246"/>
      <c r="F36" s="246"/>
      <c r="G36" s="246"/>
      <c r="H36" s="246"/>
      <c r="I36" s="246"/>
      <c r="J36" s="247"/>
      <c r="P36" s="2"/>
      <c r="Q36" s="2"/>
      <c r="R36" s="2"/>
      <c r="S36" s="2"/>
      <c r="T36" s="2"/>
      <c r="U36" s="2"/>
    </row>
    <row r="37" spans="1:21 16384:16384" customFormat="1" x14ac:dyDescent="0.25">
      <c r="A37" s="104"/>
      <c r="B37" s="179"/>
      <c r="C37" s="179"/>
      <c r="D37" s="179"/>
      <c r="E37" s="179"/>
      <c r="F37" s="179"/>
      <c r="G37" s="179"/>
      <c r="H37" s="179"/>
      <c r="I37" s="179"/>
      <c r="J37" s="180"/>
      <c r="P37" s="2"/>
      <c r="Q37" s="2"/>
      <c r="R37" s="2"/>
      <c r="S37" s="2"/>
      <c r="T37" s="2"/>
      <c r="U37" s="2"/>
    </row>
    <row r="38" spans="1:21 16384:16384" customFormat="1" ht="35.25" customHeight="1" x14ac:dyDescent="0.25">
      <c r="A38" s="245" t="s">
        <v>19</v>
      </c>
      <c r="B38" s="246"/>
      <c r="C38" s="246"/>
      <c r="D38" s="246"/>
      <c r="E38" s="246"/>
      <c r="F38" s="246"/>
      <c r="G38" s="246"/>
      <c r="H38" s="246"/>
      <c r="I38" s="246"/>
      <c r="J38" s="247"/>
      <c r="P38" s="2"/>
      <c r="Q38" s="2"/>
      <c r="R38" s="2"/>
      <c r="S38" s="2"/>
      <c r="T38" s="2"/>
      <c r="U38" s="2"/>
    </row>
    <row r="39" spans="1:21 16384:16384" customFormat="1" ht="30" x14ac:dyDescent="0.25">
      <c r="A39" s="104"/>
      <c r="B39" s="179"/>
      <c r="C39" s="179"/>
      <c r="D39" s="179"/>
      <c r="E39" s="179"/>
      <c r="F39" s="179"/>
      <c r="G39" s="179"/>
      <c r="H39" s="179"/>
      <c r="I39" s="179"/>
      <c r="J39" s="125" t="s">
        <v>20</v>
      </c>
      <c r="P39" s="2"/>
      <c r="Q39" s="2"/>
      <c r="R39" s="2"/>
      <c r="S39" s="2"/>
      <c r="T39" s="2"/>
      <c r="U39" s="2"/>
    </row>
    <row r="40" spans="1:21 16384:16384" customFormat="1" x14ac:dyDescent="0.25">
      <c r="A40" s="242" t="s">
        <v>21</v>
      </c>
      <c r="B40" s="243"/>
      <c r="C40" s="243"/>
      <c r="D40" s="243"/>
      <c r="E40" s="243"/>
      <c r="F40" s="243"/>
      <c r="G40" s="243"/>
      <c r="H40" s="243"/>
      <c r="I40" s="243"/>
      <c r="J40" s="244"/>
      <c r="XFD40" s="1"/>
    </row>
    <row r="41" spans="1:21 16384:16384" customFormat="1" x14ac:dyDescent="0.25">
      <c r="A41" s="105"/>
      <c r="B41" s="59"/>
      <c r="C41" s="59"/>
      <c r="D41" s="59"/>
      <c r="E41" s="59"/>
      <c r="F41" s="59"/>
      <c r="G41" s="59"/>
      <c r="H41" s="59"/>
      <c r="I41" s="59"/>
      <c r="J41" s="106"/>
      <c r="P41" s="2"/>
      <c r="Q41" s="2"/>
      <c r="R41" s="2"/>
      <c r="S41" s="2"/>
      <c r="T41" s="2"/>
      <c r="U41" s="2"/>
    </row>
    <row r="42" spans="1:21 16384:16384" customFormat="1" ht="29.25" customHeight="1" x14ac:dyDescent="0.25">
      <c r="A42" s="242" t="s">
        <v>22</v>
      </c>
      <c r="B42" s="243"/>
      <c r="C42" s="243"/>
      <c r="D42" s="243"/>
      <c r="E42" s="243"/>
      <c r="F42" s="243"/>
      <c r="G42" s="243"/>
      <c r="H42" s="243"/>
      <c r="I42" s="243"/>
      <c r="J42" s="244"/>
      <c r="P42" s="2"/>
      <c r="Q42" s="2"/>
      <c r="R42" s="2"/>
      <c r="S42" s="2"/>
      <c r="T42" s="2"/>
      <c r="U42" s="2"/>
    </row>
    <row r="43" spans="1:21 16384:16384" customFormat="1" x14ac:dyDescent="0.25">
      <c r="A43" s="175"/>
      <c r="B43" s="176"/>
      <c r="C43" s="176"/>
      <c r="D43" s="176"/>
      <c r="E43" s="176"/>
      <c r="F43" s="176"/>
      <c r="G43" s="176"/>
      <c r="H43" s="176"/>
      <c r="I43" s="176"/>
      <c r="J43" s="177"/>
    </row>
    <row r="44" spans="1:21 16384:16384" customFormat="1" ht="34.5" customHeight="1" x14ac:dyDescent="0.25">
      <c r="A44" s="211" t="s">
        <v>23</v>
      </c>
      <c r="B44" s="212"/>
      <c r="C44" s="212"/>
      <c r="D44" s="212"/>
      <c r="E44" s="212"/>
      <c r="F44" s="212"/>
      <c r="G44" s="212"/>
      <c r="H44" s="212"/>
      <c r="I44" s="212"/>
      <c r="J44" s="213"/>
    </row>
    <row r="45" spans="1:21 16384:16384" customFormat="1" x14ac:dyDescent="0.25">
      <c r="A45" s="175"/>
      <c r="B45" s="176"/>
      <c r="C45" s="176"/>
      <c r="D45" s="176"/>
      <c r="E45" s="176"/>
      <c r="F45" s="176"/>
      <c r="G45" s="176"/>
      <c r="H45" s="176"/>
      <c r="I45" s="176"/>
      <c r="J45" s="177"/>
    </row>
    <row r="46" spans="1:21 16384:16384" customFormat="1" x14ac:dyDescent="0.25">
      <c r="A46" s="175" t="s">
        <v>24</v>
      </c>
      <c r="B46" s="176"/>
      <c r="C46" s="176"/>
      <c r="D46" s="176"/>
      <c r="E46" s="176"/>
      <c r="F46" s="176"/>
      <c r="G46" s="176"/>
      <c r="H46" s="176"/>
      <c r="I46" s="176"/>
      <c r="J46" s="177"/>
    </row>
    <row r="47" spans="1:21 16384:16384" customFormat="1" ht="36" customHeight="1" x14ac:dyDescent="0.25">
      <c r="A47" s="221" t="s">
        <v>25</v>
      </c>
      <c r="B47" s="222"/>
      <c r="C47" s="222"/>
      <c r="D47" s="222"/>
      <c r="E47" s="222"/>
      <c r="F47" s="222"/>
      <c r="G47" s="222"/>
      <c r="H47" s="222"/>
      <c r="I47" s="222"/>
      <c r="J47" s="223"/>
    </row>
    <row r="48" spans="1:21 16384:16384" customFormat="1" ht="17.25" customHeight="1" x14ac:dyDescent="0.25">
      <c r="A48" s="185"/>
      <c r="B48" s="186"/>
      <c r="C48" s="186"/>
      <c r="D48" s="186"/>
      <c r="E48" s="186"/>
      <c r="F48" s="186"/>
      <c r="G48" s="186"/>
      <c r="H48" s="186"/>
      <c r="I48" s="186"/>
      <c r="J48" s="187"/>
    </row>
    <row r="49" spans="1:10" customFormat="1" ht="24.75" customHeight="1" x14ac:dyDescent="0.25">
      <c r="A49" s="214" t="s">
        <v>26</v>
      </c>
      <c r="B49" s="215"/>
      <c r="C49" s="215"/>
      <c r="D49" s="215"/>
      <c r="E49" s="215"/>
      <c r="F49" s="215"/>
      <c r="G49" s="215"/>
      <c r="H49" s="215"/>
      <c r="I49" s="215"/>
      <c r="J49" s="216"/>
    </row>
    <row r="50" spans="1:10" customFormat="1" x14ac:dyDescent="0.25">
      <c r="A50" s="175"/>
      <c r="B50" s="176"/>
      <c r="C50" s="176"/>
      <c r="D50" s="176"/>
      <c r="E50" s="176"/>
      <c r="F50" s="176"/>
      <c r="G50" s="176"/>
      <c r="H50" s="176"/>
      <c r="I50" s="176"/>
      <c r="J50" s="177"/>
    </row>
    <row r="51" spans="1:10" customFormat="1" x14ac:dyDescent="0.25">
      <c r="A51" s="214" t="s">
        <v>27</v>
      </c>
      <c r="B51" s="215"/>
      <c r="C51" s="215"/>
      <c r="D51" s="215"/>
      <c r="E51" s="215"/>
      <c r="F51" s="215"/>
      <c r="G51" s="215"/>
      <c r="H51" s="215"/>
      <c r="I51" s="215"/>
      <c r="J51" s="216"/>
    </row>
    <row r="52" spans="1:10" customFormat="1" x14ac:dyDescent="0.25">
      <c r="A52" s="175"/>
      <c r="B52" s="176"/>
      <c r="C52" s="176"/>
      <c r="D52" s="176"/>
      <c r="E52" s="176"/>
      <c r="F52" s="176"/>
      <c r="G52" s="176"/>
      <c r="H52" s="176"/>
      <c r="I52" s="176"/>
      <c r="J52" s="177"/>
    </row>
    <row r="53" spans="1:10" customFormat="1" ht="32.25" customHeight="1" x14ac:dyDescent="0.25">
      <c r="A53" s="214" t="s">
        <v>28</v>
      </c>
      <c r="B53" s="215"/>
      <c r="C53" s="215"/>
      <c r="D53" s="215"/>
      <c r="E53" s="215"/>
      <c r="F53" s="215"/>
      <c r="G53" s="215"/>
      <c r="H53" s="215"/>
      <c r="I53" s="215"/>
      <c r="J53" s="216"/>
    </row>
    <row r="54" spans="1:10" customFormat="1" x14ac:dyDescent="0.25">
      <c r="A54" s="175"/>
      <c r="B54" s="176"/>
      <c r="C54" s="176"/>
      <c r="D54" s="176"/>
      <c r="E54" s="176"/>
      <c r="F54" s="176"/>
      <c r="G54" s="176"/>
      <c r="H54" s="176"/>
      <c r="I54" s="176"/>
      <c r="J54" s="177"/>
    </row>
    <row r="55" spans="1:10" customFormat="1" x14ac:dyDescent="0.25">
      <c r="A55" s="217" t="s">
        <v>14</v>
      </c>
      <c r="B55" s="218"/>
      <c r="C55" s="218"/>
      <c r="D55" s="218"/>
      <c r="E55" s="218"/>
      <c r="F55" s="218"/>
      <c r="G55" s="218"/>
      <c r="H55" s="218"/>
      <c r="I55" s="218"/>
      <c r="J55" s="219"/>
    </row>
    <row r="56" spans="1:10" customFormat="1" x14ac:dyDescent="0.25">
      <c r="A56" s="208" t="s">
        <v>29</v>
      </c>
      <c r="B56" s="220"/>
      <c r="C56" s="220"/>
      <c r="D56" s="220"/>
      <c r="E56" s="220"/>
      <c r="F56" s="220"/>
      <c r="G56" s="220"/>
      <c r="H56" s="220"/>
      <c r="I56" s="220"/>
      <c r="J56" s="210"/>
    </row>
    <row r="57" spans="1:10" customFormat="1" x14ac:dyDescent="0.25">
      <c r="A57" s="175"/>
      <c r="B57" s="176"/>
      <c r="C57" s="176"/>
      <c r="D57" s="176"/>
      <c r="E57" s="176"/>
      <c r="F57" s="176"/>
      <c r="G57" s="176"/>
      <c r="H57" s="176"/>
      <c r="I57" s="176"/>
      <c r="J57" s="177"/>
    </row>
    <row r="58" spans="1:10" customFormat="1" x14ac:dyDescent="0.25">
      <c r="A58" s="208" t="s">
        <v>30</v>
      </c>
      <c r="B58" s="209"/>
      <c r="C58" s="209"/>
      <c r="D58" s="209"/>
      <c r="E58" s="209"/>
      <c r="F58" s="209"/>
      <c r="G58" s="209"/>
      <c r="H58" s="209"/>
      <c r="I58" s="209"/>
      <c r="J58" s="210"/>
    </row>
    <row r="59" spans="1:10" customFormat="1" x14ac:dyDescent="0.25">
      <c r="A59" s="175"/>
      <c r="B59" s="176"/>
      <c r="C59" s="176"/>
      <c r="D59" s="176"/>
      <c r="E59" s="176"/>
      <c r="F59" s="176"/>
      <c r="G59" s="176"/>
      <c r="H59" s="176"/>
      <c r="I59" s="176"/>
      <c r="J59" s="177"/>
    </row>
    <row r="60" spans="1:10" customFormat="1" ht="15.75" thickBot="1" x14ac:dyDescent="0.3">
      <c r="A60" s="107"/>
      <c r="B60" s="108"/>
      <c r="C60" s="108"/>
      <c r="D60" s="108"/>
      <c r="E60" s="108"/>
      <c r="F60" s="108"/>
      <c r="G60" s="108"/>
      <c r="H60" s="108"/>
      <c r="I60" s="108"/>
      <c r="J60" s="109"/>
    </row>
    <row r="61" spans="1:10" customFormat="1" x14ac:dyDescent="0.25"/>
    <row r="62" spans="1:10" customFormat="1" x14ac:dyDescent="0.25"/>
    <row r="63" spans="1:10" customFormat="1" x14ac:dyDescent="0.25"/>
  </sheetData>
  <sheetProtection algorithmName="SHA-512" hashValue="qZPd0COGxyI9m8yHInS/DStLESAVFN3aolJpCpSilMppZYCErmNekWitbieCgn6x0+vlI2mY0WG68s1xo/pNMA==" saltValue="OlEcWuGT4YyIJbi8ekcujQ==" spinCount="100000" sheet="1" objects="1" scenarios="1"/>
  <mergeCells count="34">
    <mergeCell ref="A40:J40"/>
    <mergeCell ref="A42:J42"/>
    <mergeCell ref="A36:J36"/>
    <mergeCell ref="A38:J38"/>
    <mergeCell ref="A26:J26"/>
    <mergeCell ref="A27:J27"/>
    <mergeCell ref="A28:J28"/>
    <mergeCell ref="A29:J29"/>
    <mergeCell ref="A30:J30"/>
    <mergeCell ref="A31:J31"/>
    <mergeCell ref="A32:J32"/>
    <mergeCell ref="A34:J34"/>
    <mergeCell ref="A18:J18"/>
    <mergeCell ref="A19:J19"/>
    <mergeCell ref="A22:J22"/>
    <mergeCell ref="A23:J23"/>
    <mergeCell ref="A25:J25"/>
    <mergeCell ref="A21:J21"/>
    <mergeCell ref="A24:J24"/>
    <mergeCell ref="A14:J14"/>
    <mergeCell ref="A15:J15"/>
    <mergeCell ref="A17:J17"/>
    <mergeCell ref="A1:J1"/>
    <mergeCell ref="C3:I3"/>
    <mergeCell ref="A12:J12"/>
    <mergeCell ref="A13:J13"/>
    <mergeCell ref="A58:J58"/>
    <mergeCell ref="A44:J44"/>
    <mergeCell ref="A53:J53"/>
    <mergeCell ref="A55:J55"/>
    <mergeCell ref="A56:J56"/>
    <mergeCell ref="A47:J47"/>
    <mergeCell ref="A49:J49"/>
    <mergeCell ref="A51:J51"/>
  </mergeCells>
  <hyperlinks>
    <hyperlink ref="A7" location="'Resumen de opciones de CCE'!A1" display="'CCE Options Summary'" xr:uid="{00000000-0004-0000-0000-000000000000}"/>
    <hyperlink ref="A8" location="'Opción A Selección de modelo de'!A1" display="'Option A_CCE Model selection'" xr:uid="{00000000-0004-0000-0000-000001000000}"/>
    <hyperlink ref="A10" location="'Opción C Selección modelo CCE'!A1" display="'Option C_CCE Model selection'" xr:uid="{00000000-0004-0000-0000-000002000000}"/>
    <hyperlink ref="A9" location="'Opción B Selección de modelo de'!A1" display="'Option B_CCE Model selection'" xr:uid="{00000000-0004-0000-0000-000003000000}"/>
    <hyperlink ref="A11" location="'Lista precios mod CCE especif.'!A1" display="Specified CCE Model Price List'" xr:uid="{00000000-0004-0000-0000-000004000000}"/>
    <hyperlink ref="J39" r:id="rId1" xr:uid="{00000000-0004-0000-0000-000005000000}"/>
  </hyperlinks>
  <pageMargins left="0.7" right="0.7" top="0.75" bottom="0.75" header="0.3" footer="0.3"/>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2:L35"/>
  <sheetViews>
    <sheetView showGridLines="0" topLeftCell="A7" workbookViewId="0">
      <selection activeCell="B11" sqref="B11"/>
    </sheetView>
  </sheetViews>
  <sheetFormatPr defaultColWidth="8.85546875" defaultRowHeight="15" x14ac:dyDescent="0.25"/>
  <cols>
    <col min="1" max="1" width="26.5703125" customWidth="1"/>
    <col min="2" max="2" width="18.85546875" customWidth="1"/>
    <col min="3" max="3" width="19.5703125" customWidth="1"/>
    <col min="4" max="4" width="19.85546875" customWidth="1"/>
    <col min="5" max="5" width="24.85546875" customWidth="1"/>
  </cols>
  <sheetData>
    <row r="2" spans="1:12" ht="28.5" x14ac:dyDescent="0.45">
      <c r="A2" s="87" t="s">
        <v>31</v>
      </c>
    </row>
    <row r="3" spans="1:12" x14ac:dyDescent="0.25">
      <c r="A3" s="254" t="s">
        <v>32</v>
      </c>
      <c r="B3" s="254"/>
      <c r="C3" s="254"/>
      <c r="D3" s="254"/>
      <c r="E3" s="254"/>
      <c r="F3" s="254"/>
      <c r="G3" s="254"/>
      <c r="H3" s="254"/>
      <c r="I3" s="254"/>
      <c r="J3" s="254"/>
      <c r="K3" s="254"/>
      <c r="L3" s="254"/>
    </row>
    <row r="4" spans="1:12" x14ac:dyDescent="0.25">
      <c r="A4" s="254"/>
      <c r="B4" s="254"/>
      <c r="C4" s="254"/>
      <c r="D4" s="254"/>
      <c r="E4" s="254"/>
      <c r="F4" s="254"/>
      <c r="G4" s="254"/>
      <c r="H4" s="254"/>
      <c r="I4" s="254"/>
      <c r="J4" s="254"/>
      <c r="K4" s="254"/>
      <c r="L4" s="254"/>
    </row>
    <row r="5" spans="1:12" x14ac:dyDescent="0.25">
      <c r="A5" s="254"/>
      <c r="B5" s="254"/>
      <c r="C5" s="254"/>
      <c r="D5" s="254"/>
      <c r="E5" s="254"/>
      <c r="F5" s="254"/>
      <c r="G5" s="254"/>
      <c r="H5" s="254"/>
      <c r="I5" s="254"/>
      <c r="J5" s="254"/>
      <c r="K5" s="254"/>
      <c r="L5" s="254"/>
    </row>
    <row r="6" spans="1:12" ht="30" customHeight="1" x14ac:dyDescent="0.25">
      <c r="A6" s="258" t="s">
        <v>33</v>
      </c>
      <c r="B6" s="258"/>
      <c r="C6" s="258"/>
      <c r="D6" s="258"/>
      <c r="E6" s="258"/>
      <c r="F6" s="258"/>
      <c r="G6" s="258"/>
      <c r="H6" s="258"/>
      <c r="I6" s="258"/>
      <c r="J6" s="258"/>
      <c r="K6" s="258"/>
      <c r="L6" s="258"/>
    </row>
    <row r="7" spans="1:12" x14ac:dyDescent="0.25">
      <c r="A7" s="188"/>
      <c r="B7" s="188"/>
      <c r="C7" s="188"/>
      <c r="D7" s="188"/>
      <c r="E7" s="188"/>
      <c r="F7" s="188"/>
      <c r="G7" s="188"/>
      <c r="H7" s="188"/>
      <c r="I7" s="188"/>
      <c r="J7" s="188"/>
      <c r="K7" s="188"/>
      <c r="L7" s="188"/>
    </row>
    <row r="8" spans="1:12" ht="21" x14ac:dyDescent="0.25">
      <c r="A8" s="93" t="s">
        <v>34</v>
      </c>
      <c r="B8" s="94"/>
      <c r="C8" s="94"/>
      <c r="D8" s="94"/>
      <c r="E8" s="188"/>
      <c r="F8" s="188"/>
      <c r="G8" s="188"/>
      <c r="H8" s="188"/>
      <c r="I8" s="188"/>
      <c r="J8" s="188"/>
      <c r="K8" s="188"/>
      <c r="L8" s="188"/>
    </row>
    <row r="9" spans="1:12" ht="15.75" thickBot="1" x14ac:dyDescent="0.3"/>
    <row r="10" spans="1:12" ht="36" customHeight="1" x14ac:dyDescent="0.25">
      <c r="A10" s="88"/>
      <c r="B10" s="116" t="s">
        <v>35</v>
      </c>
      <c r="C10" s="89" t="s">
        <v>36</v>
      </c>
      <c r="D10" s="97" t="s">
        <v>37</v>
      </c>
      <c r="E10" s="117" t="s">
        <v>38</v>
      </c>
    </row>
    <row r="11" spans="1:12" ht="45" x14ac:dyDescent="0.25">
      <c r="A11" s="151" t="s">
        <v>39</v>
      </c>
      <c r="B11" s="86">
        <f ca="1">SUM('Opción A Selección de modelo de'!I4:I19)-SUMIF('Opción A Selección de modelo de'!L4:L33,"_3.",'Opción A Selección de modelo de'!I4:I19)-SUMIF('Opción A Selección de modelo de'!L4:L33,"_4.",'Opción A Selección de modelo de'!I4:I19)</f>
        <v>0</v>
      </c>
      <c r="C11" s="86">
        <f ca="1">SUM('Opción B Selección de modelo de'!I4:I19)-SUMIF('Opción B Selección de modelo de'!L4:L34,"_3.",'Opción B Selección de modelo de'!I4:I19)-SUMIF('Opción B Selección de modelo de'!L4:L34,"_4.",'Opción B Selección de modelo de'!I4:I19)</f>
        <v>0</v>
      </c>
      <c r="D11" s="95">
        <f ca="1">SUM('Opción C Selección modelo CCE'!I4:I19)-SUMIF('Opción C Selección modelo CCE'!L4:L34,"_3.",'Opción C Selección modelo CCE'!I4:I19)-SUMIF('Opción C Selección modelo CCE'!L4:L34,"_4.",'Opción C Selección modelo CCE'!I4:I19)</f>
        <v>0</v>
      </c>
      <c r="E11" s="255"/>
    </row>
    <row r="12" spans="1:12" ht="39.75" customHeight="1" x14ac:dyDescent="0.25">
      <c r="A12" s="162" t="s">
        <v>40</v>
      </c>
      <c r="B12" s="160">
        <f ca="1">SUMIF('Opción A Selección de modelo de'!L4:L33,"_4.",'Opción A Selección de modelo de'!I4:I19)</f>
        <v>0</v>
      </c>
      <c r="C12" s="160">
        <f ca="1">SUMIF('Opción B Selección de modelo de'!L4:L34,"_4.",'Opción B Selección de modelo de'!I4:I19)</f>
        <v>0</v>
      </c>
      <c r="D12" s="161">
        <f ca="1">SUMIF('Opción C Selección modelo CCE'!L4:L34,"_4.",'Opción C Selección modelo CCE'!I4:I19)</f>
        <v>0</v>
      </c>
      <c r="E12" s="256"/>
    </row>
    <row r="13" spans="1:12" ht="39.75" customHeight="1" x14ac:dyDescent="0.25">
      <c r="A13" s="162" t="s">
        <v>41</v>
      </c>
      <c r="B13" s="160">
        <f ca="1">SUMIF('Opción A Selección de modelo de'!L4:L33,"_3.",'Opción A Selección de modelo de'!I5:I19)</f>
        <v>0</v>
      </c>
      <c r="C13" s="160">
        <f ca="1">SUMIF('Opción B Selección de modelo de'!L4:L34,"_3.",'Opción B Selección de modelo de'!I4:I19)</f>
        <v>0</v>
      </c>
      <c r="D13" s="161">
        <f ca="1">SUMIF('Opción C Selección modelo CCE'!L4:L34,"_3.",'Opción C Selección modelo CCE'!I4:I19)</f>
        <v>0</v>
      </c>
      <c r="E13" s="256"/>
    </row>
    <row r="14" spans="1:12" ht="39.75" customHeight="1" x14ac:dyDescent="0.25">
      <c r="A14" s="162" t="s">
        <v>42</v>
      </c>
      <c r="B14" s="167">
        <f>'Opción A Selección de modelo de'!I52+'Opción A Selección de modelo de'!I54</f>
        <v>0</v>
      </c>
      <c r="C14" s="166">
        <f>'Opción B Selección de modelo de'!I52+'Opción B Selección de modelo de'!I54</f>
        <v>0</v>
      </c>
      <c r="D14" s="165">
        <f>'Opción C Selección modelo CCE'!I52+'Opción C Selección modelo CCE'!I54</f>
        <v>0</v>
      </c>
      <c r="E14" s="256"/>
    </row>
    <row r="15" spans="1:12" ht="31.5" customHeight="1" thickBot="1" x14ac:dyDescent="0.3">
      <c r="A15" s="206" t="s">
        <v>43</v>
      </c>
      <c r="B15" s="164">
        <f>'Opción A Selección de modelo de'!I56</f>
        <v>0</v>
      </c>
      <c r="C15" s="90">
        <f>'Opción B Selección de modelo de'!I56</f>
        <v>0</v>
      </c>
      <c r="D15" s="96">
        <f>'Opción C Selección modelo CCE'!I56</f>
        <v>0</v>
      </c>
      <c r="E15" s="257"/>
    </row>
    <row r="16" spans="1:12" x14ac:dyDescent="0.25">
      <c r="A16" s="92" t="s">
        <v>44</v>
      </c>
      <c r="B16" s="91" t="str">
        <f ca="1">IF(ISERROR(MIN($B$15/($B$11+$B$12+$B$13),$C$15/($C$11+$C$12+$C$13),$D$15/($D$11+$D$12+$D$13))),"",IF(MIN($B$15/($B$11+$B$12+$B$13),$C$15/($C$11+$C$12+$C$13),$D$15/($D$11+$D$12+$D$13))=B15/(B11+B12+B13),"X",""))</f>
        <v/>
      </c>
      <c r="C16" s="91" t="str">
        <f ca="1">IF(ISERROR(MIN($B$15/($B$11+$B$12+$B$13),$C$15/($C$11+$C$12+$C$13),$D$15/($D$11+$D$12+$D$13))),"",IF(MIN($B$15/($B$11+$B$12+$B$13),$C$15/($C$11+$C$12+$C$13),$D$15/($D$11+$D$12+$D$13))=C15/(C11+C12+C13),"X",""))</f>
        <v/>
      </c>
      <c r="D16" s="91" t="str">
        <f ca="1">IF(ISERROR(MIN($B$15/($B$11+$B$12+$B$13),$C$15/($C$11+$C$12+$C$13),$D$15/($D$11+$D$12+$D$13))),"",IF(MIN($B$15/($B$11+$B$12+$B$13),$C$15/($C$11+$C$12+$C$13),$D$15/($D$11+$D$12+$D$13))=D15/(D11+D12+D13),"X",""))</f>
        <v/>
      </c>
    </row>
    <row r="17" spans="1:10" x14ac:dyDescent="0.25">
      <c r="A17" s="163" t="s">
        <v>45</v>
      </c>
    </row>
    <row r="18" spans="1:10" x14ac:dyDescent="0.25">
      <c r="A18" s="139" t="s">
        <v>46</v>
      </c>
    </row>
    <row r="19" spans="1:10" x14ac:dyDescent="0.25">
      <c r="A19" s="139"/>
    </row>
    <row r="20" spans="1:10" ht="15.75" thickBot="1" x14ac:dyDescent="0.3">
      <c r="A20" s="139"/>
    </row>
    <row r="21" spans="1:10" x14ac:dyDescent="0.25">
      <c r="A21" s="259" t="s">
        <v>47</v>
      </c>
      <c r="B21" s="260"/>
      <c r="C21" s="260"/>
      <c r="D21" s="260"/>
      <c r="E21" s="260"/>
      <c r="F21" s="260"/>
      <c r="G21" s="260"/>
      <c r="H21" s="260"/>
      <c r="I21" s="260"/>
      <c r="J21" s="261"/>
    </row>
    <row r="22" spans="1:10" ht="15.75" thickBot="1" x14ac:dyDescent="0.3">
      <c r="A22" s="262"/>
      <c r="B22" s="263"/>
      <c r="C22" s="263"/>
      <c r="D22" s="263"/>
      <c r="E22" s="263"/>
      <c r="F22" s="263"/>
      <c r="G22" s="263"/>
      <c r="H22" s="263"/>
      <c r="I22" s="263"/>
      <c r="J22" s="264"/>
    </row>
    <row r="23" spans="1:10" x14ac:dyDescent="0.25">
      <c r="A23" s="265"/>
      <c r="B23" s="266"/>
      <c r="C23" s="266"/>
      <c r="D23" s="266"/>
      <c r="E23" s="266"/>
      <c r="F23" s="266"/>
      <c r="G23" s="266"/>
      <c r="H23" s="266"/>
      <c r="I23" s="266"/>
      <c r="J23" s="267"/>
    </row>
    <row r="24" spans="1:10" x14ac:dyDescent="0.25">
      <c r="A24" s="268"/>
      <c r="B24" s="269"/>
      <c r="C24" s="269"/>
      <c r="D24" s="269"/>
      <c r="E24" s="269"/>
      <c r="F24" s="269"/>
      <c r="G24" s="269"/>
      <c r="H24" s="269"/>
      <c r="I24" s="269"/>
      <c r="J24" s="270"/>
    </row>
    <row r="25" spans="1:10" x14ac:dyDescent="0.25">
      <c r="A25" s="268"/>
      <c r="B25" s="269"/>
      <c r="C25" s="269"/>
      <c r="D25" s="269"/>
      <c r="E25" s="269"/>
      <c r="F25" s="269"/>
      <c r="G25" s="269"/>
      <c r="H25" s="269"/>
      <c r="I25" s="269"/>
      <c r="J25" s="270"/>
    </row>
    <row r="26" spans="1:10" x14ac:dyDescent="0.25">
      <c r="A26" s="268"/>
      <c r="B26" s="269"/>
      <c r="C26" s="269"/>
      <c r="D26" s="269"/>
      <c r="E26" s="269"/>
      <c r="F26" s="269"/>
      <c r="G26" s="269"/>
      <c r="H26" s="269"/>
      <c r="I26" s="269"/>
      <c r="J26" s="270"/>
    </row>
    <row r="27" spans="1:10" x14ac:dyDescent="0.25">
      <c r="A27" s="268"/>
      <c r="B27" s="269"/>
      <c r="C27" s="269"/>
      <c r="D27" s="269"/>
      <c r="E27" s="269"/>
      <c r="F27" s="269"/>
      <c r="G27" s="269"/>
      <c r="H27" s="269"/>
      <c r="I27" s="269"/>
      <c r="J27" s="270"/>
    </row>
    <row r="28" spans="1:10" x14ac:dyDescent="0.25">
      <c r="A28" s="268"/>
      <c r="B28" s="269"/>
      <c r="C28" s="269"/>
      <c r="D28" s="269"/>
      <c r="E28" s="269"/>
      <c r="F28" s="269"/>
      <c r="G28" s="269"/>
      <c r="H28" s="269"/>
      <c r="I28" s="269"/>
      <c r="J28" s="270"/>
    </row>
    <row r="29" spans="1:10" x14ac:dyDescent="0.25">
      <c r="A29" s="268"/>
      <c r="B29" s="269"/>
      <c r="C29" s="269"/>
      <c r="D29" s="269"/>
      <c r="E29" s="269"/>
      <c r="F29" s="269"/>
      <c r="G29" s="269"/>
      <c r="H29" s="269"/>
      <c r="I29" s="269"/>
      <c r="J29" s="270"/>
    </row>
    <row r="30" spans="1:10" x14ac:dyDescent="0.25">
      <c r="A30" s="268"/>
      <c r="B30" s="269"/>
      <c r="C30" s="269"/>
      <c r="D30" s="269"/>
      <c r="E30" s="269"/>
      <c r="F30" s="269"/>
      <c r="G30" s="269"/>
      <c r="H30" s="269"/>
      <c r="I30" s="269"/>
      <c r="J30" s="270"/>
    </row>
    <row r="31" spans="1:10" x14ac:dyDescent="0.25">
      <c r="A31" s="268"/>
      <c r="B31" s="269"/>
      <c r="C31" s="269"/>
      <c r="D31" s="269"/>
      <c r="E31" s="269"/>
      <c r="F31" s="269"/>
      <c r="G31" s="269"/>
      <c r="H31" s="269"/>
      <c r="I31" s="269"/>
      <c r="J31" s="270"/>
    </row>
    <row r="32" spans="1:10" x14ac:dyDescent="0.25">
      <c r="A32" s="268"/>
      <c r="B32" s="269"/>
      <c r="C32" s="269"/>
      <c r="D32" s="269"/>
      <c r="E32" s="269"/>
      <c r="F32" s="269"/>
      <c r="G32" s="269"/>
      <c r="H32" s="269"/>
      <c r="I32" s="269"/>
      <c r="J32" s="270"/>
    </row>
    <row r="33" spans="1:10" x14ac:dyDescent="0.25">
      <c r="A33" s="268"/>
      <c r="B33" s="269"/>
      <c r="C33" s="269"/>
      <c r="D33" s="269"/>
      <c r="E33" s="269"/>
      <c r="F33" s="269"/>
      <c r="G33" s="269"/>
      <c r="H33" s="269"/>
      <c r="I33" s="269"/>
      <c r="J33" s="270"/>
    </row>
    <row r="34" spans="1:10" x14ac:dyDescent="0.25">
      <c r="A34" s="268"/>
      <c r="B34" s="269"/>
      <c r="C34" s="269"/>
      <c r="D34" s="269"/>
      <c r="E34" s="269"/>
      <c r="F34" s="269"/>
      <c r="G34" s="269"/>
      <c r="H34" s="269"/>
      <c r="I34" s="269"/>
      <c r="J34" s="270"/>
    </row>
    <row r="35" spans="1:10" ht="15.75" thickBot="1" x14ac:dyDescent="0.3">
      <c r="A35" s="271"/>
      <c r="B35" s="272"/>
      <c r="C35" s="272"/>
      <c r="D35" s="272"/>
      <c r="E35" s="272"/>
      <c r="F35" s="272"/>
      <c r="G35" s="272"/>
      <c r="H35" s="272"/>
      <c r="I35" s="272"/>
      <c r="J35" s="273"/>
    </row>
  </sheetData>
  <sheetProtection algorithmName="SHA-512" hashValue="HoTtOtXoQQ0nDdJ5Q4pW1A++sgxQQi8dvCxVXxc3lJHhW+MJpYzr9tt7u1uHmCj4HBgypZ6MNMikXUpmKeNReg==" saltValue="PwX5QVk3CxDCr53mbPPUJg==" spinCount="100000" sheet="1" objects="1" scenarios="1"/>
  <mergeCells count="5">
    <mergeCell ref="A3:L5"/>
    <mergeCell ref="E11:E15"/>
    <mergeCell ref="A6:L6"/>
    <mergeCell ref="A21:J22"/>
    <mergeCell ref="A23:J35"/>
  </mergeCells>
  <conditionalFormatting sqref="B11:B15">
    <cfRule type="expression" dxfId="119" priority="4">
      <formula>$B$16="X"</formula>
    </cfRule>
  </conditionalFormatting>
  <conditionalFormatting sqref="C11:C15">
    <cfRule type="expression" dxfId="118" priority="3">
      <formula>$C$16="X"</formula>
    </cfRule>
  </conditionalFormatting>
  <conditionalFormatting sqref="D11:D15">
    <cfRule type="expression" dxfId="117" priority="2">
      <formula>$D$16="X"</formula>
    </cfRule>
  </conditionalFormatting>
  <conditionalFormatting sqref="C14">
    <cfRule type="expression" dxfId="116" priority="1">
      <formula>$B$16="X"</formula>
    </cfRule>
  </conditionalFormatting>
  <dataValidations count="1">
    <dataValidation type="list" allowBlank="1" showInputMessage="1" showErrorMessage="1" promptTitle="Select final option" prompt="Select final option" sqref="E11:E15" xr:uid="{00000000-0002-0000-0100-000000000000}">
      <formula1>$B$10:$D$10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BX56"/>
  <sheetViews>
    <sheetView showGridLines="0" topLeftCell="A33" zoomScaleNormal="100" zoomScaleSheetLayoutView="100" workbookViewId="0">
      <selection activeCell="A37" sqref="A37:J45"/>
    </sheetView>
  </sheetViews>
  <sheetFormatPr defaultColWidth="0" defaultRowHeight="27" customHeight="1" x14ac:dyDescent="0.25"/>
  <cols>
    <col min="1" max="1" width="30.42578125" customWidth="1"/>
    <col min="2" max="2" width="19.85546875" customWidth="1"/>
    <col min="3"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140625" style="33" bestFit="1" customWidth="1"/>
    <col min="9" max="10" width="12.42578125" style="33" customWidth="1"/>
    <col min="11" max="12" width="9.140625" style="37" customWidth="1"/>
    <col min="13" max="76" width="0" hidden="1" customWidth="1"/>
    <col min="77" max="16384" width="9.140625" hidden="1"/>
  </cols>
  <sheetData>
    <row r="1" spans="1:12" s="70" customFormat="1" ht="16.5" customHeight="1" thickTop="1" thickBot="1" x14ac:dyDescent="0.3">
      <c r="A1" s="67"/>
      <c r="B1" s="68"/>
      <c r="C1" s="68"/>
      <c r="D1" s="68"/>
      <c r="E1" s="71"/>
      <c r="F1" s="71"/>
      <c r="G1" s="71"/>
      <c r="H1" s="71"/>
      <c r="I1" s="303" t="s">
        <v>48</v>
      </c>
      <c r="J1" s="304"/>
      <c r="K1" s="69"/>
      <c r="L1" s="69"/>
    </row>
    <row r="2" spans="1:12" s="6" customFormat="1" ht="60.75" customHeight="1" thickTop="1" x14ac:dyDescent="0.25">
      <c r="A2" s="7" t="s">
        <v>49</v>
      </c>
      <c r="B2" s="7" t="s">
        <v>50</v>
      </c>
      <c r="C2" s="7" t="s">
        <v>51</v>
      </c>
      <c r="D2" s="30" t="s">
        <v>52</v>
      </c>
      <c r="E2" s="77" t="s">
        <v>53</v>
      </c>
      <c r="F2" s="77" t="s">
        <v>54</v>
      </c>
      <c r="G2" s="77" t="s">
        <v>55</v>
      </c>
      <c r="H2" s="317" t="s">
        <v>56</v>
      </c>
      <c r="I2" s="197" t="s">
        <v>57</v>
      </c>
      <c r="J2" s="198" t="s">
        <v>58</v>
      </c>
      <c r="K2" s="157"/>
      <c r="L2" s="55"/>
    </row>
    <row r="3" spans="1:12" s="11" customFormat="1" ht="45" customHeight="1" x14ac:dyDescent="0.25">
      <c r="A3" s="9"/>
      <c r="B3" s="10" t="s">
        <v>59</v>
      </c>
      <c r="C3" s="9"/>
      <c r="D3" s="31"/>
      <c r="E3" s="31"/>
      <c r="F3" s="31"/>
      <c r="G3" s="80" t="s">
        <v>60</v>
      </c>
      <c r="H3" s="318"/>
      <c r="I3" s="199" t="s">
        <v>61</v>
      </c>
      <c r="J3" s="200"/>
      <c r="K3" s="56"/>
      <c r="L3" s="56"/>
    </row>
    <row r="4" spans="1:12" s="26" customFormat="1" ht="27" customHeight="1" x14ac:dyDescent="0.25">
      <c r="A4" s="41" t="s">
        <v>62</v>
      </c>
      <c r="B4" s="42"/>
      <c r="C4" s="29" t="str">
        <f>IFERROR(INDEX('Lista precios mod CCE especif.'!$A$3:$O$278,MATCH('Opción A Selección de modelo de'!$B4,'Lista precios mod CCE especif.'!$E$3:$E$278,0),MATCH('Opción A Selección de modelo de'!C$2,'Lista precios mod CCE especif.'!$A$3:$O$3,0)),"")</f>
        <v/>
      </c>
      <c r="D4" s="32" t="str">
        <f>IFERROR(INDEX('Lista precios mod CCE especif.'!$A$3:$O$278,MATCH('Opción A Selección de modelo de'!$B4,'Lista precios mod CCE especif.'!$E$3:$E$278,0),MATCH('Opción A Selección de modelo de'!D$2,'Lista precios mod CCE especif.'!$A$3:$O$3,0)),"")</f>
        <v/>
      </c>
      <c r="E4" s="32" t="str">
        <f>IFERROR(INDEX('Lista precios mod CCE especif.'!$A$3:$O$278,MATCH('Opción A Selección de modelo de'!$B4,'Lista precios mod CCE especif.'!$E$3:$E$278,0),MATCH('Opción A Selección de modelo de'!E$2,'Lista precios mod CCE especif.'!$A$3:$O$3,0)),"")</f>
        <v/>
      </c>
      <c r="F4" s="126" t="str">
        <f>IFERROR(INDEX('Lista precios mod CCE especif.'!$A$3:$O$278,MATCH('Opción A Selección de modelo de'!$B4,'Lista precios mod CCE especif.'!$E$3:$E$278,0),MATCH('Opción A Selección de modelo de'!F$2,'Lista precios mod CCE especif.'!$A$3:$O$3,0)),"")</f>
        <v/>
      </c>
      <c r="G4" s="54"/>
      <c r="H4" s="115" t="str">
        <f>IFERROR(IF(OR(EXACT(A4,'Lista precios mod CCE especif.'!$AB$14),EXACT(A4,'Lista precios mod CCE especif.'!$AB$16),EXACT(A4,'Lista precios mod CCE especif.'!$AB$17),EXACT(A4,'Lista precios mod CCE especif.'!$AB$18),EXACT(A4,'Lista precios mod CCE especif.'!$AB$19),EXACT(A4,'Lista precios mod CCE especif.'!$AB$20),EXACT(A4,'Lista precios mod CCE especif.'!$AB$21),EXACT(A4,'Lista precios mod CCE especif.'!$AB$22),EXACT(A4,'Lista precios mod CCE especif.'!$AB$23),EXACT(A4,'Lista precios mod CCE especif.'!$AB$24),EXACT(A4,'Lista precios mod CCE especif.'!$AB$25),EXACT(A4,'Lista precios mod CCE especif.'!$AB$26),EXACT(A4,'Lista precios mod CCE especif.'!$AB$27)),"N/A",G4+F4),"")</f>
        <v/>
      </c>
      <c r="I4" s="201"/>
      <c r="J4" s="202" t="str">
        <f t="shared" ref="J4" si="0">IFERROR(IF(H4="N/A",F4*I4,H4*I4),"")</f>
        <v/>
      </c>
      <c r="K4" s="57"/>
      <c r="L4" s="156" t="str">
        <f>LEFT(A4,3)</f>
        <v>_1.</v>
      </c>
    </row>
    <row r="5" spans="1:12" s="26" customFormat="1" ht="27" customHeight="1" x14ac:dyDescent="0.25">
      <c r="A5" s="41" t="s">
        <v>62</v>
      </c>
      <c r="B5" s="42"/>
      <c r="C5" s="29" t="str">
        <f>IFERROR(INDEX('Lista precios mod CCE especif.'!$A$3:$O$278,MATCH('Opción A Selección de modelo de'!$B5,'Lista precios mod CCE especif.'!$E$3:$E$278,0),MATCH('Opción A Selección de modelo de'!C$2,'Lista precios mod CCE especif.'!$A$3:$O$3,0)),"")</f>
        <v/>
      </c>
      <c r="D5" s="32" t="str">
        <f>IFERROR(INDEX('Lista precios mod CCE especif.'!$A$3:$O$278,MATCH('Opción A Selección de modelo de'!$B5,'Lista precios mod CCE especif.'!$E$3:$E$278,0),MATCH('Opción A Selección de modelo de'!D$2,'Lista precios mod CCE especif.'!$A$3:$O$3,0)),"")</f>
        <v/>
      </c>
      <c r="E5" s="32" t="str">
        <f>IFERROR(INDEX('Lista precios mod CCE especif.'!$A$3:$O$278,MATCH('Opción A Selección de modelo de'!$B5,'Lista precios mod CCE especif.'!$E$3:$E$278,0),MATCH('Opción A Selección de modelo de'!E$2,'Lista precios mod CCE especif.'!$A$3:$O$3,0)),"")</f>
        <v/>
      </c>
      <c r="F5" s="126" t="str">
        <f>IFERROR(INDEX('Lista precios mod CCE especif.'!$A$3:$O$278,MATCH('Opción A Selección de modelo de'!$B5,'Lista precios mod CCE especif.'!$E$3:$E$278,0),MATCH('Opción A Selección de modelo de'!F$2,'Lista precios mod CCE especif.'!$A$3:$O$3,0)),"")</f>
        <v/>
      </c>
      <c r="G5" s="54"/>
      <c r="H5" s="115" t="str">
        <f>IFERROR(IF(OR(EXACT(A5,'Lista precios mod CCE especif.'!$AB$14),EXACT(A5,'Lista precios mod CCE especif.'!$AB$16),EXACT(A5,'Lista precios mod CCE especif.'!$AB$17),EXACT(A5,'Lista precios mod CCE especif.'!$AB$18),EXACT(A5,'Lista precios mod CCE especif.'!$AB$19),EXACT(A5,'Lista precios mod CCE especif.'!$AB$20),EXACT(A5,'Lista precios mod CCE especif.'!$AB$21),EXACT(A5,'Lista precios mod CCE especif.'!$AB$22),EXACT(A5,'Lista precios mod CCE especif.'!$AB$23),EXACT(A5,'Lista precios mod CCE especif.'!$AB$24),EXACT(A5,'Lista precios mod CCE especif.'!$AB$25),EXACT(A5,'Lista precios mod CCE especif.'!$AB$26),EXACT(A5,'Lista precios mod CCE especif.'!$AB$27)),"N/A",G5+F5),"")</f>
        <v/>
      </c>
      <c r="I5" s="201"/>
      <c r="J5" s="202" t="str">
        <f t="shared" ref="J5:J33" si="1">IFERROR(IF(H5="N/A",F5*I5,H5*I5),"")</f>
        <v/>
      </c>
      <c r="K5" s="57"/>
      <c r="L5" s="156" t="str">
        <f t="shared" ref="L5:L34" si="2">LEFT(A5,3)</f>
        <v>_1.</v>
      </c>
    </row>
    <row r="6" spans="1:12" s="26" customFormat="1" ht="27" customHeight="1" x14ac:dyDescent="0.25">
      <c r="A6" s="41" t="s">
        <v>63</v>
      </c>
      <c r="B6" s="42"/>
      <c r="C6" s="29" t="str">
        <f>IFERROR(INDEX('Lista precios mod CCE especif.'!$A$3:$O$278,MATCH('Opción A Selección de modelo de'!$B6,'Lista precios mod CCE especif.'!$E$3:$E$278,0),MATCH('Opción A Selección de modelo de'!C$2,'Lista precios mod CCE especif.'!$A$3:$O$3,0)),"")</f>
        <v/>
      </c>
      <c r="D6" s="32" t="str">
        <f>IFERROR(INDEX('Lista precios mod CCE especif.'!$A$3:$O$278,MATCH('Opción A Selección de modelo de'!$B6,'Lista precios mod CCE especif.'!$E$3:$E$278,0),MATCH('Opción A Selección de modelo de'!D$2,'Lista precios mod CCE especif.'!$A$3:$O$3,0)),"")</f>
        <v/>
      </c>
      <c r="E6" s="32" t="str">
        <f>IFERROR(INDEX('Lista precios mod CCE especif.'!$A$3:$O$278,MATCH('Opción A Selección de modelo de'!$B6,'Lista precios mod CCE especif.'!$E$3:$E$278,0),MATCH('Opción A Selección de modelo de'!E$2,'Lista precios mod CCE especif.'!$A$3:$O$3,0)),"")</f>
        <v/>
      </c>
      <c r="F6" s="126" t="str">
        <f>IFERROR(INDEX('Lista precios mod CCE especif.'!$A$3:$O$278,MATCH('Opción A Selección de modelo de'!$B6,'Lista precios mod CCE especif.'!$E$3:$E$278,0),MATCH('Opción A Selección de modelo de'!F$2,'Lista precios mod CCE especif.'!$A$3:$O$3,0)),"")</f>
        <v/>
      </c>
      <c r="G6" s="54"/>
      <c r="H6" s="115" t="str">
        <f>IFERROR(IF(OR(EXACT(A6,'Lista precios mod CCE especif.'!$AB$14),EXACT(A6,'Lista precios mod CCE especif.'!$AB$16),EXACT(A6,'Lista precios mod CCE especif.'!$AB$17),EXACT(A6,'Lista precios mod CCE especif.'!$AB$18),EXACT(A6,'Lista precios mod CCE especif.'!$AB$19),EXACT(A6,'Lista precios mod CCE especif.'!$AB$20),EXACT(A6,'Lista precios mod CCE especif.'!$AB$21),EXACT(A6,'Lista precios mod CCE especif.'!$AB$22),EXACT(A6,'Lista precios mod CCE especif.'!$AB$23),EXACT(A6,'Lista precios mod CCE especif.'!$AB$24),EXACT(A6,'Lista precios mod CCE especif.'!$AB$25),EXACT(A6,'Lista precios mod CCE especif.'!$AB$26),EXACT(A6,'Lista precios mod CCE especif.'!$AB$27)),"N/A",G6+F6),"")</f>
        <v/>
      </c>
      <c r="I6" s="201"/>
      <c r="J6" s="202" t="str">
        <f t="shared" si="1"/>
        <v/>
      </c>
      <c r="K6" s="57"/>
      <c r="L6" s="156" t="str">
        <f t="shared" si="2"/>
        <v>_2.</v>
      </c>
    </row>
    <row r="7" spans="1:12" s="26" customFormat="1" ht="27" customHeight="1" x14ac:dyDescent="0.25">
      <c r="A7" s="41" t="s">
        <v>64</v>
      </c>
      <c r="B7" s="42"/>
      <c r="C7" s="29" t="str">
        <f>IFERROR(INDEX('Lista precios mod CCE especif.'!$A$3:$O$278,MATCH('Opción A Selección de modelo de'!$B7,'Lista precios mod CCE especif.'!$E$3:$E$278,0),MATCH('Opción A Selección de modelo de'!C$2,'Lista precios mod CCE especif.'!$A$3:$O$3,0)),"")</f>
        <v/>
      </c>
      <c r="D7" s="32" t="str">
        <f>IFERROR(INDEX('Lista precios mod CCE especif.'!$A$3:$O$278,MATCH('Opción A Selección de modelo de'!$B7,'Lista precios mod CCE especif.'!$E$3:$E$278,0),MATCH('Opción A Selección de modelo de'!D$2,'Lista precios mod CCE especif.'!$A$3:$O$3,0)),"")</f>
        <v/>
      </c>
      <c r="E7" s="32" t="str">
        <f>IFERROR(INDEX('Lista precios mod CCE especif.'!$A$3:$O$278,MATCH('Opción A Selección de modelo de'!$B7,'Lista precios mod CCE especif.'!$E$3:$E$278,0),MATCH('Opción A Selección de modelo de'!E$2,'Lista precios mod CCE especif.'!$A$3:$O$3,0)),"")</f>
        <v/>
      </c>
      <c r="F7" s="126" t="str">
        <f>IFERROR(INDEX('Lista precios mod CCE especif.'!$A$3:$O$278,MATCH('Opción A Selección de modelo de'!$B7,'Lista precios mod CCE especif.'!$E$3:$E$278,0),MATCH('Opción A Selección de modelo de'!F$2,'Lista precios mod CCE especif.'!$A$3:$O$3,0)),"")</f>
        <v/>
      </c>
      <c r="G7" s="54"/>
      <c r="H7" s="115" t="str">
        <f>IFERROR(IF(OR(EXACT(A7,'Lista precios mod CCE especif.'!$AB$14),EXACT(A7,'Lista precios mod CCE especif.'!$AB$16),EXACT(A7,'Lista precios mod CCE especif.'!$AB$17),EXACT(A7,'Lista precios mod CCE especif.'!$AB$18),EXACT(A7,'Lista precios mod CCE especif.'!$AB$19),EXACT(A7,'Lista precios mod CCE especif.'!$AB$20),EXACT(A7,'Lista precios mod CCE especif.'!$AB$21),EXACT(A7,'Lista precios mod CCE especif.'!$AB$22),EXACT(A7,'Lista precios mod CCE especif.'!$AB$23),EXACT(A7,'Lista precios mod CCE especif.'!$AB$24),EXACT(A7,'Lista precios mod CCE especif.'!$AB$25),EXACT(A7,'Lista precios mod CCE especif.'!$AB$26),EXACT(A7,'Lista precios mod CCE especif.'!$AB$27)),"N/A",G7+F7),"")</f>
        <v/>
      </c>
      <c r="I7" s="201"/>
      <c r="J7" s="202" t="str">
        <f t="shared" si="1"/>
        <v/>
      </c>
      <c r="K7" s="57"/>
      <c r="L7" s="156" t="str">
        <f t="shared" si="2"/>
        <v>_3.</v>
      </c>
    </row>
    <row r="8" spans="1:12" s="26" customFormat="1" ht="27" customHeight="1" x14ac:dyDescent="0.25">
      <c r="A8" s="41" t="s">
        <v>65</v>
      </c>
      <c r="B8" s="42"/>
      <c r="C8" s="29" t="str">
        <f>IFERROR(INDEX('Lista precios mod CCE especif.'!$A$3:$O$278,MATCH('Opción A Selección de modelo de'!$B8,'Lista precios mod CCE especif.'!$E$3:$E$278,0),MATCH('Opción A Selección de modelo de'!C$2,'Lista precios mod CCE especif.'!$A$3:$O$3,0)),"")</f>
        <v/>
      </c>
      <c r="D8" s="32" t="str">
        <f>IFERROR(INDEX('Lista precios mod CCE especif.'!$A$3:$O$278,MATCH('Opción A Selección de modelo de'!$B8,'Lista precios mod CCE especif.'!$E$3:$E$278,0),MATCH('Opción A Selección de modelo de'!D$2,'Lista precios mod CCE especif.'!$A$3:$O$3,0)),"")</f>
        <v/>
      </c>
      <c r="E8" s="32" t="str">
        <f>IFERROR(INDEX('Lista precios mod CCE especif.'!$A$3:$O$278,MATCH('Opción A Selección de modelo de'!$B8,'Lista precios mod CCE especif.'!$E$3:$E$278,0),MATCH('Opción A Selección de modelo de'!E$2,'Lista precios mod CCE especif.'!$A$3:$O$3,0)),"")</f>
        <v/>
      </c>
      <c r="F8" s="126" t="str">
        <f>IFERROR(INDEX('Lista precios mod CCE especif.'!$A$3:$O$278,MATCH('Opción A Selección de modelo de'!$B8,'Lista precios mod CCE especif.'!$E$3:$E$278,0),MATCH('Opción A Selección de modelo de'!F$2,'Lista precios mod CCE especif.'!$A$3:$O$3,0)),"")</f>
        <v/>
      </c>
      <c r="G8" s="54"/>
      <c r="H8" s="115" t="str">
        <f>IFERROR(IF(OR(EXACT(A8,'Lista precios mod CCE especif.'!$AB$14),EXACT(A8,'Lista precios mod CCE especif.'!$AB$16),EXACT(A8,'Lista precios mod CCE especif.'!$AB$17),EXACT(A8,'Lista precios mod CCE especif.'!$AB$18),EXACT(A8,'Lista precios mod CCE especif.'!$AB$19),EXACT(A8,'Lista precios mod CCE especif.'!$AB$20),EXACT(A8,'Lista precios mod CCE especif.'!$AB$21),EXACT(A8,'Lista precios mod CCE especif.'!$AB$22),EXACT(A8,'Lista precios mod CCE especif.'!$AB$23),EXACT(A8,'Lista precios mod CCE especif.'!$AB$24),EXACT(A8,'Lista precios mod CCE especif.'!$AB$25),EXACT(A8,'Lista precios mod CCE especif.'!$AB$26),EXACT(A8,'Lista precios mod CCE especif.'!$AB$27)),"N/A",G8+F8),"")</f>
        <v/>
      </c>
      <c r="I8" s="201"/>
      <c r="J8" s="202" t="str">
        <f t="shared" si="1"/>
        <v/>
      </c>
      <c r="K8" s="57"/>
      <c r="L8" s="156" t="str">
        <f t="shared" si="2"/>
        <v>_4.</v>
      </c>
    </row>
    <row r="9" spans="1:12" s="26" customFormat="1" ht="27" customHeight="1" x14ac:dyDescent="0.25">
      <c r="A9" s="43" t="s">
        <v>66</v>
      </c>
      <c r="B9" s="42"/>
      <c r="C9" s="29" t="str">
        <f>IFERROR(INDEX('Lista precios mod CCE especif.'!$A$3:$O$278,MATCH('Opción A Selección de modelo de'!$B9,'Lista precios mod CCE especif.'!$E$3:$E$278,0),MATCH('Opción A Selección de modelo de'!C$2,'Lista precios mod CCE especif.'!$A$3:$O$3,0)),"")</f>
        <v/>
      </c>
      <c r="D9" s="32" t="str">
        <f>IFERROR(INDEX('Lista precios mod CCE especif.'!$A$3:$O$278,MATCH('Opción A Selección de modelo de'!$B9,'Lista precios mod CCE especif.'!$E$3:$E$278,0),MATCH('Opción A Selección de modelo de'!D$2,'Lista precios mod CCE especif.'!$A$3:$O$3,0)),"")</f>
        <v/>
      </c>
      <c r="E9" s="32" t="str">
        <f>IFERROR(INDEX('Lista precios mod CCE especif.'!$A$3:$O$278,MATCH('Opción A Selección de modelo de'!$B9,'Lista precios mod CCE especif.'!$E$3:$E$278,0),MATCH('Opción A Selección de modelo de'!E$2,'Lista precios mod CCE especif.'!$A$3:$O$3,0)),"")</f>
        <v/>
      </c>
      <c r="F9" s="126" t="str">
        <f>IFERROR(INDEX('Lista precios mod CCE especif.'!$A$3:$O$278,MATCH('Opción A Selección de modelo de'!$B9,'Lista precios mod CCE especif.'!$E$3:$E$278,0),MATCH('Opción A Selección de modelo de'!F$2,'Lista precios mod CCE especif.'!$A$3:$O$3,0)),"")</f>
        <v/>
      </c>
      <c r="G9" s="54"/>
      <c r="H9" s="115" t="str">
        <f>IFERROR(IF(OR(EXACT(A9,'Lista precios mod CCE especif.'!$AB$14),EXACT(A9,'Lista precios mod CCE especif.'!$AB$16),EXACT(A9,'Lista precios mod CCE especif.'!$AB$17),EXACT(A9,'Lista precios mod CCE especif.'!$AB$18),EXACT(A9,'Lista precios mod CCE especif.'!$AB$19),EXACT(A9,'Lista precios mod CCE especif.'!$AB$20),EXACT(A9,'Lista precios mod CCE especif.'!$AB$21),EXACT(A9,'Lista precios mod CCE especif.'!$AB$22),EXACT(A9,'Lista precios mod CCE especif.'!$AB$23),EXACT(A9,'Lista precios mod CCE especif.'!$AB$24),EXACT(A9,'Lista precios mod CCE especif.'!$AB$25),EXACT(A9,'Lista precios mod CCE especif.'!$AB$26),EXACT(A9,'Lista precios mod CCE especif.'!$AB$27)),"N/A",G9+F9),"")</f>
        <v/>
      </c>
      <c r="I9" s="201"/>
      <c r="J9" s="202" t="str">
        <f t="shared" si="1"/>
        <v/>
      </c>
      <c r="K9" s="57"/>
      <c r="L9" s="156" t="str">
        <f t="shared" si="2"/>
        <v>_5.</v>
      </c>
    </row>
    <row r="10" spans="1:12" s="26" customFormat="1" ht="27" customHeight="1" x14ac:dyDescent="0.25">
      <c r="A10" s="44" t="s">
        <v>67</v>
      </c>
      <c r="B10" s="42"/>
      <c r="C10" s="29" t="str">
        <f>IFERROR(INDEX('Lista precios mod CCE especif.'!$A$3:$O$278,MATCH('Opción A Selección de modelo de'!$B10,'Lista precios mod CCE especif.'!$E$3:$E$278,0),MATCH('Opción A Selección de modelo de'!C$2,'Lista precios mod CCE especif.'!$A$3:$O$3,0)),"")</f>
        <v/>
      </c>
      <c r="D10" s="32" t="str">
        <f>IFERROR(INDEX('Lista precios mod CCE especif.'!$A$3:$O$278,MATCH('Opción A Selección de modelo de'!$B10,'Lista precios mod CCE especif.'!$E$3:$E$278,0),MATCH('Opción A Selección de modelo de'!D$2,'Lista precios mod CCE especif.'!$A$3:$O$3,0)),"")</f>
        <v/>
      </c>
      <c r="E10" s="32" t="str">
        <f>IFERROR(INDEX('Lista precios mod CCE especif.'!$A$3:$O$278,MATCH('Opción A Selección de modelo de'!$B10,'Lista precios mod CCE especif.'!$E$3:$E$278,0),MATCH('Opción A Selección de modelo de'!E$2,'Lista precios mod CCE especif.'!$A$3:$O$3,0)),"")</f>
        <v/>
      </c>
      <c r="F10" s="126" t="str">
        <f>IFERROR(INDEX('Lista precios mod CCE especif.'!$A$3:$O$278,MATCH('Opción A Selección de modelo de'!$B10,'Lista precios mod CCE especif.'!$E$3:$E$278,0),MATCH('Opción A Selección de modelo de'!F$2,'Lista precios mod CCE especif.'!$A$3:$O$3,0)),"")</f>
        <v/>
      </c>
      <c r="G10" s="54"/>
      <c r="H10" s="115" t="str">
        <f>IFERROR(IF(OR(EXACT(A10,'Lista precios mod CCE especif.'!$AB$14),EXACT(A10,'Lista precios mod CCE especif.'!$AB$16),EXACT(A10,'Lista precios mod CCE especif.'!$AB$17),EXACT(A10,'Lista precios mod CCE especif.'!$AB$18),EXACT(A10,'Lista precios mod CCE especif.'!$AB$19),EXACT(A10,'Lista precios mod CCE especif.'!$AB$20),EXACT(A10,'Lista precios mod CCE especif.'!$AB$21),EXACT(A10,'Lista precios mod CCE especif.'!$AB$22),EXACT(A10,'Lista precios mod CCE especif.'!$AB$23),EXACT(A10,'Lista precios mod CCE especif.'!$AB$24),EXACT(A10,'Lista precios mod CCE especif.'!$AB$25),EXACT(A10,'Lista precios mod CCE especif.'!$AB$26),EXACT(A10,'Lista precios mod CCE especif.'!$AB$27)),"N/A",G10+F10),"")</f>
        <v/>
      </c>
      <c r="I10" s="201"/>
      <c r="J10" s="202" t="str">
        <f t="shared" si="1"/>
        <v/>
      </c>
      <c r="K10" s="57"/>
      <c r="L10" s="156" t="str">
        <f t="shared" si="2"/>
        <v>_6.</v>
      </c>
    </row>
    <row r="11" spans="1:12" s="26" customFormat="1" ht="27" customHeight="1" x14ac:dyDescent="0.25">
      <c r="A11" s="44" t="s">
        <v>67</v>
      </c>
      <c r="B11" s="42"/>
      <c r="C11" s="29" t="str">
        <f>IFERROR(INDEX('Lista precios mod CCE especif.'!$A$3:$O$278,MATCH('Opción A Selección de modelo de'!$B11,'Lista precios mod CCE especif.'!$E$3:$E$278,0),MATCH('Opción A Selección de modelo de'!C$2,'Lista precios mod CCE especif.'!$A$3:$O$3,0)),"")</f>
        <v/>
      </c>
      <c r="D11" s="32" t="str">
        <f>IFERROR(INDEX('Lista precios mod CCE especif.'!$A$3:$O$278,MATCH('Opción A Selección de modelo de'!$B11,'Lista precios mod CCE especif.'!$E$3:$E$278,0),MATCH('Opción A Selección de modelo de'!D$2,'Lista precios mod CCE especif.'!$A$3:$O$3,0)),"")</f>
        <v/>
      </c>
      <c r="E11" s="32" t="str">
        <f>IFERROR(INDEX('Lista precios mod CCE especif.'!$A$3:$O$278,MATCH('Opción A Selección de modelo de'!$B11,'Lista precios mod CCE especif.'!$E$3:$E$278,0),MATCH('Opción A Selección de modelo de'!E$2,'Lista precios mod CCE especif.'!$A$3:$O$3,0)),"")</f>
        <v/>
      </c>
      <c r="F11" s="126" t="str">
        <f>IFERROR(INDEX('Lista precios mod CCE especif.'!$A$3:$O$278,MATCH('Opción A Selección de modelo de'!$B11,'Lista precios mod CCE especif.'!$E$3:$E$278,0),MATCH('Opción A Selección de modelo de'!F$2,'Lista precios mod CCE especif.'!$A$3:$O$3,0)),"")</f>
        <v/>
      </c>
      <c r="G11" s="54"/>
      <c r="H11" s="115" t="str">
        <f>IFERROR(IF(OR(EXACT(A11,'Lista precios mod CCE especif.'!$AB$14),EXACT(A11,'Lista precios mod CCE especif.'!$AB$16),EXACT(A11,'Lista precios mod CCE especif.'!$AB$17),EXACT(A11,'Lista precios mod CCE especif.'!$AB$18),EXACT(A11,'Lista precios mod CCE especif.'!$AB$19),EXACT(A11,'Lista precios mod CCE especif.'!$AB$20),EXACT(A11,'Lista precios mod CCE especif.'!$AB$21),EXACT(A11,'Lista precios mod CCE especif.'!$AB$22),EXACT(A11,'Lista precios mod CCE especif.'!$AB$23),EXACT(A11,'Lista precios mod CCE especif.'!$AB$24),EXACT(A11,'Lista precios mod CCE especif.'!$AB$25),EXACT(A11,'Lista precios mod CCE especif.'!$AB$26),EXACT(A11,'Lista precios mod CCE especif.'!$AB$27)),"N/A",G11+F11),"")</f>
        <v/>
      </c>
      <c r="I11" s="201"/>
      <c r="J11" s="202" t="str">
        <f t="shared" si="1"/>
        <v/>
      </c>
      <c r="K11" s="57"/>
      <c r="L11" s="156" t="str">
        <f t="shared" si="2"/>
        <v>_6.</v>
      </c>
    </row>
    <row r="12" spans="1:12" s="26" customFormat="1" ht="27" customHeight="1" x14ac:dyDescent="0.25">
      <c r="A12" s="44" t="s">
        <v>68</v>
      </c>
      <c r="B12" s="42"/>
      <c r="C12" s="29" t="str">
        <f>IFERROR(INDEX('Lista precios mod CCE especif.'!$A$3:$O$278,MATCH('Opción A Selección de modelo de'!$B12,'Lista precios mod CCE especif.'!$E$3:$E$278,0),MATCH('Opción A Selección de modelo de'!C$2,'Lista precios mod CCE especif.'!$A$3:$O$3,0)),"")</f>
        <v/>
      </c>
      <c r="D12" s="32" t="str">
        <f>IFERROR(INDEX('Lista precios mod CCE especif.'!$A$3:$O$278,MATCH('Opción A Selección de modelo de'!$B12,'Lista precios mod CCE especif.'!$E$3:$E$278,0),MATCH('Opción A Selección de modelo de'!D$2,'Lista precios mod CCE especif.'!$A$3:$O$3,0)),"")</f>
        <v/>
      </c>
      <c r="E12" s="32" t="str">
        <f>IFERROR(INDEX('Lista precios mod CCE especif.'!$A$3:$O$278,MATCH('Opción A Selección de modelo de'!$B12,'Lista precios mod CCE especif.'!$E$3:$E$278,0),MATCH('Opción A Selección de modelo de'!E$2,'Lista precios mod CCE especif.'!$A$3:$O$3,0)),"")</f>
        <v/>
      </c>
      <c r="F12" s="126" t="str">
        <f>IFERROR(INDEX('Lista precios mod CCE especif.'!$A$3:$O$278,MATCH('Opción A Selección de modelo de'!$B12,'Lista precios mod CCE especif.'!$E$3:$E$278,0),MATCH('Opción A Selección de modelo de'!F$2,'Lista precios mod CCE especif.'!$A$3:$O$3,0)),"")</f>
        <v/>
      </c>
      <c r="G12" s="54"/>
      <c r="H12" s="115" t="str">
        <f>IFERROR(IF(OR(EXACT(A12,'Lista precios mod CCE especif.'!$AB$14),EXACT(A12,'Lista precios mod CCE especif.'!$AB$16),EXACT(A12,'Lista precios mod CCE especif.'!$AB$17),EXACT(A12,'Lista precios mod CCE especif.'!$AB$18),EXACT(A12,'Lista precios mod CCE especif.'!$AB$19),EXACT(A12,'Lista precios mod CCE especif.'!$AB$20),EXACT(A12,'Lista precios mod CCE especif.'!$AB$21),EXACT(A12,'Lista precios mod CCE especif.'!$AB$22),EXACT(A12,'Lista precios mod CCE especif.'!$AB$23),EXACT(A12,'Lista precios mod CCE especif.'!$AB$24),EXACT(A12,'Lista precios mod CCE especif.'!$AB$25),EXACT(A12,'Lista precios mod CCE especif.'!$AB$26),EXACT(A12,'Lista precios mod CCE especif.'!$AB$27)),"N/A",G12+F12),"")</f>
        <v/>
      </c>
      <c r="I12" s="201"/>
      <c r="J12" s="202" t="str">
        <f t="shared" si="1"/>
        <v/>
      </c>
      <c r="K12" s="57"/>
      <c r="L12" s="156" t="str">
        <f t="shared" si="2"/>
        <v>_7.</v>
      </c>
    </row>
    <row r="13" spans="1:12" s="26" customFormat="1" ht="27" customHeight="1" x14ac:dyDescent="0.25">
      <c r="A13" s="45" t="s">
        <v>69</v>
      </c>
      <c r="B13" s="42"/>
      <c r="C13" s="29" t="str">
        <f>IFERROR(INDEX('Lista precios mod CCE especif.'!$A$3:$O$278,MATCH('Opción A Selección de modelo de'!$B13,'Lista precios mod CCE especif.'!$E$3:$E$278,0),MATCH('Opción A Selección de modelo de'!C$2,'Lista precios mod CCE especif.'!$A$3:$O$3,0)),"")</f>
        <v/>
      </c>
      <c r="D13" s="32" t="str">
        <f>IFERROR(INDEX('Lista precios mod CCE especif.'!$A$3:$O$278,MATCH('Opción A Selección de modelo de'!$B13,'Lista precios mod CCE especif.'!$E$3:$E$278,0),MATCH('Opción A Selección de modelo de'!D$2,'Lista precios mod CCE especif.'!$A$3:$O$3,0)),"")</f>
        <v/>
      </c>
      <c r="E13" s="32" t="str">
        <f>IFERROR(INDEX('Lista precios mod CCE especif.'!$A$3:$O$278,MATCH('Opción A Selección de modelo de'!$B13,'Lista precios mod CCE especif.'!$E$3:$E$278,0),MATCH('Opción A Selección de modelo de'!E$2,'Lista precios mod CCE especif.'!$A$3:$O$3,0)),"")</f>
        <v/>
      </c>
      <c r="F13" s="126" t="str">
        <f>IFERROR(INDEX('Lista precios mod CCE especif.'!$A$3:$O$278,MATCH('Opción A Selección de modelo de'!$B13,'Lista precios mod CCE especif.'!$E$3:$E$278,0),MATCH('Opción A Selección de modelo de'!F$2,'Lista precios mod CCE especif.'!$A$3:$O$3,0)),"")</f>
        <v/>
      </c>
      <c r="G13" s="54"/>
      <c r="H13" s="115" t="str">
        <f>IFERROR(IF(OR(EXACT(A13,'Lista precios mod CCE especif.'!$AB$14),EXACT(A13,'Lista precios mod CCE especif.'!$AB$16),EXACT(A13,'Lista precios mod CCE especif.'!$AB$17),EXACT(A13,'Lista precios mod CCE especif.'!$AB$18),EXACT(A13,'Lista precios mod CCE especif.'!$AB$19),EXACT(A13,'Lista precios mod CCE especif.'!$AB$20),EXACT(A13,'Lista precios mod CCE especif.'!$AB$21),EXACT(A13,'Lista precios mod CCE especif.'!$AB$22),EXACT(A13,'Lista precios mod CCE especif.'!$AB$23),EXACT(A13,'Lista precios mod CCE especif.'!$AB$24),EXACT(A13,'Lista precios mod CCE especif.'!$AB$25),EXACT(A13,'Lista precios mod CCE especif.'!$AB$26),EXACT(A13,'Lista precios mod CCE especif.'!$AB$27)),"N/A",G13+F13),"")</f>
        <v/>
      </c>
      <c r="I13" s="201"/>
      <c r="J13" s="202" t="str">
        <f t="shared" si="1"/>
        <v/>
      </c>
      <c r="K13" s="57"/>
      <c r="L13" s="156" t="str">
        <f t="shared" si="2"/>
        <v>_8.</v>
      </c>
    </row>
    <row r="14" spans="1:12" s="26" customFormat="1" ht="27" customHeight="1" x14ac:dyDescent="0.25">
      <c r="A14" s="46" t="s">
        <v>69</v>
      </c>
      <c r="B14" s="42"/>
      <c r="C14" s="29" t="str">
        <f>IFERROR(INDEX('Lista precios mod CCE especif.'!$A$3:$O$278,MATCH('Opción A Selección de modelo de'!$B14,'Lista precios mod CCE especif.'!$E$3:$E$278,0),MATCH('Opción A Selección de modelo de'!C$2,'Lista precios mod CCE especif.'!$A$3:$O$3,0)),"")</f>
        <v/>
      </c>
      <c r="D14" s="32" t="str">
        <f>IFERROR(INDEX('Lista precios mod CCE especif.'!$A$3:$O$278,MATCH('Opción A Selección de modelo de'!$B14,'Lista precios mod CCE especif.'!$E$3:$E$278,0),MATCH('Opción A Selección de modelo de'!D$2,'Lista precios mod CCE especif.'!$A$3:$O$3,0)),"")</f>
        <v/>
      </c>
      <c r="E14" s="32" t="str">
        <f>IFERROR(INDEX('Lista precios mod CCE especif.'!$A$3:$O$278,MATCH('Opción A Selección de modelo de'!$B14,'Lista precios mod CCE especif.'!$E$3:$E$278,0),MATCH('Opción A Selección de modelo de'!E$2,'Lista precios mod CCE especif.'!$A$3:$O$3,0)),"")</f>
        <v/>
      </c>
      <c r="F14" s="126" t="str">
        <f>IFERROR(INDEX('Lista precios mod CCE especif.'!$A$3:$O$278,MATCH('Opción A Selección de modelo de'!$B14,'Lista precios mod CCE especif.'!$E$3:$E$278,0),MATCH('Opción A Selección de modelo de'!F$2,'Lista precios mod CCE especif.'!$A$3:$O$3,0)),"")</f>
        <v/>
      </c>
      <c r="G14" s="54"/>
      <c r="H14" s="115" t="str">
        <f>IFERROR(IF(OR(EXACT(A14,'Lista precios mod CCE especif.'!$AB$14),EXACT(A14,'Lista precios mod CCE especif.'!$AB$16),EXACT(A14,'Lista precios mod CCE especif.'!$AB$17),EXACT(A14,'Lista precios mod CCE especif.'!$AB$18),EXACT(A14,'Lista precios mod CCE especif.'!$AB$19),EXACT(A14,'Lista precios mod CCE especif.'!$AB$20),EXACT(A14,'Lista precios mod CCE especif.'!$AB$21),EXACT(A14,'Lista precios mod CCE especif.'!$AB$22),EXACT(A14,'Lista precios mod CCE especif.'!$AB$23),EXACT(A14,'Lista precios mod CCE especif.'!$AB$24),EXACT(A14,'Lista precios mod CCE especif.'!$AB$25),EXACT(A14,'Lista precios mod CCE especif.'!$AB$26),EXACT(A14,'Lista precios mod CCE especif.'!$AB$27)),"N/A",G14+F14),"")</f>
        <v/>
      </c>
      <c r="I14" s="201"/>
      <c r="J14" s="202" t="str">
        <f t="shared" si="1"/>
        <v/>
      </c>
      <c r="K14" s="57"/>
      <c r="L14" s="156" t="str">
        <f t="shared" si="2"/>
        <v>_8.</v>
      </c>
    </row>
    <row r="15" spans="1:12" s="26" customFormat="1" ht="27" customHeight="1" x14ac:dyDescent="0.25">
      <c r="A15" s="46" t="s">
        <v>70</v>
      </c>
      <c r="B15" s="42"/>
      <c r="C15" s="29" t="str">
        <f>IFERROR(INDEX('Lista precios mod CCE especif.'!$A$3:$O$278,MATCH('Opción A Selección de modelo de'!$B15,'Lista precios mod CCE especif.'!$E$3:$E$278,0),MATCH('Opción A Selección de modelo de'!C$2,'Lista precios mod CCE especif.'!$A$3:$O$3,0)),"")</f>
        <v/>
      </c>
      <c r="D15" s="32" t="str">
        <f>IFERROR(INDEX('Lista precios mod CCE especif.'!$A$3:$O$278,MATCH('Opción A Selección de modelo de'!$B15,'Lista precios mod CCE especif.'!$E$3:$E$278,0),MATCH('Opción A Selección de modelo de'!D$2,'Lista precios mod CCE especif.'!$A$3:$O$3,0)),"")</f>
        <v/>
      </c>
      <c r="E15" s="32" t="str">
        <f>IFERROR(INDEX('Lista precios mod CCE especif.'!$A$3:$O$278,MATCH('Opción A Selección de modelo de'!$B15,'Lista precios mod CCE especif.'!$E$3:$E$278,0),MATCH('Opción A Selección de modelo de'!E$2,'Lista precios mod CCE especif.'!$A$3:$O$3,0)),"")</f>
        <v/>
      </c>
      <c r="F15" s="126" t="str">
        <f>IFERROR(INDEX('Lista precios mod CCE especif.'!$A$3:$O$278,MATCH('Opción A Selección de modelo de'!$B15,'Lista precios mod CCE especif.'!$E$3:$E$278,0),MATCH('Opción A Selección de modelo de'!F$2,'Lista precios mod CCE especif.'!$A$3:$O$3,0)),"")</f>
        <v/>
      </c>
      <c r="G15" s="54"/>
      <c r="H15" s="115" t="str">
        <f>IFERROR(IF(OR(EXACT(A15,'Lista precios mod CCE especif.'!$AB$14),EXACT(A15,'Lista precios mod CCE especif.'!$AB$16),EXACT(A15,'Lista precios mod CCE especif.'!$AB$17),EXACT(A15,'Lista precios mod CCE especif.'!$AB$18),EXACT(A15,'Lista precios mod CCE especif.'!$AB$19),EXACT(A15,'Lista precios mod CCE especif.'!$AB$20),EXACT(A15,'Lista precios mod CCE especif.'!$AB$21),EXACT(A15,'Lista precios mod CCE especif.'!$AB$22),EXACT(A15,'Lista precios mod CCE especif.'!$AB$23),EXACT(A15,'Lista precios mod CCE especif.'!$AB$24),EXACT(A15,'Lista precios mod CCE especif.'!$AB$25),EXACT(A15,'Lista precios mod CCE especif.'!$AB$26),EXACT(A15,'Lista precios mod CCE especif.'!$AB$27)),"N/A",G15+F15),"")</f>
        <v/>
      </c>
      <c r="I15" s="201"/>
      <c r="J15" s="202" t="str">
        <f t="shared" si="1"/>
        <v/>
      </c>
      <c r="K15" s="57"/>
      <c r="L15" s="156" t="str">
        <f t="shared" si="2"/>
        <v>_9.</v>
      </c>
    </row>
    <row r="16" spans="1:12" s="26" customFormat="1" ht="27" customHeight="1" x14ac:dyDescent="0.25">
      <c r="A16" s="46" t="s">
        <v>70</v>
      </c>
      <c r="B16" s="42"/>
      <c r="C16" s="29" t="str">
        <f>IFERROR(INDEX('Lista precios mod CCE especif.'!$A$3:$O$278,MATCH('Opción A Selección de modelo de'!$B16,'Lista precios mod CCE especif.'!$E$3:$E$278,0),MATCH('Opción A Selección de modelo de'!C$2,'Lista precios mod CCE especif.'!$A$3:$O$3,0)),"")</f>
        <v/>
      </c>
      <c r="D16" s="32" t="str">
        <f>IFERROR(INDEX('Lista precios mod CCE especif.'!$A$3:$O$278,MATCH('Opción A Selección de modelo de'!$B16,'Lista precios mod CCE especif.'!$E$3:$E$278,0),MATCH('Opción A Selección de modelo de'!D$2,'Lista precios mod CCE especif.'!$A$3:$O$3,0)),"")</f>
        <v/>
      </c>
      <c r="E16" s="32" t="str">
        <f>IFERROR(INDEX('Lista precios mod CCE especif.'!$A$3:$O$278,MATCH('Opción A Selección de modelo de'!$B16,'Lista precios mod CCE especif.'!$E$3:$E$278,0),MATCH('Opción A Selección de modelo de'!E$2,'Lista precios mod CCE especif.'!$A$3:$O$3,0)),"")</f>
        <v/>
      </c>
      <c r="F16" s="126" t="str">
        <f>IFERROR(INDEX('Lista precios mod CCE especif.'!$A$3:$O$278,MATCH('Opción A Selección de modelo de'!$B16,'Lista precios mod CCE especif.'!$E$3:$E$278,0),MATCH('Opción A Selección de modelo de'!F$2,'Lista precios mod CCE especif.'!$A$3:$O$3,0)),"")</f>
        <v/>
      </c>
      <c r="G16" s="54"/>
      <c r="H16" s="115" t="str">
        <f>IFERROR(IF(OR(EXACT(A16,'Lista precios mod CCE especif.'!$AB$14),EXACT(A16,'Lista precios mod CCE especif.'!$AB$16),EXACT(A16,'Lista precios mod CCE especif.'!$AB$17),EXACT(A16,'Lista precios mod CCE especif.'!$AB$18),EXACT(A16,'Lista precios mod CCE especif.'!$AB$19),EXACT(A16,'Lista precios mod CCE especif.'!$AB$20),EXACT(A16,'Lista precios mod CCE especif.'!$AB$21),EXACT(A16,'Lista precios mod CCE especif.'!$AB$22),EXACT(A16,'Lista precios mod CCE especif.'!$AB$23),EXACT(A16,'Lista precios mod CCE especif.'!$AB$24),EXACT(A16,'Lista precios mod CCE especif.'!$AB$25),EXACT(A16,'Lista precios mod CCE especif.'!$AB$26),EXACT(A16,'Lista precios mod CCE especif.'!$AB$27)),"N/A",G16+F16),"")</f>
        <v/>
      </c>
      <c r="I16" s="201"/>
      <c r="J16" s="202" t="str">
        <f t="shared" si="1"/>
        <v/>
      </c>
      <c r="K16" s="57"/>
      <c r="L16" s="156" t="str">
        <f t="shared" si="2"/>
        <v>_9.</v>
      </c>
    </row>
    <row r="17" spans="1:12" s="26" customFormat="1" ht="27" customHeight="1" x14ac:dyDescent="0.25">
      <c r="A17" s="46" t="s">
        <v>70</v>
      </c>
      <c r="B17" s="42"/>
      <c r="C17" s="29" t="str">
        <f>IFERROR(INDEX('Lista precios mod CCE especif.'!$A$3:$O$278,MATCH('Opción A Selección de modelo de'!$B17,'Lista precios mod CCE especif.'!$E$3:$E$278,0),MATCH('Opción A Selección de modelo de'!C$2,'Lista precios mod CCE especif.'!$A$3:$O$3,0)),"")</f>
        <v/>
      </c>
      <c r="D17" s="32" t="str">
        <f>IFERROR(INDEX('Lista precios mod CCE especif.'!$A$3:$O$278,MATCH('Opción A Selección de modelo de'!$B17,'Lista precios mod CCE especif.'!$E$3:$E$278,0),MATCH('Opción A Selección de modelo de'!D$2,'Lista precios mod CCE especif.'!$A$3:$O$3,0)),"")</f>
        <v/>
      </c>
      <c r="E17" s="32" t="str">
        <f>IFERROR(INDEX('Lista precios mod CCE especif.'!$A$3:$O$278,MATCH('Opción A Selección de modelo de'!$B17,'Lista precios mod CCE especif.'!$E$3:$E$278,0),MATCH('Opción A Selección de modelo de'!E$2,'Lista precios mod CCE especif.'!$A$3:$O$3,0)),"")</f>
        <v/>
      </c>
      <c r="F17" s="126" t="str">
        <f>IFERROR(INDEX('Lista precios mod CCE especif.'!$A$3:$O$278,MATCH('Opción A Selección de modelo de'!$B17,'Lista precios mod CCE especif.'!$E$3:$E$278,0),MATCH('Opción A Selección de modelo de'!F$2,'Lista precios mod CCE especif.'!$A$3:$O$3,0)),"")</f>
        <v/>
      </c>
      <c r="G17" s="54"/>
      <c r="H17" s="115" t="str">
        <f>IFERROR(IF(OR(EXACT(A17,'Lista precios mod CCE especif.'!$AB$14),EXACT(A17,'Lista precios mod CCE especif.'!$AB$16),EXACT(A17,'Lista precios mod CCE especif.'!$AB$17),EXACT(A17,'Lista precios mod CCE especif.'!$AB$18),EXACT(A17,'Lista precios mod CCE especif.'!$AB$19),EXACT(A17,'Lista precios mod CCE especif.'!$AB$20),EXACT(A17,'Lista precios mod CCE especif.'!$AB$21),EXACT(A17,'Lista precios mod CCE especif.'!$AB$22),EXACT(A17,'Lista precios mod CCE especif.'!$AB$23),EXACT(A17,'Lista precios mod CCE especif.'!$AB$24),EXACT(A17,'Lista precios mod CCE especif.'!$AB$25),EXACT(A17,'Lista precios mod CCE especif.'!$AB$26),EXACT(A17,'Lista precios mod CCE especif.'!$AB$27)),"N/A",G17+F17),"")</f>
        <v/>
      </c>
      <c r="I17" s="201"/>
      <c r="J17" s="202" t="str">
        <f t="shared" si="1"/>
        <v/>
      </c>
      <c r="K17" s="57"/>
      <c r="L17" s="156" t="str">
        <f t="shared" si="2"/>
        <v>_9.</v>
      </c>
    </row>
    <row r="18" spans="1:12" s="26" customFormat="1" ht="27" customHeight="1" x14ac:dyDescent="0.25">
      <c r="A18" s="47" t="s">
        <v>71</v>
      </c>
      <c r="B18" s="42"/>
      <c r="C18" s="29" t="str">
        <f>IFERROR(INDEX('Lista precios mod CCE especif.'!$A$3:$O$278,MATCH('Opción A Selección de modelo de'!$B18,'Lista precios mod CCE especif.'!$E$3:$E$278,0),MATCH('Opción A Selección de modelo de'!C$2,'Lista precios mod CCE especif.'!$A$3:$O$3,0)),"")</f>
        <v/>
      </c>
      <c r="D18" s="32" t="str">
        <f>IFERROR(INDEX('Lista precios mod CCE especif.'!$A$3:$O$278,MATCH('Opción A Selección de modelo de'!$B18,'Lista precios mod CCE especif.'!$E$3:$E$278,0),MATCH('Opción A Selección de modelo de'!D$2,'Lista precios mod CCE especif.'!$A$3:$O$3,0)),"")</f>
        <v/>
      </c>
      <c r="E18" s="32" t="str">
        <f>IFERROR(INDEX('Lista precios mod CCE especif.'!$A$3:$O$278,MATCH('Opción A Selección de modelo de'!$B18,'Lista precios mod CCE especif.'!$E$3:$E$278,0),MATCH('Opción A Selección de modelo de'!E$2,'Lista precios mod CCE especif.'!$A$3:$O$3,0)),"")</f>
        <v/>
      </c>
      <c r="F18" s="126" t="str">
        <f>IFERROR(INDEX('Lista precios mod CCE especif.'!$A$3:$O$278,MATCH('Opción A Selección de modelo de'!$B18,'Lista precios mod CCE especif.'!$E$3:$E$278,0),MATCH('Opción A Selección de modelo de'!F$2,'Lista precios mod CCE especif.'!$A$3:$O$3,0)),"")</f>
        <v/>
      </c>
      <c r="G18" s="54"/>
      <c r="H18" s="115" t="str">
        <f>IFERROR(IF(OR(EXACT(A18,'Lista precios mod CCE especif.'!$AB$14),EXACT(A18,'Lista precios mod CCE especif.'!$AB$16),EXACT(A18,'Lista precios mod CCE especif.'!$AB$17),EXACT(A18,'Lista precios mod CCE especif.'!$AB$18),EXACT(A18,'Lista precios mod CCE especif.'!$AB$19),EXACT(A18,'Lista precios mod CCE especif.'!$AB$20),EXACT(A18,'Lista precios mod CCE especif.'!$AB$21),EXACT(A18,'Lista precios mod CCE especif.'!$AB$22),EXACT(A18,'Lista precios mod CCE especif.'!$AB$23),EXACT(A18,'Lista precios mod CCE especif.'!$AB$24),EXACT(A18,'Lista precios mod CCE especif.'!$AB$25),EXACT(A18,'Lista precios mod CCE especif.'!$AB$26),EXACT(A18,'Lista precios mod CCE especif.'!$AB$27)),"N/A",G18+F18),"")</f>
        <v/>
      </c>
      <c r="I18" s="201"/>
      <c r="J18" s="202" t="str">
        <f t="shared" si="1"/>
        <v/>
      </c>
      <c r="K18" s="57"/>
      <c r="L18" s="156" t="str">
        <f t="shared" si="2"/>
        <v>_10</v>
      </c>
    </row>
    <row r="19" spans="1:12" s="26" customFormat="1" ht="27" customHeight="1" x14ac:dyDescent="0.25">
      <c r="A19" s="47" t="s">
        <v>71</v>
      </c>
      <c r="B19" s="42"/>
      <c r="C19" s="29" t="str">
        <f>IFERROR(INDEX('Lista precios mod CCE especif.'!$A$3:$O$278,MATCH('Opción A Selección de modelo de'!$B19,'Lista precios mod CCE especif.'!$E$3:$E$278,0),MATCH('Opción A Selección de modelo de'!C$2,'Lista precios mod CCE especif.'!$A$3:$O$3,0)),"")</f>
        <v/>
      </c>
      <c r="D19" s="32" t="str">
        <f>IFERROR(INDEX('Lista precios mod CCE especif.'!$A$3:$O$278,MATCH('Opción A Selección de modelo de'!$B19,'Lista precios mod CCE especif.'!$E$3:$E$278,0),MATCH('Opción A Selección de modelo de'!D$2,'Lista precios mod CCE especif.'!$A$3:$O$3,0)),"")</f>
        <v/>
      </c>
      <c r="E19" s="32" t="str">
        <f>IFERROR(INDEX('Lista precios mod CCE especif.'!$A$3:$O$278,MATCH('Opción A Selección de modelo de'!$B19,'Lista precios mod CCE especif.'!$E$3:$E$278,0),MATCH('Opción A Selección de modelo de'!E$2,'Lista precios mod CCE especif.'!$A$3:$O$3,0)),"")</f>
        <v/>
      </c>
      <c r="F19" s="126" t="str">
        <f>IFERROR(INDEX('Lista precios mod CCE especif.'!$A$3:$O$278,MATCH('Opción A Selección de modelo de'!$B19,'Lista precios mod CCE especif.'!$E$3:$E$278,0),MATCH('Opción A Selección de modelo de'!F$2,'Lista precios mod CCE especif.'!$A$3:$O$3,0)),"")</f>
        <v/>
      </c>
      <c r="G19" s="54"/>
      <c r="H19" s="115" t="str">
        <f>IFERROR(IF(OR(EXACT(A19,'Lista precios mod CCE especif.'!$AB$14),EXACT(A19,'Lista precios mod CCE especif.'!$AB$16),EXACT(A19,'Lista precios mod CCE especif.'!$AB$17),EXACT(A19,'Lista precios mod CCE especif.'!$AB$18),EXACT(A19,'Lista precios mod CCE especif.'!$AB$19),EXACT(A19,'Lista precios mod CCE especif.'!$AB$20),EXACT(A19,'Lista precios mod CCE especif.'!$AB$21),EXACT(A19,'Lista precios mod CCE especif.'!$AB$22),EXACT(A19,'Lista precios mod CCE especif.'!$AB$23),EXACT(A19,'Lista precios mod CCE especif.'!$AB$24),EXACT(A19,'Lista precios mod CCE especif.'!$AB$25),EXACT(A19,'Lista precios mod CCE especif.'!$AB$26),EXACT(A19,'Lista precios mod CCE especif.'!$AB$27)),"N/A",G19+F19),"")</f>
        <v/>
      </c>
      <c r="I19" s="201"/>
      <c r="J19" s="202" t="str">
        <f t="shared" si="1"/>
        <v/>
      </c>
      <c r="K19" s="57"/>
      <c r="L19" s="156" t="str">
        <f t="shared" si="2"/>
        <v>_10</v>
      </c>
    </row>
    <row r="20" spans="1:12" s="26" customFormat="1" ht="27" customHeight="1" x14ac:dyDescent="0.25">
      <c r="A20" s="48" t="s">
        <v>428</v>
      </c>
      <c r="B20" s="42"/>
      <c r="C20" s="29" t="str">
        <f>IFERROR(INDEX('Lista precios mod CCE especif.'!$A$3:$O$278,MATCH('Opción A Selección de modelo de'!$B20,'Lista precios mod CCE especif.'!$E$3:$E$278,0),MATCH('Opción A Selección de modelo de'!C$2,'Lista precios mod CCE especif.'!$A$3:$O$3,0)),"")</f>
        <v/>
      </c>
      <c r="D20" s="32" t="str">
        <f>IFERROR(INDEX('Lista precios mod CCE especif.'!$A$3:$O$278,MATCH('Opción A Selección de modelo de'!$B20,'Lista precios mod CCE especif.'!$E$3:$E$278,0),MATCH('Opción A Selección de modelo de'!D$2,'Lista precios mod CCE especif.'!$A$3:$O$3,0)),"")</f>
        <v/>
      </c>
      <c r="E20" s="32" t="str">
        <f>IFERROR(INDEX('Lista precios mod CCE especif.'!$A$3:$O$278,MATCH('Opción A Selección de modelo de'!$B20,'Lista precios mod CCE especif.'!$E$3:$E$278,0),MATCH('Opción A Selección de modelo de'!E$2,'Lista precios mod CCE especif.'!$A$3:$O$3,0)),"")</f>
        <v/>
      </c>
      <c r="F20" s="126" t="str">
        <f>IFERROR(INDEX('Lista precios mod CCE especif.'!$A$3:$O$278,MATCH('Opción A Selección de modelo de'!$B20,'Lista precios mod CCE especif.'!$E$3:$E$278,0),MATCH('Opción A Selección de modelo de'!F$2,'Lista precios mod CCE especif.'!$A$3:$O$3,0)),"")</f>
        <v/>
      </c>
      <c r="G20" s="174"/>
      <c r="H20" s="115" t="str">
        <f>IFERROR(IF(OR(EXACT(A20,'Lista precios mod CCE especif.'!$AB$14),EXACT(A20,'Lista precios mod CCE especif.'!$AB$16),EXACT(A20,'Lista precios mod CCE especif.'!$AB$17),EXACT(A20,'Lista precios mod CCE especif.'!$AB$18),EXACT(A20,'Lista precios mod CCE especif.'!$AB$19),EXACT(A20,'Lista precios mod CCE especif.'!$AB$20),EXACT(A20,'Lista precios mod CCE especif.'!$AB$21),EXACT(A20,'Lista precios mod CCE especif.'!$AB$22),EXACT(A20,'Lista precios mod CCE especif.'!$AB$23),EXACT(A20,'Lista precios mod CCE especif.'!$AB$24),EXACT(A20,'Lista precios mod CCE especif.'!$AB$25),EXACT(A20,'Lista precios mod CCE especif.'!$AB$26),EXACT(A20,'Lista precios mod CCE especif.'!$AB$27)),"N/A",G20+F20),"")</f>
        <v>N/A</v>
      </c>
      <c r="I20" s="201"/>
      <c r="J20" s="202" t="str">
        <f t="shared" si="1"/>
        <v/>
      </c>
      <c r="K20" s="57"/>
      <c r="L20" s="156" t="str">
        <f t="shared" si="2"/>
        <v>_11</v>
      </c>
    </row>
    <row r="21" spans="1:12" s="26" customFormat="1" ht="27" customHeight="1" x14ac:dyDescent="0.25">
      <c r="A21" s="49" t="s">
        <v>429</v>
      </c>
      <c r="B21" s="42"/>
      <c r="C21" s="29" t="str">
        <f>IFERROR(INDEX('Lista precios mod CCE especif.'!$A$3:$O$278,MATCH('Opción A Selección de modelo de'!$B21,'Lista precios mod CCE especif.'!$E$3:$E$278,0),MATCH('Opción A Selección de modelo de'!C$2,'Lista precios mod CCE especif.'!$A$3:$O$3,0)),"")</f>
        <v/>
      </c>
      <c r="D21" s="32" t="str">
        <f>IFERROR(INDEX('Lista precios mod CCE especif.'!$A$3:$O$278,MATCH('Opción A Selección de modelo de'!$B21,'Lista precios mod CCE especif.'!$E$3:$E$278,0),MATCH('Opción A Selección de modelo de'!D$2,'Lista precios mod CCE especif.'!$A$3:$O$3,0)),"")</f>
        <v/>
      </c>
      <c r="E21" s="32" t="str">
        <f>IFERROR(INDEX('Lista precios mod CCE especif.'!$A$3:$O$278,MATCH('Opción A Selección de modelo de'!$B21,'Lista precios mod CCE especif.'!$E$3:$E$278,0),MATCH('Opción A Selección de modelo de'!E$2,'Lista precios mod CCE especif.'!$A$3:$O$3,0)),"")</f>
        <v/>
      </c>
      <c r="F21" s="126" t="str">
        <f>IFERROR(INDEX('Lista precios mod CCE especif.'!$A$3:$O$278,MATCH('Opción A Selección de modelo de'!$B21,'Lista precios mod CCE especif.'!$E$3:$E$278,0),MATCH('Opción A Selección de modelo de'!F$2,'Lista precios mod CCE especif.'!$A$3:$O$3,0)),"")</f>
        <v/>
      </c>
      <c r="G21" s="54"/>
      <c r="H21" s="115" t="str">
        <f>IFERROR(IF(OR(EXACT(A21,'Lista precios mod CCE especif.'!$AB$14),EXACT(A21,'Lista precios mod CCE especif.'!$AB$16),EXACT(A21,'Lista precios mod CCE especif.'!$AB$17),EXACT(A21,'Lista precios mod CCE especif.'!$AB$18),EXACT(A21,'Lista precios mod CCE especif.'!$AB$19),EXACT(A21,'Lista precios mod CCE especif.'!$AB$20),EXACT(A21,'Lista precios mod CCE especif.'!$AB$21),EXACT(A21,'Lista precios mod CCE especif.'!$AB$22),EXACT(A21,'Lista precios mod CCE especif.'!$AB$23),EXACT(A21,'Lista precios mod CCE especif.'!$AB$24),EXACT(A21,'Lista precios mod CCE especif.'!$AB$25),EXACT(A21,'Lista precios mod CCE especif.'!$AB$26),EXACT(A21,'Lista precios mod CCE especif.'!$AB$27)),"N/A",G21+F21),"")</f>
        <v/>
      </c>
      <c r="I21" s="201"/>
      <c r="J21" s="202" t="str">
        <f t="shared" si="1"/>
        <v/>
      </c>
      <c r="K21" s="57"/>
      <c r="L21" s="156" t="str">
        <f t="shared" si="2"/>
        <v>_12</v>
      </c>
    </row>
    <row r="22" spans="1:12" s="26" customFormat="1" ht="27" customHeight="1" x14ac:dyDescent="0.25">
      <c r="A22" s="49" t="s">
        <v>429</v>
      </c>
      <c r="B22" s="42"/>
      <c r="C22" s="29" t="str">
        <f>IFERROR(INDEX('Lista precios mod CCE especif.'!$A$3:$O$278,MATCH('Opción A Selección de modelo de'!$B22,'Lista precios mod CCE especif.'!$E$3:$E$278,0),MATCH('Opción A Selección de modelo de'!C$2,'Lista precios mod CCE especif.'!$A$3:$O$3,0)),"")</f>
        <v/>
      </c>
      <c r="D22" s="32" t="str">
        <f>IFERROR(INDEX('Lista precios mod CCE especif.'!$A$3:$O$278,MATCH('Opción A Selección de modelo de'!$B22,'Lista precios mod CCE especif.'!$E$3:$E$278,0),MATCH('Opción A Selección de modelo de'!D$2,'Lista precios mod CCE especif.'!$A$3:$O$3,0)),"")</f>
        <v/>
      </c>
      <c r="E22" s="32" t="str">
        <f>IFERROR(INDEX('Lista precios mod CCE especif.'!$A$3:$O$278,MATCH('Opción A Selección de modelo de'!$B22,'Lista precios mod CCE especif.'!$E$3:$E$278,0),MATCH('Opción A Selección de modelo de'!E$2,'Lista precios mod CCE especif.'!$A$3:$O$3,0)),"")</f>
        <v/>
      </c>
      <c r="F22" s="126" t="str">
        <f>IFERROR(INDEX('Lista precios mod CCE especif.'!$A$3:$O$278,MATCH('Opción A Selección de modelo de'!$B22,'Lista precios mod CCE especif.'!$E$3:$E$278,0),MATCH('Opción A Selección de modelo de'!F$2,'Lista precios mod CCE especif.'!$A$3:$O$3,0)),"")</f>
        <v/>
      </c>
      <c r="G22" s="54"/>
      <c r="H22" s="115" t="str">
        <f>IFERROR(IF(OR(EXACT(A22,'Lista precios mod CCE especif.'!$AB$14),EXACT(A22,'Lista precios mod CCE especif.'!$AB$16),EXACT(A22,'Lista precios mod CCE especif.'!$AB$17),EXACT(A22,'Lista precios mod CCE especif.'!$AB$18),EXACT(A22,'Lista precios mod CCE especif.'!$AB$19),EXACT(A22,'Lista precios mod CCE especif.'!$AB$20),EXACT(A22,'Lista precios mod CCE especif.'!$AB$21),EXACT(A22,'Lista precios mod CCE especif.'!$AB$22),EXACT(A22,'Lista precios mod CCE especif.'!$AB$23),EXACT(A22,'Lista precios mod CCE especif.'!$AB$24),EXACT(A22,'Lista precios mod CCE especif.'!$AB$25),EXACT(A22,'Lista precios mod CCE especif.'!$AB$26),EXACT(A22,'Lista precios mod CCE especif.'!$AB$27)),"N/A",G22+F22),"")</f>
        <v/>
      </c>
      <c r="I22" s="201"/>
      <c r="J22" s="202" t="str">
        <f t="shared" si="1"/>
        <v/>
      </c>
      <c r="K22" s="57"/>
      <c r="L22" s="156" t="str">
        <f t="shared" si="2"/>
        <v>_12</v>
      </c>
    </row>
    <row r="23" spans="1:12" s="26" customFormat="1" ht="27" customHeight="1" x14ac:dyDescent="0.25">
      <c r="A23" s="49" t="s">
        <v>72</v>
      </c>
      <c r="B23" s="42"/>
      <c r="C23" s="29" t="str">
        <f>IFERROR(INDEX('Lista precios mod CCE especif.'!$A$3:$O$278,MATCH('Opción A Selección de modelo de'!$B23,'Lista precios mod CCE especif.'!$E$3:$E$278,0),MATCH('Opción A Selección de modelo de'!C$2,'Lista precios mod CCE especif.'!$A$3:$O$3,0)),"")</f>
        <v/>
      </c>
      <c r="D23" s="155" t="str">
        <f>IFERROR(INDEX('Lista precios mod CCE especif.'!$A$3:$O$278,MATCH('Opción A Selección de modelo de'!$B23,'Lista precios mod CCE especif.'!$E$3:$E$278,0),MATCH('Opción A Selección de modelo de'!D$2,'Lista precios mod CCE especif.'!$A$3:$O$3,0)),"")</f>
        <v/>
      </c>
      <c r="E23" s="32" t="str">
        <f>IFERROR(INDEX('Lista precios mod CCE especif.'!$A$3:$O$278,MATCH('Opción A Selección de modelo de'!$B23,'Lista precios mod CCE especif.'!$E$3:$E$278,0),MATCH('Opción A Selección de modelo de'!E$2,'Lista precios mod CCE especif.'!$A$3:$O$3,0)),"")</f>
        <v/>
      </c>
      <c r="F23" s="126" t="str">
        <f>IFERROR(INDEX('Lista precios mod CCE especif.'!$A$3:$O$278,MATCH('Opción A Selección de modelo de'!$B23,'Lista precios mod CCE especif.'!$E$3:$E$278,0),MATCH('Opción A Selección de modelo de'!F$2,'Lista precios mod CCE especif.'!$A$3:$O$3,0)),"")</f>
        <v/>
      </c>
      <c r="G23" s="174"/>
      <c r="H23" s="115" t="str">
        <f>IFERROR(IF(OR(EXACT(A23,'Lista precios mod CCE especif.'!$AB$14),EXACT(A23,'Lista precios mod CCE especif.'!$AB$16),EXACT(A23,'Lista precios mod CCE especif.'!$AB$17),EXACT(A23,'Lista precios mod CCE especif.'!$AB$18),EXACT(A23,'Lista precios mod CCE especif.'!$AB$19),EXACT(A23,'Lista precios mod CCE especif.'!$AB$20),EXACT(A23,'Lista precios mod CCE especif.'!$AB$21),EXACT(A23,'Lista precios mod CCE especif.'!$AB$22),EXACT(A23,'Lista precios mod CCE especif.'!$AB$23),EXACT(A23,'Lista precios mod CCE especif.'!$AB$24),EXACT(A23,'Lista precios mod CCE especif.'!$AB$25),EXACT(A23,'Lista precios mod CCE especif.'!$AB$26),EXACT(A23,'Lista precios mod CCE especif.'!$AB$27)),"N/A",G23+F23),"")</f>
        <v>N/A</v>
      </c>
      <c r="I23" s="201"/>
      <c r="J23" s="202" t="str">
        <f t="shared" si="1"/>
        <v/>
      </c>
      <c r="K23" s="57"/>
      <c r="L23" s="156" t="str">
        <f t="shared" si="2"/>
        <v>_13</v>
      </c>
    </row>
    <row r="24" spans="1:12" s="26" customFormat="1" ht="27" customHeight="1" x14ac:dyDescent="0.25">
      <c r="A24" s="49" t="s">
        <v>73</v>
      </c>
      <c r="B24" s="42"/>
      <c r="C24" s="29" t="str">
        <f>IFERROR(INDEX('Lista precios mod CCE especif.'!$A$3:$O$278,MATCH('Opción A Selección de modelo de'!$B24,'Lista precios mod CCE especif.'!$E$3:$E$278,0),MATCH('Opción A Selección de modelo de'!C$2,'Lista precios mod CCE especif.'!$A$3:$O$3,0)),"")</f>
        <v/>
      </c>
      <c r="D24" s="155" t="str">
        <f>IFERROR(INDEX('Lista precios mod CCE especif.'!$A$3:$O$278,MATCH('Opción A Selección de modelo de'!$B24,'Lista precios mod CCE especif.'!$E$3:$E$278,0),MATCH('Opción A Selección de modelo de'!D$2,'Lista precios mod CCE especif.'!$A$3:$O$3,0)),"")</f>
        <v/>
      </c>
      <c r="E24" s="32" t="str">
        <f>IFERROR(INDEX('Lista precios mod CCE especif.'!$A$3:$O$278,MATCH('Opción A Selección de modelo de'!$B24,'Lista precios mod CCE especif.'!$E$3:$E$278,0),MATCH('Opción A Selección de modelo de'!E$2,'Lista precios mod CCE especif.'!$A$3:$O$3,0)),"")</f>
        <v/>
      </c>
      <c r="F24" s="126" t="str">
        <f>IFERROR(INDEX('Lista precios mod CCE especif.'!$A$3:$O$278,MATCH('Opción A Selección de modelo de'!$B24,'Lista precios mod CCE especif.'!$E$3:$E$278,0),MATCH('Opción A Selección de modelo de'!F$2,'Lista precios mod CCE especif.'!$A$3:$O$3,0)),"")</f>
        <v/>
      </c>
      <c r="G24" s="174"/>
      <c r="H24" s="115" t="str">
        <f>IFERROR(IF(OR(EXACT(A24,'Lista precios mod CCE especif.'!$AB$14),EXACT(A24,'Lista precios mod CCE especif.'!$AB$16),EXACT(A24,'Lista precios mod CCE especif.'!$AB$17),EXACT(A24,'Lista precios mod CCE especif.'!$AB$18),EXACT(A24,'Lista precios mod CCE especif.'!$AB$19),EXACT(A24,'Lista precios mod CCE especif.'!$AB$20),EXACT(A24,'Lista precios mod CCE especif.'!$AB$21),EXACT(A24,'Lista precios mod CCE especif.'!$AB$22),EXACT(A24,'Lista precios mod CCE especif.'!$AB$23),EXACT(A24,'Lista precios mod CCE especif.'!$AB$24),EXACT(A24,'Lista precios mod CCE especif.'!$AB$25),EXACT(A24,'Lista precios mod CCE especif.'!$AB$26),EXACT(A24,'Lista precios mod CCE especif.'!$AB$27)),"N/A",G24+F24),"")</f>
        <v>N/A</v>
      </c>
      <c r="I24" s="201"/>
      <c r="J24" s="202" t="str">
        <f t="shared" si="1"/>
        <v/>
      </c>
      <c r="K24" s="57"/>
      <c r="L24" s="156" t="str">
        <f t="shared" si="2"/>
        <v>_14</v>
      </c>
    </row>
    <row r="25" spans="1:12" s="26" customFormat="1" ht="27" customHeight="1" x14ac:dyDescent="0.25">
      <c r="A25" s="50" t="s">
        <v>74</v>
      </c>
      <c r="B25" s="42"/>
      <c r="C25" s="29" t="str">
        <f>IFERROR(INDEX('Lista precios mod CCE especif.'!$A$3:$O$278,MATCH('Opción A Selección de modelo de'!$B25,'Lista precios mod CCE especif.'!$E$3:$E$278,0),MATCH('Opción A Selección de modelo de'!C$2,'Lista precios mod CCE especif.'!$A$3:$O$3,0)),"")</f>
        <v/>
      </c>
      <c r="D25" s="155" t="str">
        <f>IFERROR(INDEX('Lista precios mod CCE especif.'!$A$3:$O$278,MATCH('Opción A Selección de modelo de'!$B25,'Lista precios mod CCE especif.'!$E$3:$E$278,0),MATCH('Opción A Selección de modelo de'!D$2,'Lista precios mod CCE especif.'!$A$3:$O$3,0)),"")</f>
        <v/>
      </c>
      <c r="E25" s="32" t="str">
        <f>IFERROR(INDEX('Lista precios mod CCE especif.'!$A$3:$O$278,MATCH('Opción A Selección de modelo de'!$B25,'Lista precios mod CCE especif.'!$E$3:$E$278,0),MATCH('Opción A Selección de modelo de'!E$2,'Lista precios mod CCE especif.'!$A$3:$O$3,0)),"")</f>
        <v/>
      </c>
      <c r="F25" s="126" t="str">
        <f>IFERROR(INDEX('Lista precios mod CCE especif.'!$A$3:$O$278,MATCH('Opción A Selección de modelo de'!$B25,'Lista precios mod CCE especif.'!$E$3:$E$278,0),MATCH('Opción A Selección de modelo de'!F$2,'Lista precios mod CCE especif.'!$A$3:$O$3,0)),"")</f>
        <v/>
      </c>
      <c r="G25" s="174"/>
      <c r="H25" s="115" t="str">
        <f>IFERROR(IF(OR(EXACT(A25,'Lista precios mod CCE especif.'!$AB$14),EXACT(A25,'Lista precios mod CCE especif.'!$AB$16),EXACT(A25,'Lista precios mod CCE especif.'!$AB$17),EXACT(A25,'Lista precios mod CCE especif.'!$AB$18),EXACT(A25,'Lista precios mod CCE especif.'!$AB$19),EXACT(A25,'Lista precios mod CCE especif.'!$AB$20),EXACT(A25,'Lista precios mod CCE especif.'!$AB$21),EXACT(A25,'Lista precios mod CCE especif.'!$AB$22),EXACT(A25,'Lista precios mod CCE especif.'!$AB$23),EXACT(A25,'Lista precios mod CCE especif.'!$AB$24),EXACT(A25,'Lista precios mod CCE especif.'!$AB$25),EXACT(A25,'Lista precios mod CCE especif.'!$AB$26),EXACT(A25,'Lista precios mod CCE especif.'!$AB$27)),"N/A",G25+F25),"")</f>
        <v>N/A</v>
      </c>
      <c r="I25" s="201"/>
      <c r="J25" s="202" t="str">
        <f t="shared" si="1"/>
        <v/>
      </c>
      <c r="K25" s="57"/>
      <c r="L25" s="156" t="str">
        <f t="shared" si="2"/>
        <v>_15</v>
      </c>
    </row>
    <row r="26" spans="1:12" s="26" customFormat="1" ht="27" customHeight="1" x14ac:dyDescent="0.25">
      <c r="A26" s="50" t="s">
        <v>75</v>
      </c>
      <c r="B26" s="42"/>
      <c r="C26" s="29" t="str">
        <f>IFERROR(INDEX('Lista precios mod CCE especif.'!$A$3:$O$278,MATCH('Opción A Selección de modelo de'!$B26,'Lista precios mod CCE especif.'!$E$3:$E$278,0),MATCH('Opción A Selección de modelo de'!C$2,'Lista precios mod CCE especif.'!$A$3:$O$3,0)),"")</f>
        <v/>
      </c>
      <c r="D26" s="155" t="str">
        <f>IFERROR(INDEX('Lista precios mod CCE especif.'!$A$3:$O$278,MATCH('Opción A Selección de modelo de'!$B26,'Lista precios mod CCE especif.'!$E$3:$E$278,0),MATCH('Opción A Selección de modelo de'!D$2,'Lista precios mod CCE especif.'!$A$3:$O$3,0)),"")</f>
        <v/>
      </c>
      <c r="E26" s="32" t="str">
        <f>IFERROR(INDEX('Lista precios mod CCE especif.'!$A$3:$O$278,MATCH('Opción A Selección de modelo de'!$B26,'Lista precios mod CCE especif.'!$E$3:$E$278,0),MATCH('Opción A Selección de modelo de'!E$2,'Lista precios mod CCE especif.'!$A$3:$O$3,0)),"")</f>
        <v/>
      </c>
      <c r="F26" s="126" t="str">
        <f>IFERROR(INDEX('Lista precios mod CCE especif.'!$A$3:$O$278,MATCH('Opción A Selección de modelo de'!$B26,'Lista precios mod CCE especif.'!$E$3:$E$278,0),MATCH('Opción A Selección de modelo de'!F$2,'Lista precios mod CCE especif.'!$A$3:$O$3,0)),"")</f>
        <v/>
      </c>
      <c r="G26" s="174"/>
      <c r="H26" s="115" t="str">
        <f>IFERROR(IF(OR(EXACT(A26,'Lista precios mod CCE especif.'!$AB$14),EXACT(A26,'Lista precios mod CCE especif.'!$AB$16),EXACT(A26,'Lista precios mod CCE especif.'!$AB$17),EXACT(A26,'Lista precios mod CCE especif.'!$AB$18),EXACT(A26,'Lista precios mod CCE especif.'!$AB$19),EXACT(A26,'Lista precios mod CCE especif.'!$AB$20),EXACT(A26,'Lista precios mod CCE especif.'!$AB$21),EXACT(A26,'Lista precios mod CCE especif.'!$AB$22),EXACT(A26,'Lista precios mod CCE especif.'!$AB$23),EXACT(A26,'Lista precios mod CCE especif.'!$AB$24),EXACT(A26,'Lista precios mod CCE especif.'!$AB$25),EXACT(A26,'Lista precios mod CCE especif.'!$AB$26),EXACT(A26,'Lista precios mod CCE especif.'!$AB$27)),"N/A",G26+F26),"")</f>
        <v>N/A</v>
      </c>
      <c r="I26" s="201"/>
      <c r="J26" s="202" t="str">
        <f t="shared" si="1"/>
        <v/>
      </c>
      <c r="K26" s="57"/>
      <c r="L26" s="156" t="str">
        <f t="shared" si="2"/>
        <v>_16</v>
      </c>
    </row>
    <row r="27" spans="1:12" s="26" customFormat="1" ht="27" customHeight="1" x14ac:dyDescent="0.25">
      <c r="A27" s="51" t="s">
        <v>76</v>
      </c>
      <c r="B27" s="42"/>
      <c r="C27" s="29" t="str">
        <f>IFERROR(INDEX('Lista precios mod CCE especif.'!$A$3:$O$278,MATCH('Opción A Selección de modelo de'!$B27,'Lista precios mod CCE especif.'!$E$3:$E$278,0),MATCH('Opción A Selección de modelo de'!C$2,'Lista precios mod CCE especif.'!$A$3:$O$3,0)),"")</f>
        <v/>
      </c>
      <c r="D27" s="32" t="str">
        <f>IFERROR(INDEX('Lista precios mod CCE especif.'!$A$3:$O$278,MATCH('Opción A Selección de modelo de'!$B27,'Lista precios mod CCE especif.'!$E$3:$E$278,0),MATCH('Opción A Selección de modelo de'!D$2,'Lista precios mod CCE especif.'!$A$3:$O$3,0)),"")</f>
        <v/>
      </c>
      <c r="E27" s="32" t="str">
        <f>IFERROR(INDEX('Lista precios mod CCE especif.'!$A$3:$O$278,MATCH('Opción A Selección de modelo de'!$B27,'Lista precios mod CCE especif.'!$E$3:$E$278,0),MATCH('Opción A Selección de modelo de'!E$2,'Lista precios mod CCE especif.'!$A$3:$O$3,0)),"")</f>
        <v/>
      </c>
      <c r="F27" s="126" t="str">
        <f>IFERROR(INDEX('Lista precios mod CCE especif.'!$A$3:$O$278,MATCH('Opción A Selección de modelo de'!$B27,'Lista precios mod CCE especif.'!$E$3:$E$278,0),MATCH('Opción A Selección de modelo de'!F$2,'Lista precios mod CCE especif.'!$A$3:$O$3,0)),"")</f>
        <v/>
      </c>
      <c r="G27" s="174"/>
      <c r="H27" s="115" t="str">
        <f>IFERROR(IF(OR(EXACT(A27,'Lista precios mod CCE especif.'!$AB$14),EXACT(A27,'Lista precios mod CCE especif.'!$AB$16),EXACT(A27,'Lista precios mod CCE especif.'!$AB$17),EXACT(A27,'Lista precios mod CCE especif.'!$AB$18),EXACT(A27,'Lista precios mod CCE especif.'!$AB$19),EXACT(A27,'Lista precios mod CCE especif.'!$AB$20),EXACT(A27,'Lista precios mod CCE especif.'!$AB$21),EXACT(A27,'Lista precios mod CCE especif.'!$AB$22),EXACT(A27,'Lista precios mod CCE especif.'!$AB$23),EXACT(A27,'Lista precios mod CCE especif.'!$AB$24),EXACT(A27,'Lista precios mod CCE especif.'!$AB$25),EXACT(A27,'Lista precios mod CCE especif.'!$AB$26),EXACT(A27,'Lista precios mod CCE especif.'!$AB$27)),"N/A",G27+F27),"")</f>
        <v>N/A</v>
      </c>
      <c r="I27" s="201"/>
      <c r="J27" s="202" t="str">
        <f t="shared" si="1"/>
        <v/>
      </c>
      <c r="K27" s="57"/>
      <c r="L27" s="156" t="str">
        <f t="shared" si="2"/>
        <v>_17</v>
      </c>
    </row>
    <row r="28" spans="1:12" s="26" customFormat="1" ht="27" customHeight="1" x14ac:dyDescent="0.25">
      <c r="A28" s="52" t="s">
        <v>77</v>
      </c>
      <c r="B28" s="42"/>
      <c r="C28" s="29" t="str">
        <f>IFERROR(INDEX('Lista precios mod CCE especif.'!$A$3:$O$278,MATCH('Opción A Selección de modelo de'!$B28,'Lista precios mod CCE especif.'!$E$3:$E$278,0),MATCH('Opción A Selección de modelo de'!C$2,'Lista precios mod CCE especif.'!$A$3:$O$3,0)),"")</f>
        <v/>
      </c>
      <c r="D28" s="32" t="str">
        <f>IFERROR(INDEX('Lista precios mod CCE especif.'!$A$3:$O$278,MATCH('Opción A Selección de modelo de'!$B28,'Lista precios mod CCE especif.'!$E$3:$E$278,0),MATCH('Opción A Selección de modelo de'!D$2,'Lista precios mod CCE especif.'!$A$3:$O$3,0)),"")</f>
        <v/>
      </c>
      <c r="E28" s="32" t="str">
        <f>IFERROR(INDEX('Lista precios mod CCE especif.'!$A$3:$O$278,MATCH('Opción A Selección de modelo de'!$B28,'Lista precios mod CCE especif.'!$E$3:$E$278,0),MATCH('Opción A Selección de modelo de'!E$2,'Lista precios mod CCE especif.'!$A$3:$O$3,0)),"")</f>
        <v/>
      </c>
      <c r="F28" s="207" t="str">
        <f>IFERROR(INDEX('Lista precios mod CCE especif.'!$A$3:$O$278,MATCH('Opción A Selección de modelo de'!$B28,'Lista precios mod CCE especif.'!$E$3:$E$278,0),MATCH('Opción A Selección de modelo de'!F$2,'Lista precios mod CCE especif.'!$A$3:$O$3,0)),"")</f>
        <v/>
      </c>
      <c r="G28" s="174"/>
      <c r="H28" s="115" t="str">
        <f>IFERROR(IF(OR(EXACT(A28,'Lista precios mod CCE especif.'!$AB$14),EXACT(A28,'Lista precios mod CCE especif.'!$AB$16),EXACT(A28,'Lista precios mod CCE especif.'!$AB$17),EXACT(A28,'Lista precios mod CCE especif.'!$AB$18),EXACT(A28,'Lista precios mod CCE especif.'!$AB$19),EXACT(A28,'Lista precios mod CCE especif.'!$AB$20),EXACT(A28,'Lista precios mod CCE especif.'!$AB$21),EXACT(A28,'Lista precios mod CCE especif.'!$AB$22),EXACT(A28,'Lista precios mod CCE especif.'!$AB$23),EXACT(A28,'Lista precios mod CCE especif.'!$AB$24),EXACT(A28,'Lista precios mod CCE especif.'!$AB$25),EXACT(A28,'Lista precios mod CCE especif.'!$AB$26),EXACT(A28,'Lista precios mod CCE especif.'!$AB$27)),"N/A",G28+F28),"")</f>
        <v>N/A</v>
      </c>
      <c r="I28" s="201"/>
      <c r="J28" s="202" t="str">
        <f t="shared" si="1"/>
        <v/>
      </c>
      <c r="K28" s="57"/>
      <c r="L28" s="156" t="str">
        <f t="shared" si="2"/>
        <v>_18</v>
      </c>
    </row>
    <row r="29" spans="1:12" s="26" customFormat="1" ht="27" customHeight="1" x14ac:dyDescent="0.25">
      <c r="A29" s="53" t="s">
        <v>78</v>
      </c>
      <c r="B29" s="42"/>
      <c r="C29" s="29" t="str">
        <f>IFERROR(INDEX('Lista precios mod CCE especif.'!$A$3:$O$278,MATCH('Opción A Selección de modelo de'!$B29,'Lista precios mod CCE especif.'!$E$3:$E$278,0),MATCH('Opción A Selección de modelo de'!C$2,'Lista precios mod CCE especif.'!$A$3:$O$3,0)),"")</f>
        <v/>
      </c>
      <c r="D29" s="32" t="str">
        <f>IFERROR(INDEX('Lista precios mod CCE especif.'!$A$3:$O$278,MATCH('Opción A Selección de modelo de'!$B29,'Lista precios mod CCE especif.'!$E$3:$E$278,0),MATCH('Opción A Selección de modelo de'!D$2,'Lista precios mod CCE especif.'!$A$3:$O$3,0)),"")</f>
        <v/>
      </c>
      <c r="E29" s="32" t="str">
        <f>IFERROR(INDEX('Lista precios mod CCE especif.'!$A$3:$O$278,MATCH('Opción A Selección de modelo de'!$B29,'Lista precios mod CCE especif.'!$E$3:$E$278,0),MATCH('Opción A Selección de modelo de'!E$2,'Lista precios mod CCE especif.'!$A$3:$O$3,0)),"")</f>
        <v/>
      </c>
      <c r="F29" s="207" t="str">
        <f>IFERROR(INDEX('Lista precios mod CCE especif.'!$A$3:$O$278,MATCH('Opción A Selección de modelo de'!$B29,'Lista precios mod CCE especif.'!$E$3:$E$278,0),MATCH('Opción A Selección de modelo de'!F$2,'Lista precios mod CCE especif.'!$A$3:$O$3,0)),"")</f>
        <v/>
      </c>
      <c r="G29" s="174"/>
      <c r="H29" s="115" t="str">
        <f>IFERROR(IF(OR(EXACT(A29,'Lista precios mod CCE especif.'!$AB$14),EXACT(A29,'Lista precios mod CCE especif.'!$AB$16),EXACT(A29,'Lista precios mod CCE especif.'!$AB$17),EXACT(A29,'Lista precios mod CCE especif.'!$AB$18),EXACT(A29,'Lista precios mod CCE especif.'!$AB$19),EXACT(A29,'Lista precios mod CCE especif.'!$AB$20),EXACT(A29,'Lista precios mod CCE especif.'!$AB$21),EXACT(A29,'Lista precios mod CCE especif.'!$AB$22),EXACT(A29,'Lista precios mod CCE especif.'!$AB$23),EXACT(A29,'Lista precios mod CCE especif.'!$AB$24),EXACT(A29,'Lista precios mod CCE especif.'!$AB$25),EXACT(A29,'Lista precios mod CCE especif.'!$AB$26),EXACT(A29,'Lista precios mod CCE especif.'!$AB$27)),"N/A",G29+F29),"")</f>
        <v>N/A</v>
      </c>
      <c r="I29" s="201"/>
      <c r="J29" s="202" t="str">
        <f t="shared" si="1"/>
        <v/>
      </c>
      <c r="K29" s="57"/>
      <c r="L29" s="156" t="str">
        <f t="shared" si="2"/>
        <v>_19</v>
      </c>
    </row>
    <row r="30" spans="1:12" s="26" customFormat="1" ht="27" customHeight="1" x14ac:dyDescent="0.25">
      <c r="A30" s="53" t="s">
        <v>79</v>
      </c>
      <c r="B30" s="42"/>
      <c r="C30" s="29" t="str">
        <f>IFERROR(INDEX('Lista precios mod CCE especif.'!$A$3:$O$278,MATCH('Opción A Selección de modelo de'!$B30,'Lista precios mod CCE especif.'!$E$3:$E$278,0),MATCH('Opción A Selección de modelo de'!C$2,'Lista precios mod CCE especif.'!$A$3:$O$3,0)),"")</f>
        <v/>
      </c>
      <c r="D30" s="32" t="str">
        <f>IFERROR(INDEX('Lista precios mod CCE especif.'!$A$3:$O$278,MATCH('Opción A Selección de modelo de'!$B30,'Lista precios mod CCE especif.'!$E$3:$E$278,0),MATCH('Opción A Selección de modelo de'!D$2,'Lista precios mod CCE especif.'!$A$3:$O$3,0)),"")</f>
        <v/>
      </c>
      <c r="E30" s="32" t="str">
        <f>IFERROR(INDEX('Lista precios mod CCE especif.'!$A$3:$O$278,MATCH('Opción A Selección de modelo de'!$B30,'Lista precios mod CCE especif.'!$E$3:$E$278,0),MATCH('Opción A Selección de modelo de'!E$2,'Lista precios mod CCE especif.'!$A$3:$O$3,0)),"")</f>
        <v/>
      </c>
      <c r="F30" s="207" t="str">
        <f>IFERROR(INDEX('Lista precios mod CCE especif.'!$A$3:$O$278,MATCH('Opción A Selección de modelo de'!$B30,'Lista precios mod CCE especif.'!$E$3:$E$278,0),MATCH('Opción A Selección de modelo de'!F$2,'Lista precios mod CCE especif.'!$A$3:$O$3,0)),"")</f>
        <v/>
      </c>
      <c r="G30" s="174"/>
      <c r="H30" s="115" t="str">
        <f>IFERROR(IF(OR(EXACT(A30,'Lista precios mod CCE especif.'!$AB$14),EXACT(A30,'Lista precios mod CCE especif.'!$AB$16),EXACT(A30,'Lista precios mod CCE especif.'!$AB$17),EXACT(A30,'Lista precios mod CCE especif.'!$AB$18),EXACT(A30,'Lista precios mod CCE especif.'!$AB$19),EXACT(A30,'Lista precios mod CCE especif.'!$AB$20),EXACT(A30,'Lista precios mod CCE especif.'!$AB$21),EXACT(A30,'Lista precios mod CCE especif.'!$AB$22),EXACT(A30,'Lista precios mod CCE especif.'!$AB$23),EXACT(A30,'Lista precios mod CCE especif.'!$AB$24),EXACT(A30,'Lista precios mod CCE especif.'!$AB$25),EXACT(A30,'Lista precios mod CCE especif.'!$AB$26),EXACT(A30,'Lista precios mod CCE especif.'!$AB$27)),"N/A",G30+F30),"")</f>
        <v>N/A</v>
      </c>
      <c r="I30" s="201"/>
      <c r="J30" s="202" t="str">
        <f t="shared" si="1"/>
        <v/>
      </c>
      <c r="K30" s="57"/>
      <c r="L30" s="156" t="str">
        <f t="shared" si="2"/>
        <v>_20</v>
      </c>
    </row>
    <row r="31" spans="1:12" s="26" customFormat="1" ht="27" customHeight="1" x14ac:dyDescent="0.25">
      <c r="A31" s="118" t="s">
        <v>80</v>
      </c>
      <c r="B31" s="42"/>
      <c r="C31" s="29" t="str">
        <f>IFERROR(INDEX('Lista precios mod CCE especif.'!$A$3:$O$278,MATCH('Opción A Selección de modelo de'!$B31,'Lista precios mod CCE especif.'!$E$3:$E$278,0),MATCH('Opción A Selección de modelo de'!C$2,'Lista precios mod CCE especif.'!$A$3:$O$3,0)),"")</f>
        <v/>
      </c>
      <c r="D31" s="32" t="str">
        <f>IFERROR(INDEX('Lista precios mod CCE especif.'!$A$3:$O$278,MATCH('Opción A Selección de modelo de'!$B31,'Lista precios mod CCE especif.'!$E$3:$E$278,0),MATCH('Opción A Selección de modelo de'!D$2,'Lista precios mod CCE especif.'!$A$3:$O$3,0)),"")</f>
        <v/>
      </c>
      <c r="E31" s="32" t="str">
        <f>IFERROR(INDEX('Lista precios mod CCE especif.'!$A$3:$O$278,MATCH('Opción A Selección de modelo de'!$B31,'Lista precios mod CCE especif.'!$E$3:$E$278,0),MATCH('Opción A Selección de modelo de'!E$2,'Lista precios mod CCE especif.'!$A$3:$O$3,0)),"")</f>
        <v/>
      </c>
      <c r="F31" s="207" t="str">
        <f>IFERROR(INDEX('Lista precios mod CCE especif.'!$A$3:$O$278,MATCH('Opción A Selección de modelo de'!$B31,'Lista precios mod CCE especif.'!$E$3:$E$278,0),MATCH('Opción A Selección de modelo de'!F$2,'Lista precios mod CCE especif.'!$A$3:$O$3,0)),"")</f>
        <v/>
      </c>
      <c r="G31" s="174"/>
      <c r="H31" s="115" t="str">
        <f>IFERROR(IF(OR(EXACT(A31,'Lista precios mod CCE especif.'!$AB$14),EXACT(A31,'Lista precios mod CCE especif.'!$AB$16),EXACT(A31,'Lista precios mod CCE especif.'!$AB$17),EXACT(A31,'Lista precios mod CCE especif.'!$AB$18),EXACT(A31,'Lista precios mod CCE especif.'!$AB$19),EXACT(A31,'Lista precios mod CCE especif.'!$AB$20),EXACT(A31,'Lista precios mod CCE especif.'!$AB$21),EXACT(A31,'Lista precios mod CCE especif.'!$AB$22),EXACT(A31,'Lista precios mod CCE especif.'!$AB$23),EXACT(A31,'Lista precios mod CCE especif.'!$AB$24),EXACT(A31,'Lista precios mod CCE especif.'!$AB$25),EXACT(A31,'Lista precios mod CCE especif.'!$AB$26),EXACT(A31,'Lista precios mod CCE especif.'!$AB$27)),"N/A",G31+F31),"")</f>
        <v>N/A</v>
      </c>
      <c r="I31" s="201"/>
      <c r="J31" s="202" t="str">
        <f t="shared" si="1"/>
        <v/>
      </c>
      <c r="K31" s="57"/>
      <c r="L31" s="156" t="str">
        <f t="shared" si="2"/>
        <v>_21</v>
      </c>
    </row>
    <row r="32" spans="1:12" s="26" customFormat="1" ht="27" customHeight="1" x14ac:dyDescent="0.25">
      <c r="A32" s="118" t="s">
        <v>81</v>
      </c>
      <c r="B32" s="42"/>
      <c r="C32" s="29" t="str">
        <f>IFERROR(INDEX('Lista precios mod CCE especif.'!$A$3:$O$278,MATCH('Opción A Selección de modelo de'!$B32,'Lista precios mod CCE especif.'!$E$3:$E$278,0),MATCH('Opción A Selección de modelo de'!C$2,'Lista precios mod CCE especif.'!$A$3:$O$3,0)),"")</f>
        <v/>
      </c>
      <c r="D32" s="32" t="str">
        <f>IFERROR(INDEX('Lista precios mod CCE especif.'!$A$3:$O$278,MATCH('Opción A Selección de modelo de'!$B32,'Lista precios mod CCE especif.'!$E$3:$E$278,0),MATCH('Opción A Selección de modelo de'!D$2,'Lista precios mod CCE especif.'!$A$3:$O$3,0)),"")</f>
        <v/>
      </c>
      <c r="E32" s="32" t="str">
        <f>IFERROR(INDEX('Lista precios mod CCE especif.'!$A$3:$O$278,MATCH('Opción A Selección de modelo de'!$B32,'Lista precios mod CCE especif.'!$E$3:$E$278,0),MATCH('Opción A Selección de modelo de'!E$2,'Lista precios mod CCE especif.'!$A$3:$O$3,0)),"")</f>
        <v/>
      </c>
      <c r="F32" s="207" t="str">
        <f>IFERROR(INDEX('Lista precios mod CCE especif.'!$A$3:$O$278,MATCH('Opción A Selección de modelo de'!$B32,'Lista precios mod CCE especif.'!$E$3:$E$278,0),MATCH('Opción A Selección de modelo de'!F$2,'Lista precios mod CCE especif.'!$A$3:$O$3,0)),"")</f>
        <v/>
      </c>
      <c r="G32" s="174"/>
      <c r="H32" s="115" t="str">
        <f>IFERROR(IF(OR(EXACT(A32,'Lista precios mod CCE especif.'!$AB$14),EXACT(A32,'Lista precios mod CCE especif.'!$AB$16),EXACT(A32,'Lista precios mod CCE especif.'!$AB$17),EXACT(A32,'Lista precios mod CCE especif.'!$AB$18),EXACT(A32,'Lista precios mod CCE especif.'!$AB$19),EXACT(A32,'Lista precios mod CCE especif.'!$AB$20),EXACT(A32,'Lista precios mod CCE especif.'!$AB$21),EXACT(A32,'Lista precios mod CCE especif.'!$AB$22),EXACT(A32,'Lista precios mod CCE especif.'!$AB$23),EXACT(A32,'Lista precios mod CCE especif.'!$AB$24),EXACT(A32,'Lista precios mod CCE especif.'!$AB$25),EXACT(A32,'Lista precios mod CCE especif.'!$AB$26),EXACT(A32,'Lista precios mod CCE especif.'!$AB$27)),"N/A",G32+F32),"")</f>
        <v>N/A</v>
      </c>
      <c r="I32" s="201"/>
      <c r="J32" s="202" t="str">
        <f t="shared" si="1"/>
        <v/>
      </c>
      <c r="K32" s="57"/>
      <c r="L32" s="156" t="str">
        <f t="shared" si="2"/>
        <v>_22</v>
      </c>
    </row>
    <row r="33" spans="1:75" s="26" customFormat="1" ht="27" customHeight="1" x14ac:dyDescent="0.25">
      <c r="A33" s="118" t="s">
        <v>82</v>
      </c>
      <c r="B33" s="42"/>
      <c r="C33" s="29" t="str">
        <f>IFERROR(INDEX('Lista precios mod CCE especif.'!$A$3:$O$278,MATCH('Opción A Selección de modelo de'!$B33,'Lista precios mod CCE especif.'!$E$3:$E$278,0),MATCH('Opción A Selección de modelo de'!C$2,'Lista precios mod CCE especif.'!$A$3:$O$3,0)),"")</f>
        <v/>
      </c>
      <c r="D33" s="32" t="str">
        <f>IFERROR(INDEX('Lista precios mod CCE especif.'!$A$3:$O$278,MATCH('Opción A Selección de modelo de'!$B33,'Lista precios mod CCE especif.'!$E$3:$E$278,0),MATCH('Opción A Selección de modelo de'!D$2,'Lista precios mod CCE especif.'!$A$3:$O$3,0)),"")</f>
        <v/>
      </c>
      <c r="E33" s="32" t="str">
        <f>IFERROR(INDEX('Lista precios mod CCE especif.'!$A$3:$O$278,MATCH('Opción A Selección de modelo de'!$B33,'Lista precios mod CCE especif.'!$E$3:$E$278,0),MATCH('Opción A Selección de modelo de'!E$2,'Lista precios mod CCE especif.'!$A$3:$O$3,0)),"")</f>
        <v/>
      </c>
      <c r="F33" s="207" t="str">
        <f>IFERROR(INDEX('Lista precios mod CCE especif.'!$A$3:$O$278,MATCH('Opción A Selección de modelo de'!$B33,'Lista precios mod CCE especif.'!$E$3:$E$278,0),MATCH('Opción A Selección de modelo de'!F$2,'Lista precios mod CCE especif.'!$A$3:$O$3,0)),"")</f>
        <v/>
      </c>
      <c r="G33" s="174"/>
      <c r="H33" s="115" t="str">
        <f>IFERROR(IF(OR(EXACT(A33,'Lista precios mod CCE especif.'!$AB$14),EXACT(A33,'Lista precios mod CCE especif.'!$AB$16),EXACT(A33,'Lista precios mod CCE especif.'!$AB$17),EXACT(A33,'Lista precios mod CCE especif.'!$AB$18),EXACT(A33,'Lista precios mod CCE especif.'!$AB$19),EXACT(A33,'Lista precios mod CCE especif.'!$AB$20),EXACT(A33,'Lista precios mod CCE especif.'!$AB$21),EXACT(A33,'Lista precios mod CCE especif.'!$AB$22),EXACT(A33,'Lista precios mod CCE especif.'!$AB$23),EXACT(A33,'Lista precios mod CCE especif.'!$AB$24),EXACT(A33,'Lista precios mod CCE especif.'!$AB$25),EXACT(A33,'Lista precios mod CCE especif.'!$AB$26),EXACT(A33,'Lista precios mod CCE especif.'!$AB$27)),"N/A",G33+F33),"")</f>
        <v>N/A</v>
      </c>
      <c r="I33" s="201"/>
      <c r="J33" s="202" t="str">
        <f t="shared" si="1"/>
        <v/>
      </c>
      <c r="K33" s="57"/>
      <c r="L33" s="156" t="str">
        <f t="shared" si="2"/>
        <v>_23</v>
      </c>
    </row>
    <row r="34" spans="1:75" s="26" customFormat="1" ht="27" customHeight="1" thickBot="1" x14ac:dyDescent="0.3">
      <c r="A34" s="118" t="s">
        <v>83</v>
      </c>
      <c r="B34" s="42"/>
      <c r="C34" s="29" t="str">
        <f>IFERROR(INDEX('Lista precios mod CCE especif.'!$A$3:$O$278,MATCH('Opción A Selección de modelo de'!$B34,'Lista precios mod CCE especif.'!$E$3:$E$278,0),MATCH('Opción A Selección de modelo de'!C$2,'Lista precios mod CCE especif.'!$A$3:$O$3,0)),"")</f>
        <v/>
      </c>
      <c r="D34" s="32" t="str">
        <f>IFERROR(INDEX('Lista precios mod CCE especif.'!$A$3:$O$278,MATCH('Opción A Selección de modelo de'!$B34,'Lista precios mod CCE especif.'!$E$3:$E$278,0),MATCH('Opción A Selección de modelo de'!D$2,'Lista precios mod CCE especif.'!$A$3:$O$3,0)),"")</f>
        <v/>
      </c>
      <c r="E34" s="32" t="str">
        <f>IFERROR(INDEX('Lista precios mod CCE especif.'!$A$3:$O$278,MATCH('Opción A Selección de modelo de'!$B34,'Lista precios mod CCE especif.'!$E$3:$E$278,0),MATCH('Opción A Selección de modelo de'!E$2,'Lista precios mod CCE especif.'!$A$3:$O$3,0)),"")</f>
        <v/>
      </c>
      <c r="F34" s="207" t="str">
        <f>IFERROR(INDEX('Lista precios mod CCE especif.'!$A$3:$O$278,MATCH('Opción A Selección de modelo de'!$B34,'Lista precios mod CCE especif.'!$E$3:$E$278,0),MATCH('Opción A Selección de modelo de'!F$2,'Lista precios mod CCE especif.'!$A$3:$O$3,0)),"")</f>
        <v/>
      </c>
      <c r="G34" s="174"/>
      <c r="H34" s="115" t="str">
        <f>IFERROR(IF(OR(EXACT(A34,'Lista precios mod CCE especif.'!$AB$14),EXACT(A34,'Lista precios mod CCE especif.'!$AB$16),EXACT(A34,'Lista precios mod CCE especif.'!$AB$17),EXACT(A34,'Lista precios mod CCE especif.'!$AB$18),EXACT(A34,'Lista precios mod CCE especif.'!$AB$19),EXACT(A34,'Lista precios mod CCE especif.'!$AB$20),EXACT(A34,'Lista precios mod CCE especif.'!$AB$21),EXACT(A34,'Lista precios mod CCE especif.'!$AB$22),EXACT(A34,'Lista precios mod CCE especif.'!$AB$23),EXACT(A34,'Lista precios mod CCE especif.'!$AB$24),EXACT(A34,'Lista precios mod CCE especif.'!$AB$25),EXACT(A34,'Lista precios mod CCE especif.'!$AB$26),EXACT(A34,'Lista precios mod CCE especif.'!$AB$27)),"N/A",G34+F34),"")</f>
        <v>N/A</v>
      </c>
      <c r="I34" s="203"/>
      <c r="J34" s="204"/>
      <c r="K34" s="57"/>
      <c r="L34" s="156" t="str">
        <f t="shared" si="2"/>
        <v>_24</v>
      </c>
    </row>
    <row r="35" spans="1:75" s="26" customFormat="1" ht="15" x14ac:dyDescent="0.25">
      <c r="A35" s="301" t="s">
        <v>84</v>
      </c>
      <c r="B35" s="302"/>
      <c r="C35" s="302"/>
      <c r="D35" s="302"/>
      <c r="E35" s="302"/>
      <c r="F35" s="302"/>
      <c r="G35" s="302"/>
      <c r="H35" s="302"/>
      <c r="I35" s="305">
        <f>SUM(J4:J33)-SUMIF(L4:L33,"_3.",J4:J33)-SUMIF(L4:L33,"_4.",J4:J33)</f>
        <v>0</v>
      </c>
      <c r="J35" s="306"/>
      <c r="K35" s="60"/>
      <c r="L35" s="57"/>
    </row>
    <row r="36" spans="1:75" ht="15" x14ac:dyDescent="0.25">
      <c r="D36"/>
      <c r="E36"/>
      <c r="F36"/>
      <c r="G36"/>
      <c r="H36"/>
      <c r="I36"/>
      <c r="J36"/>
      <c r="K36"/>
      <c r="L36"/>
    </row>
    <row r="37" spans="1:75" s="26" customFormat="1" ht="15" x14ac:dyDescent="0.25">
      <c r="A37" s="274" t="s">
        <v>430</v>
      </c>
      <c r="B37" s="275"/>
      <c r="C37" s="275"/>
      <c r="D37" s="275"/>
      <c r="E37" s="275"/>
      <c r="F37" s="275"/>
      <c r="G37" s="275"/>
      <c r="H37" s="276"/>
      <c r="I37" s="277">
        <v>1000</v>
      </c>
      <c r="J37" s="278"/>
      <c r="K37" s="60"/>
      <c r="L37" s="57"/>
    </row>
    <row r="38" spans="1:75" s="26" customFormat="1" ht="15" x14ac:dyDescent="0.25">
      <c r="A38" s="274" t="s">
        <v>431</v>
      </c>
      <c r="B38" s="275"/>
      <c r="C38" s="275"/>
      <c r="D38" s="275"/>
      <c r="E38" s="275"/>
      <c r="F38" s="275"/>
      <c r="G38" s="275"/>
      <c r="H38" s="276"/>
      <c r="I38" s="277">
        <v>150</v>
      </c>
      <c r="J38" s="278"/>
      <c r="K38" s="60"/>
      <c r="L38" s="57"/>
    </row>
    <row r="39" spans="1:75" s="26" customFormat="1" ht="15" x14ac:dyDescent="0.25">
      <c r="A39" s="274" t="s">
        <v>432</v>
      </c>
      <c r="B39" s="275"/>
      <c r="C39" s="275"/>
      <c r="D39" s="275"/>
      <c r="E39" s="275"/>
      <c r="F39" s="275"/>
      <c r="G39" s="275"/>
      <c r="H39" s="276"/>
      <c r="I39" s="277">
        <v>150</v>
      </c>
      <c r="J39" s="278"/>
      <c r="K39" s="60"/>
      <c r="L39" s="57"/>
    </row>
    <row r="40" spans="1:75" s="26" customFormat="1" ht="15" x14ac:dyDescent="0.25">
      <c r="A40" s="274" t="s">
        <v>433</v>
      </c>
      <c r="B40" s="275"/>
      <c r="C40" s="275"/>
      <c r="D40" s="275"/>
      <c r="E40" s="275"/>
      <c r="F40" s="275"/>
      <c r="G40" s="275"/>
      <c r="H40" s="276"/>
      <c r="I40" s="277">
        <v>150</v>
      </c>
      <c r="J40" s="278"/>
      <c r="K40" s="60"/>
      <c r="L40" s="57"/>
    </row>
    <row r="41" spans="1:75" s="26" customFormat="1" ht="15" x14ac:dyDescent="0.25">
      <c r="A41" s="274" t="s">
        <v>434</v>
      </c>
      <c r="B41" s="275"/>
      <c r="C41" s="275"/>
      <c r="D41" s="275"/>
      <c r="E41" s="275"/>
      <c r="F41" s="275"/>
      <c r="G41" s="275"/>
      <c r="H41" s="276"/>
      <c r="I41" s="277">
        <v>2</v>
      </c>
      <c r="J41" s="278"/>
      <c r="K41" s="60"/>
      <c r="L41" s="57"/>
    </row>
    <row r="42" spans="1:75" s="26" customFormat="1" ht="15" x14ac:dyDescent="0.25">
      <c r="A42" s="274" t="s">
        <v>435</v>
      </c>
      <c r="B42" s="275"/>
      <c r="C42" s="275"/>
      <c r="D42" s="275"/>
      <c r="E42" s="275"/>
      <c r="F42" s="275"/>
      <c r="G42" s="275"/>
      <c r="H42" s="276"/>
      <c r="I42" s="277">
        <v>10</v>
      </c>
      <c r="J42" s="278"/>
      <c r="K42" s="60"/>
      <c r="L42" s="57"/>
    </row>
    <row r="43" spans="1:75" s="26" customFormat="1" ht="15" x14ac:dyDescent="0.25">
      <c r="A43" s="274" t="s">
        <v>436</v>
      </c>
      <c r="B43" s="275"/>
      <c r="C43" s="275"/>
      <c r="D43" s="275"/>
      <c r="E43" s="275"/>
      <c r="F43" s="275"/>
      <c r="G43" s="275"/>
      <c r="H43" s="276"/>
      <c r="I43" s="277">
        <v>60</v>
      </c>
      <c r="J43" s="278"/>
      <c r="K43" s="60"/>
      <c r="L43" s="57"/>
    </row>
    <row r="44" spans="1:75" s="26" customFormat="1" ht="15" x14ac:dyDescent="0.25">
      <c r="A44" s="274" t="s">
        <v>437</v>
      </c>
      <c r="B44" s="275"/>
      <c r="C44" s="275"/>
      <c r="D44" s="275"/>
      <c r="E44" s="275"/>
      <c r="F44" s="275"/>
      <c r="G44" s="275"/>
      <c r="H44" s="276"/>
      <c r="I44" s="279">
        <v>0.1</v>
      </c>
      <c r="J44" s="280"/>
      <c r="K44" s="60"/>
      <c r="L44" s="57"/>
    </row>
    <row r="45" spans="1:75" ht="15" x14ac:dyDescent="0.25">
      <c r="A45" s="314" t="s">
        <v>85</v>
      </c>
      <c r="B45" s="315"/>
      <c r="C45" s="315"/>
      <c r="D45" s="315"/>
      <c r="E45" s="315"/>
      <c r="F45" s="315"/>
      <c r="G45" s="315"/>
      <c r="H45" s="316"/>
      <c r="I45" s="299">
        <f>(I37*SUM(I$4:I$6))+(I38*SUM($I$9:$I$19))+(I39*I20)+(I40*SUM($I$21:$I$22))+(I41*SUM($I$23:$I$24))+(I42*SUM($I$25:$I$26))+(I43*$I$27)+(I44*$I$28)</f>
        <v>0</v>
      </c>
      <c r="J45" s="300"/>
      <c r="K45" s="60"/>
      <c r="L45" s="60"/>
    </row>
    <row r="46" spans="1:75" s="37" customFormat="1" ht="15" x14ac:dyDescent="0.25">
      <c r="A46" s="60"/>
      <c r="B46" s="60"/>
      <c r="C46" s="60"/>
      <c r="D46" s="58"/>
      <c r="E46" s="58"/>
      <c r="F46" s="58"/>
      <c r="G46" s="58"/>
      <c r="H46" s="58"/>
      <c r="I46" s="58"/>
      <c r="J46" s="58"/>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row>
    <row r="47" spans="1:75" s="26" customFormat="1" ht="15" x14ac:dyDescent="0.25">
      <c r="A47" s="294" t="s">
        <v>86</v>
      </c>
      <c r="B47" s="295"/>
      <c r="C47" s="295"/>
      <c r="D47" s="295"/>
      <c r="E47" s="295"/>
      <c r="F47" s="295"/>
      <c r="G47" s="295"/>
      <c r="H47" s="295"/>
      <c r="I47" s="292">
        <f>I35*1.06+I45</f>
        <v>0</v>
      </c>
      <c r="J47" s="293"/>
      <c r="K47" s="60"/>
      <c r="L47" s="57"/>
    </row>
    <row r="48" spans="1:75" ht="15" x14ac:dyDescent="0.25">
      <c r="K48" s="60"/>
      <c r="L48" s="60"/>
    </row>
    <row r="49" spans="1:12" ht="15" x14ac:dyDescent="0.25">
      <c r="A49" s="286" t="s">
        <v>87</v>
      </c>
      <c r="B49" s="287"/>
      <c r="C49" s="287"/>
      <c r="D49" s="287"/>
      <c r="E49" s="287"/>
      <c r="F49" s="287"/>
      <c r="G49" s="287"/>
      <c r="H49" s="288"/>
      <c r="I49" s="312"/>
      <c r="J49" s="313"/>
      <c r="K49" s="60"/>
      <c r="L49" s="60"/>
    </row>
    <row r="50" spans="1:12" ht="15" x14ac:dyDescent="0.25">
      <c r="A50" s="289" t="s">
        <v>88</v>
      </c>
      <c r="B50" s="290"/>
      <c r="C50" s="290"/>
      <c r="D50" s="290"/>
      <c r="E50" s="290"/>
      <c r="F50" s="290"/>
      <c r="G50" s="290"/>
      <c r="H50" s="291"/>
      <c r="I50" s="299">
        <f>I35*I$49</f>
        <v>0</v>
      </c>
      <c r="J50" s="300"/>
      <c r="K50" s="60"/>
      <c r="L50" s="60"/>
    </row>
    <row r="51" spans="1:12" ht="15" x14ac:dyDescent="0.25">
      <c r="D51"/>
      <c r="E51"/>
      <c r="F51"/>
      <c r="G51"/>
      <c r="H51"/>
      <c r="I51"/>
      <c r="J51"/>
      <c r="K51"/>
      <c r="L51"/>
    </row>
    <row r="52" spans="1:12" ht="15" x14ac:dyDescent="0.25">
      <c r="A52" s="307" t="s">
        <v>89</v>
      </c>
      <c r="B52" s="308"/>
      <c r="C52" s="308"/>
      <c r="D52" s="308"/>
      <c r="E52" s="308"/>
      <c r="F52" s="308"/>
      <c r="G52" s="308"/>
      <c r="H52" s="308"/>
      <c r="I52" s="310">
        <f>SUMIF(L4:L34,"_3.",J4:J34)+SUMIF(L4:L34,"_4.",J4:J34)</f>
        <v>0</v>
      </c>
      <c r="J52" s="311"/>
      <c r="K52" s="205"/>
      <c r="L52"/>
    </row>
    <row r="53" spans="1:12" ht="15" x14ac:dyDescent="0.25">
      <c r="A53" s="309" t="s">
        <v>90</v>
      </c>
      <c r="B53" s="309"/>
      <c r="C53" s="309"/>
      <c r="D53" s="309"/>
      <c r="E53" s="309"/>
      <c r="F53" s="309"/>
      <c r="G53" s="309"/>
      <c r="H53" s="309"/>
      <c r="I53" s="312"/>
      <c r="J53" s="313"/>
      <c r="K53" s="205"/>
      <c r="L53"/>
    </row>
    <row r="54" spans="1:12" ht="15" x14ac:dyDescent="0.25">
      <c r="A54" s="296" t="s">
        <v>91</v>
      </c>
      <c r="B54" s="297"/>
      <c r="C54" s="297"/>
      <c r="D54" s="297"/>
      <c r="E54" s="297"/>
      <c r="F54" s="297"/>
      <c r="G54" s="297"/>
      <c r="H54" s="298"/>
      <c r="I54" s="299">
        <f>I52*I53</f>
        <v>0</v>
      </c>
      <c r="J54" s="300"/>
      <c r="K54" s="205"/>
      <c r="L54"/>
    </row>
    <row r="55" spans="1:12" ht="15.75" thickBot="1" x14ac:dyDescent="0.3">
      <c r="D55"/>
      <c r="E55"/>
      <c r="F55"/>
      <c r="G55"/>
      <c r="H55"/>
      <c r="I55"/>
      <c r="J55"/>
      <c r="K55"/>
      <c r="L55"/>
    </row>
    <row r="56" spans="1:12" ht="15.75" thickBot="1" x14ac:dyDescent="0.3">
      <c r="A56" s="281" t="s">
        <v>92</v>
      </c>
      <c r="B56" s="282"/>
      <c r="C56" s="282"/>
      <c r="D56" s="282"/>
      <c r="E56" s="282"/>
      <c r="F56" s="282"/>
      <c r="G56" s="282"/>
      <c r="H56" s="283"/>
      <c r="I56" s="284">
        <f>I47+I50+I52+I54</f>
        <v>0</v>
      </c>
      <c r="J56" s="285"/>
      <c r="K56" s="60"/>
      <c r="L56" s="60"/>
    </row>
  </sheetData>
  <sheetProtection algorithmName="SHA-512" hashValue="gZp3+FxXYRdariziobIx/T1HJIKaZ/ldPkM/gl7ldwU+gYe+oymHSeOvn4IHovV3xxI9JCfkzm6KPhn5juAvaA==" saltValue="GJO4+qtoZPq5B9qji9qlRQ==" spinCount="100000" sheet="1" sort="0" autoFilter="0" pivotTables="0"/>
  <dataConsolidate link="1"/>
  <mergeCells count="36">
    <mergeCell ref="A35:H35"/>
    <mergeCell ref="I1:J1"/>
    <mergeCell ref="I35:J35"/>
    <mergeCell ref="A52:H52"/>
    <mergeCell ref="A53:H53"/>
    <mergeCell ref="I52:J52"/>
    <mergeCell ref="I53:J53"/>
    <mergeCell ref="I50:J50"/>
    <mergeCell ref="I49:J49"/>
    <mergeCell ref="I45:J45"/>
    <mergeCell ref="I37:J37"/>
    <mergeCell ref="A45:H45"/>
    <mergeCell ref="A37:H37"/>
    <mergeCell ref="H2:H3"/>
    <mergeCell ref="A38:H38"/>
    <mergeCell ref="I38:J38"/>
    <mergeCell ref="A56:H56"/>
    <mergeCell ref="I56:J56"/>
    <mergeCell ref="A49:H49"/>
    <mergeCell ref="A50:H50"/>
    <mergeCell ref="I47:J47"/>
    <mergeCell ref="A47:H47"/>
    <mergeCell ref="A54:H54"/>
    <mergeCell ref="I54:J54"/>
    <mergeCell ref="A39:H39"/>
    <mergeCell ref="I39:J39"/>
    <mergeCell ref="A40:H40"/>
    <mergeCell ref="I40:J40"/>
    <mergeCell ref="A41:H41"/>
    <mergeCell ref="I41:J41"/>
    <mergeCell ref="A42:H42"/>
    <mergeCell ref="I42:J42"/>
    <mergeCell ref="A43:H43"/>
    <mergeCell ref="I43:J43"/>
    <mergeCell ref="A44:H44"/>
    <mergeCell ref="I44:J44"/>
  </mergeCells>
  <conditionalFormatting sqref="C4:F4 D5:D31 E5:E34 H4:H34 C5:C34">
    <cfRule type="cellIs" dxfId="115" priority="4377" operator="equal">
      <formula>"N/A"</formula>
    </cfRule>
  </conditionalFormatting>
  <conditionalFormatting sqref="D32:D34 F5:F34">
    <cfRule type="cellIs" dxfId="114" priority="27" operator="equal">
      <formula>"N/A"</formula>
    </cfRule>
  </conditionalFormatting>
  <dataValidations xWindow="801" yWindow="354" count="3">
    <dataValidation type="list" allowBlank="1" showInputMessage="1" showErrorMessage="1" sqref="A4:A34" xr:uid="{00000000-0002-0000-0200-000000000000}">
      <formula1>typeofequipment</formula1>
    </dataValidation>
    <dataValidation type="list" allowBlank="1" showInputMessage="1" showErrorMessage="1" sqref="B4:B34" xr:uid="{00000000-0002-0000-0200-000001000000}">
      <formula1>INDIRECT(SUBSTITUTE(A4,"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FB8DEBE6-B4B7-4C4D-991E-B766537FE2A2}">
      <formula1>200</formula1>
      <formula2>38000</formula2>
    </dataValidation>
  </dataValidations>
  <pageMargins left="0.7" right="0.7" top="0.75" bottom="0.75" header="0.3" footer="0.3"/>
  <pageSetup scale="36" fitToHeight="0" orientation="landscape" r:id="rId1"/>
  <ignoredErrors>
    <ignoredError sqref="L4:L32" unlockedFormula="1"/>
  </ignoredErrors>
  <extLst>
    <ext xmlns:x14="http://schemas.microsoft.com/office/spreadsheetml/2009/9/main" uri="{78C0D931-6437-407d-A8EE-F0AAD7539E65}">
      <x14:conditionalFormattings>
        <x14:conditionalFormatting xmlns:xm="http://schemas.microsoft.com/office/excel/2006/main">
          <x14:cfRule type="expression" priority="4938" id="{64FB30DF-D54E-4674-8940-C14668C4771C}">
            <xm:f>OR(A1='Specified CCE Model Price List'!#REF!,A1='Specified CCE Model Price List'!#REF!,A1='Specified CCE Model Price List'!#REF!,A1='Specified CCE Model Price List'!#REF!,A1='Specified CCE Model Price List'!#REF!)</xm:f>
            <x14:dxf>
              <font>
                <color theme="1"/>
              </font>
              <fill>
                <patternFill>
                  <bgColor theme="1" tint="0.499984740745262"/>
                </patternFill>
              </fill>
            </x14:dxf>
          </x14:cfRule>
          <xm:sqref>G1:G3</xm:sqref>
        </x14:conditionalFormatting>
        <x14:conditionalFormatting xmlns:xm="http://schemas.microsoft.com/office/excel/2006/main">
          <x14:cfRule type="cellIs" priority="4939" operator="equal" id="{392FA4FC-3E88-4A5B-942D-872AB31F0282}">
            <xm:f>'Specified CCE Model Price List'!#REF!</xm:f>
            <x14:dxf>
              <font>
                <color theme="1"/>
              </font>
              <fill>
                <patternFill>
                  <bgColor theme="7" tint="0.79998168889431442"/>
                </patternFill>
              </fill>
            </x14:dxf>
          </x14:cfRule>
          <x14:cfRule type="cellIs" priority="4940" operator="equal" id="{7E6D18B8-C8DD-48AC-AA2B-32EF4069A3E7}">
            <xm:f>'Specified CCE Model Price List'!#REF!</xm:f>
            <x14:dxf>
              <font>
                <color theme="1"/>
              </font>
              <fill>
                <patternFill>
                  <bgColor rgb="FFCCCCFF"/>
                </patternFill>
              </fill>
            </x14:dxf>
          </x14:cfRule>
          <x14:cfRule type="cellIs" priority="4941" operator="equal" id="{065F79D3-DE18-494A-B378-21D568A7FB4B}">
            <xm:f>'Specified CCE Model Price List'!#REF!</xm:f>
            <x14:dxf>
              <fill>
                <patternFill>
                  <bgColor rgb="FFFFC000"/>
                </patternFill>
              </fill>
            </x14:dxf>
          </x14:cfRule>
          <x14:cfRule type="cellIs" priority="4942" operator="equal" id="{1FA4DEA3-D36A-4F52-B7A1-D7B6DC3148F2}">
            <xm:f>'Specified CCE Model Price List'!#REF!</xm:f>
            <x14:dxf>
              <fill>
                <patternFill>
                  <bgColor rgb="FFFFFF00"/>
                </patternFill>
              </fill>
            </x14:dxf>
          </x14:cfRule>
          <x14:cfRule type="cellIs" priority="4943" operator="equal" id="{E096020B-9C17-4856-9885-93C226673A7C}">
            <xm:f>'Specified CCE Model Price List'!#REF!</xm:f>
            <x14:dxf>
              <font>
                <color theme="0"/>
              </font>
              <fill>
                <patternFill>
                  <bgColor rgb="FF9900CC"/>
                </patternFill>
              </fill>
            </x14:dxf>
          </x14:cfRule>
          <x14:cfRule type="cellIs" priority="4944" operator="equal" id="{7AFC3143-6899-4E58-AAB5-6A37B4071C00}">
            <xm:f>'Specified CCE Model Price List'!#REF!</xm:f>
            <x14:dxf>
              <fill>
                <patternFill>
                  <bgColor rgb="FFFF99FF"/>
                </patternFill>
              </fill>
            </x14:dxf>
          </x14:cfRule>
          <x14:cfRule type="cellIs" priority="4945" operator="equal" id="{F16A75CD-466F-4F19-A483-6EF701E3E7B9}">
            <xm:f>'Specified CCE Model Price List'!#REF!</xm:f>
            <x14:dxf>
              <font>
                <color theme="0"/>
              </font>
              <fill>
                <patternFill>
                  <bgColor theme="4" tint="-0.24994659260841701"/>
                </patternFill>
              </fill>
            </x14:dxf>
          </x14:cfRule>
          <x14:cfRule type="cellIs" priority="4946" operator="equal" id="{29E9115B-CE5C-4F54-94D5-7C22E014A75D}">
            <xm:f>'Specified CCE Model Price List'!#REF!</xm:f>
            <x14:dxf>
              <font>
                <color theme="0"/>
              </font>
              <fill>
                <patternFill>
                  <bgColor theme="9" tint="-0.24994659260841701"/>
                </patternFill>
              </fill>
            </x14:dxf>
          </x14:cfRule>
          <x14:cfRule type="cellIs" priority="4947" operator="equal" id="{E820FB2D-D401-4E15-AC9B-BE020E5E41C5}">
            <xm:f>'Specified CCE Model Price List'!#REF!</xm:f>
            <x14:dxf>
              <font>
                <color theme="0"/>
              </font>
              <fill>
                <patternFill>
                  <bgColor rgb="FF7030A0"/>
                </patternFill>
              </fill>
            </x14:dxf>
          </x14:cfRule>
          <x14:cfRule type="cellIs" priority="4948" operator="equal" id="{1FDA4CD4-7624-4184-8DA4-4DB9A4E3F158}">
            <xm:f>'Specified CCE Model Price List'!#REF!</xm:f>
            <x14:dxf>
              <font>
                <color theme="1"/>
              </font>
              <fill>
                <patternFill>
                  <bgColor theme="4" tint="0.79998168889431442"/>
                </patternFill>
              </fill>
            </x14:dxf>
          </x14:cfRule>
          <x14:cfRule type="cellIs" priority="4949" operator="equal" id="{2845C47E-FA69-4987-BB17-BB14A641077C}">
            <xm:f>'Specified CCE Model Price List'!#REF!</xm:f>
            <x14:dxf>
              <font>
                <color theme="1"/>
              </font>
              <fill>
                <patternFill>
                  <bgColor theme="4" tint="0.39994506668294322"/>
                </patternFill>
              </fill>
            </x14:dxf>
          </x14:cfRule>
          <x14:cfRule type="cellIs" priority="4950" operator="equal" id="{5665C3F0-AFC3-4C4A-ABC3-483A71E3493B}">
            <xm:f>'Specified CCE Model Price List'!#REF!</xm:f>
            <x14:dxf>
              <font>
                <color theme="0"/>
              </font>
              <fill>
                <patternFill>
                  <bgColor theme="4" tint="-0.24994659260841701"/>
                </patternFill>
              </fill>
            </x14:dxf>
          </x14:cfRule>
          <x14:cfRule type="cellIs" priority="4951" operator="equal" id="{495E7CAB-6337-4027-9875-FB12AFBDD967}">
            <xm:f>'Specified CCE Model Price List'!#REF!</xm:f>
            <x14:dxf>
              <font>
                <color theme="1"/>
              </font>
              <fill>
                <patternFill>
                  <bgColor theme="0" tint="-0.14996795556505021"/>
                </patternFill>
              </fill>
            </x14:dxf>
          </x14:cfRule>
          <x14:cfRule type="cellIs" priority="4952" operator="equal" id="{5AC4EE82-545D-4166-B50F-A54BF52F6CE5}">
            <xm:f>'Specified CCE Model Price List'!#REF!</xm:f>
            <x14:dxf>
              <font>
                <color theme="0"/>
              </font>
              <fill>
                <patternFill>
                  <bgColor theme="0" tint="-0.499984740745262"/>
                </patternFill>
              </fill>
            </x14:dxf>
          </x14:cfRule>
          <x14:cfRule type="cellIs" priority="4953" operator="equal" id="{A031C525-8A33-4F29-A5AD-8FC0D86F7FC5}">
            <xm:f>'Specified CCE Model Price List'!#REF!</xm:f>
            <x14:dxf>
              <font>
                <color theme="0"/>
              </font>
              <fill>
                <patternFill>
                  <bgColor theme="1" tint="0.24994659260841701"/>
                </patternFill>
              </fill>
            </x14:dxf>
          </x14:cfRule>
          <x14:cfRule type="cellIs" priority="4954" operator="equal" id="{FCE997E4-F5DD-483C-BCF5-498EC9E51D8E}">
            <xm:f>'Specified CCE Model Price List'!#REF!</xm:f>
            <x14:dxf>
              <font>
                <color theme="1"/>
              </font>
              <fill>
                <patternFill>
                  <bgColor theme="9" tint="0.79998168889431442"/>
                </patternFill>
              </fill>
            </x14:dxf>
          </x14:cfRule>
          <x14:cfRule type="cellIs" priority="4955" operator="equal" id="{A04887D6-A1B8-421D-8BB4-F651E77BCAD9}">
            <xm:f>'Specified CCE Model Price List'!#REF!</xm:f>
            <x14:dxf>
              <font>
                <color theme="1"/>
              </font>
              <fill>
                <patternFill>
                  <bgColor theme="9" tint="0.59996337778862885"/>
                </patternFill>
              </fill>
            </x14:dxf>
          </x14:cfRule>
          <x14:cfRule type="cellIs" priority="4956" operator="equal" id="{FC734DED-E4B8-4F9E-A593-C13E85798C61}">
            <xm:f>'Specified CCE Model Price List'!#REF!</xm:f>
            <x14:dxf>
              <font>
                <color theme="1"/>
              </font>
              <fill>
                <patternFill>
                  <bgColor theme="5" tint="0.79998168889431442"/>
                </patternFill>
              </fill>
            </x14:dxf>
          </x14:cfRule>
          <x14:cfRule type="cellIs" priority="4957" operator="equal" id="{7F847D63-D9C3-4E8B-B479-D73395A77867}">
            <xm:f>'Specified CCE Model Price List'!#REF!</xm:f>
            <x14:dxf>
              <font>
                <color theme="1"/>
              </font>
              <fill>
                <patternFill>
                  <bgColor theme="5" tint="0.59996337778862885"/>
                </patternFill>
              </fill>
            </x14:dxf>
          </x14:cfRule>
          <x14:cfRule type="cellIs" priority="4958" operator="equal" id="{C88F3786-D632-42F9-A62A-6393F8A9DDDD}">
            <xm:f>'Specified CCE Model Price List'!#REF!</xm:f>
            <x14:dxf>
              <font>
                <color theme="1"/>
              </font>
              <fill>
                <patternFill>
                  <bgColor rgb="FF9999FF"/>
                </patternFill>
              </fill>
            </x14:dxf>
          </x14:cfRule>
          <xm:sqref>A1:A2</xm:sqref>
        </x14:conditionalFormatting>
        <x14:conditionalFormatting xmlns:xm="http://schemas.microsoft.com/office/excel/2006/main">
          <x14:cfRule type="cellIs" priority="4979" operator="equal" id="{40194035-514E-4E3C-B941-8BFE8D23ABFB}">
            <xm:f>'Specified CCE Model Price List'!#REF!</xm:f>
            <x14:dxf>
              <fill>
                <patternFill>
                  <bgColor rgb="FFFFFF00"/>
                </patternFill>
              </fill>
            </x14:dxf>
          </x14:cfRule>
          <x14:cfRule type="cellIs" priority="4980" operator="equal" id="{C984F952-6052-460F-A962-25FA7431B731}">
            <xm:f>'Specified CCE Model Price List'!#REF!</xm:f>
            <x14:dxf>
              <font>
                <color theme="0"/>
              </font>
              <fill>
                <patternFill>
                  <bgColor rgb="FF7030A0"/>
                </patternFill>
              </fill>
            </x14:dxf>
          </x14:cfRule>
          <x14:cfRule type="cellIs" priority="4981" operator="equal" id="{1097636C-14FF-4A64-BC6D-E33F69937A5E}">
            <xm:f>'Specified CCE Model Price List'!#REF!</xm:f>
            <x14:dxf>
              <font>
                <color theme="0"/>
              </font>
              <fill>
                <patternFill>
                  <bgColor theme="9" tint="-0.24994659260841701"/>
                </patternFill>
              </fill>
            </x14:dxf>
          </x14:cfRule>
          <x14:cfRule type="cellIs" priority="4982" operator="equal" id="{3B251711-67FD-4396-BDE4-8855BA9501B4}">
            <xm:f>'Specified CCE Model Price List'!#REF!</xm:f>
            <x14:dxf>
              <font>
                <color theme="0"/>
              </font>
              <fill>
                <patternFill>
                  <bgColor theme="4" tint="-0.24994659260841701"/>
                </patternFill>
              </fill>
            </x14:dxf>
          </x14:cfRule>
          <x14:cfRule type="cellIs" priority="4983" operator="equal" id="{11D180B7-F0EE-4FB2-ABBB-174D38E8A405}">
            <xm:f>'Specified CCE Model Price List'!#REF!</xm:f>
            <x14:dxf>
              <fill>
                <patternFill>
                  <bgColor rgb="FFFF99FF"/>
                </patternFill>
              </fill>
            </x14:dxf>
          </x14:cfRule>
          <x14:cfRule type="cellIs" priority="4984" operator="equal" id="{35DB5A15-6D21-4505-982F-E659F9C30492}">
            <xm:f>'Specified CCE Model Price List'!#REF!</xm:f>
            <x14:dxf>
              <font>
                <color theme="0"/>
              </font>
              <fill>
                <patternFill>
                  <bgColor rgb="FF9900CC"/>
                </patternFill>
              </fill>
            </x14:dxf>
          </x14:cfRule>
          <x14:cfRule type="cellIs" priority="4985" operator="equal" id="{46360C6E-4039-4EC1-ABF9-BCB5740E08AF}">
            <xm:f>'Specified CCE Model Price List'!#REF!</xm:f>
            <x14:dxf>
              <fill>
                <patternFill>
                  <bgColor rgb="FFFFC000"/>
                </patternFill>
              </fill>
            </x14:dxf>
          </x14:cfRule>
          <x14:cfRule type="cellIs" priority="4986" operator="equal" id="{60318092-4BA8-4431-A1B7-C7ECAFF6DA93}">
            <xm:f>'Specified CCE Model Price List'!#REF!</xm:f>
            <x14:dxf>
              <font>
                <color theme="1"/>
              </font>
              <fill>
                <patternFill>
                  <bgColor rgb="FFCCCCFF"/>
                </patternFill>
              </fill>
            </x14:dxf>
          </x14:cfRule>
          <x14:cfRule type="cellIs" priority="4987" operator="equal" id="{FDF44A30-81EB-4AD5-AD4C-39806864FFFB}">
            <xm:f>'Specified CCE Model Price List'!#REF!</xm:f>
            <x14:dxf>
              <font>
                <color theme="1"/>
              </font>
              <fill>
                <patternFill>
                  <bgColor rgb="FFCCCCFF"/>
                </patternFill>
              </fill>
            </x14:dxf>
          </x14:cfRule>
          <x14:cfRule type="cellIs" priority="4988" operator="equal" id="{851A3D18-CF7E-457F-A38D-E70423411E30}">
            <xm:f>'Specified CCE Model Price List'!#REF!</xm:f>
            <x14:dxf>
              <font>
                <color theme="1"/>
              </font>
              <fill>
                <patternFill>
                  <bgColor theme="5" tint="0.59996337778862885"/>
                </patternFill>
              </fill>
            </x14:dxf>
          </x14:cfRule>
          <x14:cfRule type="cellIs" priority="4989" operator="equal" id="{5CB73EB2-288D-4109-A54C-C3045933A240}">
            <xm:f>'Specified CCE Model Price List'!#REF!</xm:f>
            <x14:dxf>
              <font>
                <color theme="1"/>
              </font>
              <fill>
                <patternFill>
                  <bgColor theme="5" tint="0.79998168889431442"/>
                </patternFill>
              </fill>
            </x14:dxf>
          </x14:cfRule>
          <x14:cfRule type="cellIs" priority="4990" operator="equal" id="{06C29BEF-F69C-47AB-80AB-95255E887FFE}">
            <xm:f>'Specified CCE Model Price List'!#REF!</xm:f>
            <x14:dxf>
              <font>
                <color theme="1"/>
              </font>
              <fill>
                <patternFill>
                  <bgColor theme="9" tint="0.59996337778862885"/>
                </patternFill>
              </fill>
            </x14:dxf>
          </x14:cfRule>
          <x14:cfRule type="cellIs" priority="4991" operator="equal" id="{5808F185-541C-4F2C-9E92-1E802444F315}">
            <xm:f>'Specified CCE Model Price List'!#REF!</xm:f>
            <x14:dxf>
              <font>
                <color theme="1"/>
              </font>
              <fill>
                <patternFill>
                  <bgColor theme="9" tint="0.79998168889431442"/>
                </patternFill>
              </fill>
            </x14:dxf>
          </x14:cfRule>
          <x14:cfRule type="cellIs" priority="4992" operator="equal" id="{CCF79960-71DD-4DD7-9A80-E0A5545C08BA}">
            <xm:f>'Specified CCE Model Price List'!#REF!</xm:f>
            <x14:dxf>
              <font>
                <color theme="0"/>
              </font>
              <fill>
                <patternFill>
                  <bgColor theme="1" tint="0.24994659260841701"/>
                </patternFill>
              </fill>
            </x14:dxf>
          </x14:cfRule>
          <x14:cfRule type="cellIs" priority="4993" operator="equal" id="{E4A658CF-4F53-4B8B-B416-CD6ADB26C830}">
            <xm:f>'Specified CCE Model Price List'!#REF!</xm:f>
            <x14:dxf>
              <font>
                <color theme="0"/>
              </font>
              <fill>
                <patternFill>
                  <bgColor theme="0" tint="-0.499984740745262"/>
                </patternFill>
              </fill>
            </x14:dxf>
          </x14:cfRule>
          <x14:cfRule type="cellIs" priority="4994" operator="equal" id="{DBA9E264-5FAA-442B-AFBA-10D0B7F5919E}">
            <xm:f>'Specified CCE Model Price List'!#REF!</xm:f>
            <x14:dxf>
              <font>
                <color theme="1"/>
              </font>
              <fill>
                <patternFill>
                  <bgColor theme="0" tint="-0.14996795556505021"/>
                </patternFill>
              </fill>
            </x14:dxf>
          </x14:cfRule>
          <x14:cfRule type="cellIs" priority="4995" operator="equal" id="{D8F097F0-EE41-4A87-8600-10F5FDCF1CBD}">
            <xm:f>'Specified CCE Model Price List'!#REF!</xm:f>
            <x14:dxf>
              <font>
                <color theme="1"/>
              </font>
              <fill>
                <patternFill>
                  <bgColor theme="7" tint="0.79998168889431442"/>
                </patternFill>
              </fill>
            </x14:dxf>
          </x14:cfRule>
          <x14:cfRule type="cellIs" priority="4996" operator="equal" id="{8B563C4E-C448-4289-81D5-69ECCC131A8C}">
            <xm:f>'Specified CCE Model Price List'!#REF!</xm:f>
            <x14:dxf>
              <font>
                <color theme="0"/>
              </font>
              <fill>
                <patternFill>
                  <bgColor theme="4" tint="-0.24994659260841701"/>
                </patternFill>
              </fill>
            </x14:dxf>
          </x14:cfRule>
          <x14:cfRule type="cellIs" priority="4997" operator="equal" id="{995B5785-ED94-47EB-96A1-56CE764E5BBB}">
            <xm:f>'Specified CCE Model Price List'!#REF!</xm:f>
            <x14:dxf>
              <font>
                <color theme="1"/>
              </font>
              <fill>
                <patternFill>
                  <bgColor theme="4" tint="0.39994506668294322"/>
                </patternFill>
              </fill>
            </x14:dxf>
          </x14:cfRule>
          <x14:cfRule type="cellIs" priority="4998" operator="equal" id="{68B258F2-830E-47A5-8FFC-0343B1DFF23A}">
            <xm:f>'Specified CCE Model Price List'!#REF!</xm:f>
            <x14:dxf>
              <font>
                <color theme="1"/>
              </font>
              <fill>
                <patternFill>
                  <bgColor theme="4" tint="0.79998168889431442"/>
                </patternFill>
              </fill>
            </x14:dxf>
          </x14:cfRule>
          <xm:sqref>A3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BW56"/>
  <sheetViews>
    <sheetView showGridLines="0" topLeftCell="A32" zoomScaleNormal="100" zoomScaleSheetLayoutView="100" workbookViewId="0">
      <selection activeCell="I45" sqref="I45:J45"/>
    </sheetView>
  </sheetViews>
  <sheetFormatPr defaultColWidth="0" defaultRowHeight="27" customHeight="1" x14ac:dyDescent="0.25"/>
  <cols>
    <col min="1" max="1" width="30.42578125" customWidth="1"/>
    <col min="2"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140625" style="33" bestFit="1" customWidth="1"/>
    <col min="9" max="10" width="12.42578125" style="33" customWidth="1"/>
    <col min="11" max="12" width="9.140625" style="60" customWidth="1"/>
    <col min="13" max="75" width="0" hidden="1" customWidth="1"/>
    <col min="76" max="16384" width="9.140625" hidden="1"/>
  </cols>
  <sheetData>
    <row r="1" spans="1:12" s="70" customFormat="1" ht="16.5" customHeight="1" thickTop="1" thickBot="1" x14ac:dyDescent="0.3">
      <c r="A1" s="67"/>
      <c r="B1" s="68"/>
      <c r="C1" s="68"/>
      <c r="D1" s="68"/>
      <c r="E1" s="71"/>
      <c r="F1" s="71"/>
      <c r="G1" s="71"/>
      <c r="H1" s="71"/>
      <c r="I1" s="319" t="s">
        <v>48</v>
      </c>
      <c r="J1" s="320"/>
      <c r="K1" s="69"/>
      <c r="L1" s="69"/>
    </row>
    <row r="2" spans="1:12" s="6" customFormat="1" ht="60.75" customHeight="1" thickTop="1" x14ac:dyDescent="0.25">
      <c r="A2" s="7" t="s">
        <v>49</v>
      </c>
      <c r="B2" s="7" t="s">
        <v>50</v>
      </c>
      <c r="C2" s="7" t="s">
        <v>51</v>
      </c>
      <c r="D2" s="30" t="s">
        <v>52</v>
      </c>
      <c r="E2" s="77" t="s">
        <v>53</v>
      </c>
      <c r="F2" s="77" t="s">
        <v>54</v>
      </c>
      <c r="G2" s="77" t="s">
        <v>55</v>
      </c>
      <c r="H2" s="321" t="s">
        <v>56</v>
      </c>
      <c r="I2" s="78" t="s">
        <v>57</v>
      </c>
      <c r="J2" s="79" t="s">
        <v>58</v>
      </c>
      <c r="K2" s="55"/>
      <c r="L2" s="55"/>
    </row>
    <row r="3" spans="1:12" s="11" customFormat="1" ht="45" customHeight="1" x14ac:dyDescent="0.25">
      <c r="A3" s="9"/>
      <c r="B3" s="10" t="s">
        <v>59</v>
      </c>
      <c r="C3" s="9"/>
      <c r="D3" s="31"/>
      <c r="E3" s="31"/>
      <c r="F3" s="31"/>
      <c r="G3" s="80" t="s">
        <v>60</v>
      </c>
      <c r="H3" s="322"/>
      <c r="I3" s="81" t="s">
        <v>61</v>
      </c>
      <c r="J3" s="82"/>
      <c r="K3" s="56"/>
      <c r="L3" s="56"/>
    </row>
    <row r="4" spans="1:12" s="26" customFormat="1" ht="27" customHeight="1" x14ac:dyDescent="0.25">
      <c r="A4" s="41" t="s">
        <v>62</v>
      </c>
      <c r="B4" s="42"/>
      <c r="C4" s="29" t="str">
        <f>IFERROR(INDEX('Lista precios mod CCE especif.'!$A$3:$O$278,MATCH('Opción B Selección de modelo de'!$B4,'Lista precios mod CCE especif.'!$E$3:$E$278,0),MATCH('Opción B Selección de modelo de'!C$2,'Lista precios mod CCE especif.'!$A$3:$O$3,0)),"")</f>
        <v/>
      </c>
      <c r="D4" s="32" t="str">
        <f>IFERROR(INDEX('Lista precios mod CCE especif.'!$A$3:$O$278,MATCH('Opción B Selección de modelo de'!$B4,'Lista precios mod CCE especif.'!$E$3:$E$278,0),MATCH('Opción B Selección de modelo de'!D$2,'Lista precios mod CCE especif.'!$A$3:$O$3,0)),"")</f>
        <v/>
      </c>
      <c r="E4" s="32" t="str">
        <f>IFERROR(INDEX('Lista precios mod CCE especif.'!$A$3:$O$278,MATCH('Opción B Selección de modelo de'!$B4,'Lista precios mod CCE especif.'!$E$3:$E$278,0),MATCH('Opción B Selección de modelo de'!E$2,'Lista precios mod CCE especif.'!$A$3:$O$3,0)),"")</f>
        <v/>
      </c>
      <c r="F4" s="126" t="str">
        <f>IFERROR(INDEX('Lista precios mod CCE especif.'!$A$3:$O$278,MATCH('Opción B Selección de modelo de'!$B4,'Lista precios mod CCE especif.'!$E$3:$E$269,0),MATCH('Opción B Selección de modelo de'!F$2,'Lista precios mod CCE especif.'!$A$3:$O$3,0)),"")</f>
        <v/>
      </c>
      <c r="G4" s="54"/>
      <c r="H4" s="115" t="str">
        <f>IFERROR(IF(OR(EXACT(A4,'Lista precios mod CCE especif.'!$AB$14),EXACT(A4,'Lista precios mod CCE especif.'!$AB$16),EXACT(A4,'Lista precios mod CCE especif.'!$AB$17),EXACT(A4,'Lista precios mod CCE especif.'!$AB$18),EXACT(A4,'Lista precios mod CCE especif.'!$AB$19),EXACT(A4,'Lista precios mod CCE especif.'!$AB$20),EXACT(A4,'Lista precios mod CCE especif.'!$AB$21),EXACT(A4,'Lista precios mod CCE especif.'!$AB$22),EXACT(A4,'Lista precios mod CCE especif.'!$AB$23),EXACT(A4,'Lista precios mod CCE especif.'!$AB$24),EXACT(A4,'Lista precios mod CCE especif.'!$AB$25),EXACT(A4,'Lista precios mod CCE especif.'!$AB$26),EXACT(A4,'Lista precios mod CCE especif.'!$AB$27)),"N/A",G4+F4),"")</f>
        <v/>
      </c>
      <c r="I4" s="75"/>
      <c r="J4" s="76" t="str">
        <f t="shared" ref="J4:J34" si="0">IFERROR(IF(H4="N/A",F4*I4,H4*I4),"")</f>
        <v/>
      </c>
      <c r="K4" s="57"/>
      <c r="L4" s="156" t="str">
        <f>LEFT(A4,3)</f>
        <v>_1.</v>
      </c>
    </row>
    <row r="5" spans="1:12" s="26" customFormat="1" ht="27" customHeight="1" x14ac:dyDescent="0.25">
      <c r="A5" s="41" t="s">
        <v>62</v>
      </c>
      <c r="B5" s="42"/>
      <c r="C5" s="29" t="str">
        <f>IFERROR(INDEX('Lista precios mod CCE especif.'!$A$3:$O$278,MATCH('Opción B Selección de modelo de'!$B5,'Lista precios mod CCE especif.'!$E$3:$E$278,0),MATCH('Opción B Selección de modelo de'!C$2,'Lista precios mod CCE especif.'!$A$3:$O$3,0)),"")</f>
        <v/>
      </c>
      <c r="D5" s="32" t="str">
        <f>IFERROR(INDEX('Lista precios mod CCE especif.'!$A$3:$O$278,MATCH('Opción B Selección de modelo de'!$B5,'Lista precios mod CCE especif.'!$E$3:$E$278,0),MATCH('Opción B Selección de modelo de'!D$2,'Lista precios mod CCE especif.'!$A$3:$O$3,0)),"")</f>
        <v/>
      </c>
      <c r="E5" s="32" t="str">
        <f>IFERROR(INDEX('Lista precios mod CCE especif.'!$A$3:$O$278,MATCH('Opción B Selección de modelo de'!$B5,'Lista precios mod CCE especif.'!$E$3:$E$278,0),MATCH('Opción B Selección de modelo de'!E$2,'Lista precios mod CCE especif.'!$A$3:$O$3,0)),"")</f>
        <v/>
      </c>
      <c r="F5" s="126" t="str">
        <f>IFERROR(INDEX('Lista precios mod CCE especif.'!$A$3:$O$278,MATCH('Opción B Selección de modelo de'!$B5,'Lista precios mod CCE especif.'!$E$3:$E$269,0),MATCH('Opción B Selección de modelo de'!F$2,'Lista precios mod CCE especif.'!$A$3:$O$3,0)),"")</f>
        <v/>
      </c>
      <c r="G5" s="54"/>
      <c r="H5" s="115" t="str">
        <f>IFERROR(IF(OR(EXACT(A5,'Lista precios mod CCE especif.'!$AB$14),EXACT(A5,'Lista precios mod CCE especif.'!$AB$16),EXACT(A5,'Lista precios mod CCE especif.'!$AB$17),EXACT(A5,'Lista precios mod CCE especif.'!$AB$18),EXACT(A5,'Lista precios mod CCE especif.'!$AB$19),EXACT(A5,'Lista precios mod CCE especif.'!$AB$20),EXACT(A5,'Lista precios mod CCE especif.'!$AB$21),EXACT(A5,'Lista precios mod CCE especif.'!$AB$22),EXACT(A5,'Lista precios mod CCE especif.'!$AB$23),EXACT(A5,'Lista precios mod CCE especif.'!$AB$24),EXACT(A5,'Lista precios mod CCE especif.'!$AB$25),EXACT(A5,'Lista precios mod CCE especif.'!$AB$26),EXACT(A5,'Lista precios mod CCE especif.'!$AB$27)),"N/A",G5+F5),"")</f>
        <v/>
      </c>
      <c r="I5" s="75"/>
      <c r="J5" s="76" t="str">
        <f t="shared" si="0"/>
        <v/>
      </c>
      <c r="K5" s="57"/>
      <c r="L5" s="156" t="str">
        <f t="shared" ref="L5:L34" si="1">LEFT(A5,3)</f>
        <v>_1.</v>
      </c>
    </row>
    <row r="6" spans="1:12" s="26" customFormat="1" ht="27" customHeight="1" x14ac:dyDescent="0.25">
      <c r="A6" s="41" t="s">
        <v>63</v>
      </c>
      <c r="B6" s="42"/>
      <c r="C6" s="29" t="str">
        <f>IFERROR(INDEX('Lista precios mod CCE especif.'!$A$3:$O$278,MATCH('Opción B Selección de modelo de'!$B6,'Lista precios mod CCE especif.'!$E$3:$E$278,0),MATCH('Opción B Selección de modelo de'!C$2,'Lista precios mod CCE especif.'!$A$3:$O$3,0)),"")</f>
        <v/>
      </c>
      <c r="D6" s="32" t="str">
        <f>IFERROR(INDEX('Lista precios mod CCE especif.'!$A$3:$O$278,MATCH('Opción B Selección de modelo de'!$B6,'Lista precios mod CCE especif.'!$E$3:$E$278,0),MATCH('Opción B Selección de modelo de'!D$2,'Lista precios mod CCE especif.'!$A$3:$O$3,0)),"")</f>
        <v/>
      </c>
      <c r="E6" s="32" t="str">
        <f>IFERROR(INDEX('Lista precios mod CCE especif.'!$A$3:$O$278,MATCH('Opción B Selección de modelo de'!$B6,'Lista precios mod CCE especif.'!$E$3:$E$278,0),MATCH('Opción B Selección de modelo de'!E$2,'Lista precios mod CCE especif.'!$A$3:$O$3,0)),"")</f>
        <v/>
      </c>
      <c r="F6" s="126" t="str">
        <f>IFERROR(INDEX('Lista precios mod CCE especif.'!$A$3:$O$278,MATCH('Opción B Selección de modelo de'!$B6,'Lista precios mod CCE especif.'!$E$3:$E$269,0),MATCH('Opción B Selección de modelo de'!F$2,'Lista precios mod CCE especif.'!$A$3:$O$3,0)),"")</f>
        <v/>
      </c>
      <c r="G6" s="54"/>
      <c r="H6" s="115" t="str">
        <f>IFERROR(IF(OR(EXACT(A6,'Lista precios mod CCE especif.'!$AB$14),EXACT(A6,'Lista precios mod CCE especif.'!$AB$16),EXACT(A6,'Lista precios mod CCE especif.'!$AB$17),EXACT(A6,'Lista precios mod CCE especif.'!$AB$18),EXACT(A6,'Lista precios mod CCE especif.'!$AB$19),EXACT(A6,'Lista precios mod CCE especif.'!$AB$20),EXACT(A6,'Lista precios mod CCE especif.'!$AB$21),EXACT(A6,'Lista precios mod CCE especif.'!$AB$22),EXACT(A6,'Lista precios mod CCE especif.'!$AB$23),EXACT(A6,'Lista precios mod CCE especif.'!$AB$24),EXACT(A6,'Lista precios mod CCE especif.'!$AB$25),EXACT(A6,'Lista precios mod CCE especif.'!$AB$26),EXACT(A6,'Lista precios mod CCE especif.'!$AB$27)),"N/A",G6+F6),"")</f>
        <v/>
      </c>
      <c r="I6" s="75"/>
      <c r="J6" s="76" t="str">
        <f t="shared" si="0"/>
        <v/>
      </c>
      <c r="K6" s="57"/>
      <c r="L6" s="156" t="str">
        <f t="shared" si="1"/>
        <v>_2.</v>
      </c>
    </row>
    <row r="7" spans="1:12" s="26" customFormat="1" ht="27" customHeight="1" x14ac:dyDescent="0.25">
      <c r="A7" s="41" t="s">
        <v>64</v>
      </c>
      <c r="B7" s="42"/>
      <c r="C7" s="29" t="str">
        <f>IFERROR(INDEX('Lista precios mod CCE especif.'!$A$3:$O$278,MATCH('Opción B Selección de modelo de'!$B7,'Lista precios mod CCE especif.'!$E$3:$E$278,0),MATCH('Opción B Selección de modelo de'!C$2,'Lista precios mod CCE especif.'!$A$3:$O$3,0)),"")</f>
        <v/>
      </c>
      <c r="D7" s="32" t="str">
        <f>IFERROR(INDEX('Lista precios mod CCE especif.'!$A$3:$O$278,MATCH('Opción B Selección de modelo de'!$B7,'Lista precios mod CCE especif.'!$E$3:$E$278,0),MATCH('Opción B Selección de modelo de'!D$2,'Lista precios mod CCE especif.'!$A$3:$O$3,0)),"")</f>
        <v/>
      </c>
      <c r="E7" s="32" t="str">
        <f>IFERROR(INDEX('Lista precios mod CCE especif.'!$A$3:$O$278,MATCH('Opción B Selección de modelo de'!$B7,'Lista precios mod CCE especif.'!$E$3:$E$278,0),MATCH('Opción B Selección de modelo de'!E$2,'Lista precios mod CCE especif.'!$A$3:$O$3,0)),"")</f>
        <v/>
      </c>
      <c r="F7" s="126" t="str">
        <f>IFERROR(INDEX('Lista precios mod CCE especif.'!$A$3:$O$278,MATCH('Opción B Selección de modelo de'!$B7,'Lista precios mod CCE especif.'!$E$3:$E$269,0),MATCH('Opción B Selección de modelo de'!F$2,'Lista precios mod CCE especif.'!$A$3:$O$3,0)),"")</f>
        <v/>
      </c>
      <c r="G7" s="54"/>
      <c r="H7" s="115" t="str">
        <f>IFERROR(IF(OR(EXACT(A7,'Lista precios mod CCE especif.'!$AB$14),EXACT(A7,'Lista precios mod CCE especif.'!$AB$16),EXACT(A7,'Lista precios mod CCE especif.'!$AB$17),EXACT(A7,'Lista precios mod CCE especif.'!$AB$18),EXACT(A7,'Lista precios mod CCE especif.'!$AB$19),EXACT(A7,'Lista precios mod CCE especif.'!$AB$20),EXACT(A7,'Lista precios mod CCE especif.'!$AB$21),EXACT(A7,'Lista precios mod CCE especif.'!$AB$22),EXACT(A7,'Lista precios mod CCE especif.'!$AB$23),EXACT(A7,'Lista precios mod CCE especif.'!$AB$24),EXACT(A7,'Lista precios mod CCE especif.'!$AB$25),EXACT(A7,'Lista precios mod CCE especif.'!$AB$26),EXACT(A7,'Lista precios mod CCE especif.'!$AB$27)),"N/A",G7+F7),"")</f>
        <v/>
      </c>
      <c r="I7" s="75"/>
      <c r="J7" s="76" t="str">
        <f t="shared" si="0"/>
        <v/>
      </c>
      <c r="K7" s="57"/>
      <c r="L7" s="156" t="str">
        <f t="shared" si="1"/>
        <v>_3.</v>
      </c>
    </row>
    <row r="8" spans="1:12" s="26" customFormat="1" ht="27" customHeight="1" x14ac:dyDescent="0.25">
      <c r="A8" s="41" t="s">
        <v>65</v>
      </c>
      <c r="B8" s="42"/>
      <c r="C8" s="29" t="str">
        <f>IFERROR(INDEX('Lista precios mod CCE especif.'!$A$3:$O$278,MATCH('Opción B Selección de modelo de'!$B8,'Lista precios mod CCE especif.'!$E$3:$E$278,0),MATCH('Opción B Selección de modelo de'!C$2,'Lista precios mod CCE especif.'!$A$3:$O$3,0)),"")</f>
        <v/>
      </c>
      <c r="D8" s="32" t="str">
        <f>IFERROR(INDEX('Lista precios mod CCE especif.'!$A$3:$O$278,MATCH('Opción B Selección de modelo de'!$B8,'Lista precios mod CCE especif.'!$E$3:$E$278,0),MATCH('Opción B Selección de modelo de'!D$2,'Lista precios mod CCE especif.'!$A$3:$O$3,0)),"")</f>
        <v/>
      </c>
      <c r="E8" s="32" t="str">
        <f>IFERROR(INDEX('Lista precios mod CCE especif.'!$A$3:$O$278,MATCH('Opción B Selección de modelo de'!$B8,'Lista precios mod CCE especif.'!$E$3:$E$278,0),MATCH('Opción B Selección de modelo de'!E$2,'Lista precios mod CCE especif.'!$A$3:$O$3,0)),"")</f>
        <v/>
      </c>
      <c r="F8" s="126" t="str">
        <f>IFERROR(INDEX('Lista precios mod CCE especif.'!$A$3:$O$278,MATCH('Opción B Selección de modelo de'!$B8,'Lista precios mod CCE especif.'!$E$3:$E$269,0),MATCH('Opción B Selección de modelo de'!F$2,'Lista precios mod CCE especif.'!$A$3:$O$3,0)),"")</f>
        <v/>
      </c>
      <c r="G8" s="54"/>
      <c r="H8" s="115" t="str">
        <f>IFERROR(IF(OR(EXACT(A8,'Lista precios mod CCE especif.'!$AB$14),EXACT(A8,'Lista precios mod CCE especif.'!$AB$16),EXACT(A8,'Lista precios mod CCE especif.'!$AB$17),EXACT(A8,'Lista precios mod CCE especif.'!$AB$18),EXACT(A8,'Lista precios mod CCE especif.'!$AB$19),EXACT(A8,'Lista precios mod CCE especif.'!$AB$20),EXACT(A8,'Lista precios mod CCE especif.'!$AB$21),EXACT(A8,'Lista precios mod CCE especif.'!$AB$22),EXACT(A8,'Lista precios mod CCE especif.'!$AB$23),EXACT(A8,'Lista precios mod CCE especif.'!$AB$24),EXACT(A8,'Lista precios mod CCE especif.'!$AB$25),EXACT(A8,'Lista precios mod CCE especif.'!$AB$26),EXACT(A8,'Lista precios mod CCE especif.'!$AB$27)),"N/A",G8+F8),"")</f>
        <v/>
      </c>
      <c r="I8" s="75"/>
      <c r="J8" s="76" t="str">
        <f t="shared" si="0"/>
        <v/>
      </c>
      <c r="K8" s="57"/>
      <c r="L8" s="156" t="str">
        <f t="shared" si="1"/>
        <v>_4.</v>
      </c>
    </row>
    <row r="9" spans="1:12" s="26" customFormat="1" ht="27" customHeight="1" x14ac:dyDescent="0.25">
      <c r="A9" s="43" t="s">
        <v>66</v>
      </c>
      <c r="B9" s="42"/>
      <c r="C9" s="29" t="str">
        <f>IFERROR(INDEX('Lista precios mod CCE especif.'!$A$3:$O$278,MATCH('Opción B Selección de modelo de'!$B9,'Lista precios mod CCE especif.'!$E$3:$E$278,0),MATCH('Opción B Selección de modelo de'!C$2,'Lista precios mod CCE especif.'!$A$3:$O$3,0)),"")</f>
        <v/>
      </c>
      <c r="D9" s="32" t="str">
        <f>IFERROR(INDEX('Lista precios mod CCE especif.'!$A$3:$O$278,MATCH('Opción B Selección de modelo de'!$B9,'Lista precios mod CCE especif.'!$E$3:$E$278,0),MATCH('Opción B Selección de modelo de'!D$2,'Lista precios mod CCE especif.'!$A$3:$O$3,0)),"")</f>
        <v/>
      </c>
      <c r="E9" s="32" t="str">
        <f>IFERROR(INDEX('Lista precios mod CCE especif.'!$A$3:$O$278,MATCH('Opción B Selección de modelo de'!$B9,'Lista precios mod CCE especif.'!$E$3:$E$278,0),MATCH('Opción B Selección de modelo de'!E$2,'Lista precios mod CCE especif.'!$A$3:$O$3,0)),"")</f>
        <v/>
      </c>
      <c r="F9" s="126" t="str">
        <f>IFERROR(INDEX('Lista precios mod CCE especif.'!$A$3:$O$278,MATCH('Opción B Selección de modelo de'!$B9,'Lista precios mod CCE especif.'!$E$3:$E$269,0),MATCH('Opción B Selección de modelo de'!F$2,'Lista precios mod CCE especif.'!$A$3:$O$3,0)),"")</f>
        <v/>
      </c>
      <c r="G9" s="54"/>
      <c r="H9" s="115" t="str">
        <f>IFERROR(IF(OR(EXACT(A9,'Lista precios mod CCE especif.'!$AB$14),EXACT(A9,'Lista precios mod CCE especif.'!$AB$16),EXACT(A9,'Lista precios mod CCE especif.'!$AB$17),EXACT(A9,'Lista precios mod CCE especif.'!$AB$18),EXACT(A9,'Lista precios mod CCE especif.'!$AB$19),EXACT(A9,'Lista precios mod CCE especif.'!$AB$20),EXACT(A9,'Lista precios mod CCE especif.'!$AB$21),EXACT(A9,'Lista precios mod CCE especif.'!$AB$22),EXACT(A9,'Lista precios mod CCE especif.'!$AB$23),EXACT(A9,'Lista precios mod CCE especif.'!$AB$24),EXACT(A9,'Lista precios mod CCE especif.'!$AB$25),EXACT(A9,'Lista precios mod CCE especif.'!$AB$26),EXACT(A9,'Lista precios mod CCE especif.'!$AB$27)),"N/A",G9+F9),"")</f>
        <v/>
      </c>
      <c r="I9" s="75"/>
      <c r="J9" s="76" t="str">
        <f t="shared" si="0"/>
        <v/>
      </c>
      <c r="K9" s="57"/>
      <c r="L9" s="156" t="str">
        <f t="shared" si="1"/>
        <v>_5.</v>
      </c>
    </row>
    <row r="10" spans="1:12" s="26" customFormat="1" ht="27" customHeight="1" x14ac:dyDescent="0.25">
      <c r="A10" s="44" t="s">
        <v>67</v>
      </c>
      <c r="B10" s="42"/>
      <c r="C10" s="29" t="str">
        <f>IFERROR(INDEX('Lista precios mod CCE especif.'!$A$3:$O$278,MATCH('Opción B Selección de modelo de'!$B10,'Lista precios mod CCE especif.'!$E$3:$E$278,0),MATCH('Opción B Selección de modelo de'!C$2,'Lista precios mod CCE especif.'!$A$3:$O$3,0)),"")</f>
        <v/>
      </c>
      <c r="D10" s="32" t="str">
        <f>IFERROR(INDEX('Lista precios mod CCE especif.'!$A$3:$O$278,MATCH('Opción B Selección de modelo de'!$B10,'Lista precios mod CCE especif.'!$E$3:$E$278,0),MATCH('Opción B Selección de modelo de'!D$2,'Lista precios mod CCE especif.'!$A$3:$O$3,0)),"")</f>
        <v/>
      </c>
      <c r="E10" s="32" t="str">
        <f>IFERROR(INDEX('Lista precios mod CCE especif.'!$A$3:$O$278,MATCH('Opción B Selección de modelo de'!$B10,'Lista precios mod CCE especif.'!$E$3:$E$278,0),MATCH('Opción B Selección de modelo de'!E$2,'Lista precios mod CCE especif.'!$A$3:$O$3,0)),"")</f>
        <v/>
      </c>
      <c r="F10" s="126" t="str">
        <f>IFERROR(INDEX('Lista precios mod CCE especif.'!$A$3:$O$278,MATCH('Opción B Selección de modelo de'!$B10,'Lista precios mod CCE especif.'!$E$3:$E$269,0),MATCH('Opción B Selección de modelo de'!F$2,'Lista precios mod CCE especif.'!$A$3:$O$3,0)),"")</f>
        <v/>
      </c>
      <c r="G10" s="54"/>
      <c r="H10" s="115" t="str">
        <f>IFERROR(IF(OR(EXACT(A10,'Lista precios mod CCE especif.'!$AB$14),EXACT(A10,'Lista precios mod CCE especif.'!$AB$16),EXACT(A10,'Lista precios mod CCE especif.'!$AB$17),EXACT(A10,'Lista precios mod CCE especif.'!$AB$18),EXACT(A10,'Lista precios mod CCE especif.'!$AB$19),EXACT(A10,'Lista precios mod CCE especif.'!$AB$20),EXACT(A10,'Lista precios mod CCE especif.'!$AB$21),EXACT(A10,'Lista precios mod CCE especif.'!$AB$22),EXACT(A10,'Lista precios mod CCE especif.'!$AB$23),EXACT(A10,'Lista precios mod CCE especif.'!$AB$24),EXACT(A10,'Lista precios mod CCE especif.'!$AB$25),EXACT(A10,'Lista precios mod CCE especif.'!$AB$26),EXACT(A10,'Lista precios mod CCE especif.'!$AB$27)),"N/A",G10+F10),"")</f>
        <v/>
      </c>
      <c r="I10" s="75"/>
      <c r="J10" s="76" t="str">
        <f t="shared" si="0"/>
        <v/>
      </c>
      <c r="K10" s="57"/>
      <c r="L10" s="156" t="str">
        <f t="shared" si="1"/>
        <v>_6.</v>
      </c>
    </row>
    <row r="11" spans="1:12" s="26" customFormat="1" ht="27" customHeight="1" x14ac:dyDescent="0.25">
      <c r="A11" s="44" t="s">
        <v>67</v>
      </c>
      <c r="B11" s="42"/>
      <c r="C11" s="29" t="str">
        <f>IFERROR(INDEX('Lista precios mod CCE especif.'!$A$3:$O$278,MATCH('Opción B Selección de modelo de'!$B11,'Lista precios mod CCE especif.'!$E$3:$E$278,0),MATCH('Opción B Selección de modelo de'!C$2,'Lista precios mod CCE especif.'!$A$3:$O$3,0)),"")</f>
        <v/>
      </c>
      <c r="D11" s="32" t="str">
        <f>IFERROR(INDEX('Lista precios mod CCE especif.'!$A$3:$O$278,MATCH('Opción B Selección de modelo de'!$B11,'Lista precios mod CCE especif.'!$E$3:$E$278,0),MATCH('Opción B Selección de modelo de'!D$2,'Lista precios mod CCE especif.'!$A$3:$O$3,0)),"")</f>
        <v/>
      </c>
      <c r="E11" s="32" t="str">
        <f>IFERROR(INDEX('Lista precios mod CCE especif.'!$A$3:$O$278,MATCH('Opción B Selección de modelo de'!$B11,'Lista precios mod CCE especif.'!$E$3:$E$278,0),MATCH('Opción B Selección de modelo de'!E$2,'Lista precios mod CCE especif.'!$A$3:$O$3,0)),"")</f>
        <v/>
      </c>
      <c r="F11" s="126" t="str">
        <f>IFERROR(INDEX('Lista precios mod CCE especif.'!$A$3:$O$278,MATCH('Opción B Selección de modelo de'!$B11,'Lista precios mod CCE especif.'!$E$3:$E$269,0),MATCH('Opción B Selección de modelo de'!F$2,'Lista precios mod CCE especif.'!$A$3:$O$3,0)),"")</f>
        <v/>
      </c>
      <c r="G11" s="54"/>
      <c r="H11" s="115" t="str">
        <f>IFERROR(IF(OR(EXACT(A11,'Lista precios mod CCE especif.'!$AB$14),EXACT(A11,'Lista precios mod CCE especif.'!$AB$16),EXACT(A11,'Lista precios mod CCE especif.'!$AB$17),EXACT(A11,'Lista precios mod CCE especif.'!$AB$18),EXACT(A11,'Lista precios mod CCE especif.'!$AB$19),EXACT(A11,'Lista precios mod CCE especif.'!$AB$20),EXACT(A11,'Lista precios mod CCE especif.'!$AB$21),EXACT(A11,'Lista precios mod CCE especif.'!$AB$22),EXACT(A11,'Lista precios mod CCE especif.'!$AB$23),EXACT(A11,'Lista precios mod CCE especif.'!$AB$24),EXACT(A11,'Lista precios mod CCE especif.'!$AB$25),EXACT(A11,'Lista precios mod CCE especif.'!$AB$26),EXACT(A11,'Lista precios mod CCE especif.'!$AB$27)),"N/A",G11+F11),"")</f>
        <v/>
      </c>
      <c r="I11" s="75"/>
      <c r="J11" s="76" t="str">
        <f t="shared" si="0"/>
        <v/>
      </c>
      <c r="K11" s="57"/>
      <c r="L11" s="156" t="str">
        <f t="shared" si="1"/>
        <v>_6.</v>
      </c>
    </row>
    <row r="12" spans="1:12" s="26" customFormat="1" ht="27" customHeight="1" x14ac:dyDescent="0.25">
      <c r="A12" s="44" t="s">
        <v>68</v>
      </c>
      <c r="B12" s="42"/>
      <c r="C12" s="29" t="str">
        <f>IFERROR(INDEX('Lista precios mod CCE especif.'!$A$3:$O$278,MATCH('Opción B Selección de modelo de'!$B12,'Lista precios mod CCE especif.'!$E$3:$E$278,0),MATCH('Opción B Selección de modelo de'!C$2,'Lista precios mod CCE especif.'!$A$3:$O$3,0)),"")</f>
        <v/>
      </c>
      <c r="D12" s="32" t="str">
        <f>IFERROR(INDEX('Lista precios mod CCE especif.'!$A$3:$O$278,MATCH('Opción B Selección de modelo de'!$B12,'Lista precios mod CCE especif.'!$E$3:$E$278,0),MATCH('Opción B Selección de modelo de'!D$2,'Lista precios mod CCE especif.'!$A$3:$O$3,0)),"")</f>
        <v/>
      </c>
      <c r="E12" s="32" t="str">
        <f>IFERROR(INDEX('Lista precios mod CCE especif.'!$A$3:$O$278,MATCH('Opción B Selección de modelo de'!$B12,'Lista precios mod CCE especif.'!$E$3:$E$278,0),MATCH('Opción B Selección de modelo de'!E$2,'Lista precios mod CCE especif.'!$A$3:$O$3,0)),"")</f>
        <v/>
      </c>
      <c r="F12" s="126" t="str">
        <f>IFERROR(INDEX('Lista precios mod CCE especif.'!$A$3:$O$278,MATCH('Opción B Selección de modelo de'!$B12,'Lista precios mod CCE especif.'!$E$3:$E$269,0),MATCH('Opción B Selección de modelo de'!F$2,'Lista precios mod CCE especif.'!$A$3:$O$3,0)),"")</f>
        <v/>
      </c>
      <c r="G12" s="54"/>
      <c r="H12" s="115" t="str">
        <f>IFERROR(IF(OR(EXACT(A12,'Lista precios mod CCE especif.'!$AB$14),EXACT(A12,'Lista precios mod CCE especif.'!$AB$16),EXACT(A12,'Lista precios mod CCE especif.'!$AB$17),EXACT(A12,'Lista precios mod CCE especif.'!$AB$18),EXACT(A12,'Lista precios mod CCE especif.'!$AB$19),EXACT(A12,'Lista precios mod CCE especif.'!$AB$20),EXACT(A12,'Lista precios mod CCE especif.'!$AB$21),EXACT(A12,'Lista precios mod CCE especif.'!$AB$22),EXACT(A12,'Lista precios mod CCE especif.'!$AB$23),EXACT(A12,'Lista precios mod CCE especif.'!$AB$24),EXACT(A12,'Lista precios mod CCE especif.'!$AB$25),EXACT(A12,'Lista precios mod CCE especif.'!$AB$26),EXACT(A12,'Lista precios mod CCE especif.'!$AB$27)),"N/A",G12+F12),"")</f>
        <v/>
      </c>
      <c r="I12" s="75"/>
      <c r="J12" s="76" t="str">
        <f t="shared" si="0"/>
        <v/>
      </c>
      <c r="K12" s="57"/>
      <c r="L12" s="156" t="str">
        <f t="shared" si="1"/>
        <v>_7.</v>
      </c>
    </row>
    <row r="13" spans="1:12" s="26" customFormat="1" ht="27" customHeight="1" x14ac:dyDescent="0.25">
      <c r="A13" s="45" t="s">
        <v>69</v>
      </c>
      <c r="B13" s="42"/>
      <c r="C13" s="29" t="str">
        <f>IFERROR(INDEX('Lista precios mod CCE especif.'!$A$3:$O$278,MATCH('Opción B Selección de modelo de'!$B13,'Lista precios mod CCE especif.'!$E$3:$E$278,0),MATCH('Opción B Selección de modelo de'!C$2,'Lista precios mod CCE especif.'!$A$3:$O$3,0)),"")</f>
        <v/>
      </c>
      <c r="D13" s="32" t="str">
        <f>IFERROR(INDEX('Lista precios mod CCE especif.'!$A$3:$O$278,MATCH('Opción B Selección de modelo de'!$B13,'Lista precios mod CCE especif.'!$E$3:$E$278,0),MATCH('Opción B Selección de modelo de'!D$2,'Lista precios mod CCE especif.'!$A$3:$O$3,0)),"")</f>
        <v/>
      </c>
      <c r="E13" s="32" t="str">
        <f>IFERROR(INDEX('Lista precios mod CCE especif.'!$A$3:$O$278,MATCH('Opción B Selección de modelo de'!$B13,'Lista precios mod CCE especif.'!$E$3:$E$278,0),MATCH('Opción B Selección de modelo de'!E$2,'Lista precios mod CCE especif.'!$A$3:$O$3,0)),"")</f>
        <v/>
      </c>
      <c r="F13" s="126" t="str">
        <f>IFERROR(INDEX('Lista precios mod CCE especif.'!$A$3:$O$278,MATCH('Opción B Selección de modelo de'!$B13,'Lista precios mod CCE especif.'!$E$3:$E$269,0),MATCH('Opción B Selección de modelo de'!F$2,'Lista precios mod CCE especif.'!$A$3:$O$3,0)),"")</f>
        <v/>
      </c>
      <c r="G13" s="54"/>
      <c r="H13" s="115" t="str">
        <f>IFERROR(IF(OR(EXACT(A13,'Lista precios mod CCE especif.'!$AB$14),EXACT(A13,'Lista precios mod CCE especif.'!$AB$16),EXACT(A13,'Lista precios mod CCE especif.'!$AB$17),EXACT(A13,'Lista precios mod CCE especif.'!$AB$18),EXACT(A13,'Lista precios mod CCE especif.'!$AB$19),EXACT(A13,'Lista precios mod CCE especif.'!$AB$20),EXACT(A13,'Lista precios mod CCE especif.'!$AB$21),EXACT(A13,'Lista precios mod CCE especif.'!$AB$22),EXACT(A13,'Lista precios mod CCE especif.'!$AB$23),EXACT(A13,'Lista precios mod CCE especif.'!$AB$24),EXACT(A13,'Lista precios mod CCE especif.'!$AB$25),EXACT(A13,'Lista precios mod CCE especif.'!$AB$26),EXACT(A13,'Lista precios mod CCE especif.'!$AB$27)),"N/A",G13+F13),"")</f>
        <v/>
      </c>
      <c r="I13" s="75"/>
      <c r="J13" s="76" t="str">
        <f t="shared" si="0"/>
        <v/>
      </c>
      <c r="K13" s="57"/>
      <c r="L13" s="156" t="str">
        <f t="shared" si="1"/>
        <v>_8.</v>
      </c>
    </row>
    <row r="14" spans="1:12" s="26" customFormat="1" ht="27" customHeight="1" x14ac:dyDescent="0.25">
      <c r="A14" s="46" t="s">
        <v>69</v>
      </c>
      <c r="B14" s="42"/>
      <c r="C14" s="29" t="str">
        <f>IFERROR(INDEX('Lista precios mod CCE especif.'!$A$3:$O$278,MATCH('Opción B Selección de modelo de'!$B14,'Lista precios mod CCE especif.'!$E$3:$E$278,0),MATCH('Opción B Selección de modelo de'!C$2,'Lista precios mod CCE especif.'!$A$3:$O$3,0)),"")</f>
        <v/>
      </c>
      <c r="D14" s="32" t="str">
        <f>IFERROR(INDEX('Lista precios mod CCE especif.'!$A$3:$O$278,MATCH('Opción B Selección de modelo de'!$B14,'Lista precios mod CCE especif.'!$E$3:$E$278,0),MATCH('Opción B Selección de modelo de'!D$2,'Lista precios mod CCE especif.'!$A$3:$O$3,0)),"")</f>
        <v/>
      </c>
      <c r="E14" s="32" t="str">
        <f>IFERROR(INDEX('Lista precios mod CCE especif.'!$A$3:$O$278,MATCH('Opción B Selección de modelo de'!$B14,'Lista precios mod CCE especif.'!$E$3:$E$278,0),MATCH('Opción B Selección de modelo de'!E$2,'Lista precios mod CCE especif.'!$A$3:$O$3,0)),"")</f>
        <v/>
      </c>
      <c r="F14" s="126" t="str">
        <f>IFERROR(INDEX('Lista precios mod CCE especif.'!$A$3:$O$278,MATCH('Opción B Selección de modelo de'!$B14,'Lista precios mod CCE especif.'!$E$3:$E$269,0),MATCH('Opción B Selección de modelo de'!F$2,'Lista precios mod CCE especif.'!$A$3:$O$3,0)),"")</f>
        <v/>
      </c>
      <c r="G14" s="54"/>
      <c r="H14" s="115" t="str">
        <f>IFERROR(IF(OR(EXACT(A14,'Lista precios mod CCE especif.'!$AB$14),EXACT(A14,'Lista precios mod CCE especif.'!$AB$16),EXACT(A14,'Lista precios mod CCE especif.'!$AB$17),EXACT(A14,'Lista precios mod CCE especif.'!$AB$18),EXACT(A14,'Lista precios mod CCE especif.'!$AB$19),EXACT(A14,'Lista precios mod CCE especif.'!$AB$20),EXACT(A14,'Lista precios mod CCE especif.'!$AB$21),EXACT(A14,'Lista precios mod CCE especif.'!$AB$22),EXACT(A14,'Lista precios mod CCE especif.'!$AB$23),EXACT(A14,'Lista precios mod CCE especif.'!$AB$24),EXACT(A14,'Lista precios mod CCE especif.'!$AB$25),EXACT(A14,'Lista precios mod CCE especif.'!$AB$26),EXACT(A14,'Lista precios mod CCE especif.'!$AB$27)),"N/A",G14+F14),"")</f>
        <v/>
      </c>
      <c r="I14" s="75"/>
      <c r="J14" s="76" t="str">
        <f t="shared" si="0"/>
        <v/>
      </c>
      <c r="K14" s="57"/>
      <c r="L14" s="156" t="str">
        <f t="shared" si="1"/>
        <v>_8.</v>
      </c>
    </row>
    <row r="15" spans="1:12" s="26" customFormat="1" ht="27" customHeight="1" x14ac:dyDescent="0.25">
      <c r="A15" s="46" t="s">
        <v>70</v>
      </c>
      <c r="B15" s="42"/>
      <c r="C15" s="29" t="str">
        <f>IFERROR(INDEX('Lista precios mod CCE especif.'!$A$3:$O$278,MATCH('Opción B Selección de modelo de'!$B15,'Lista precios mod CCE especif.'!$E$3:$E$278,0),MATCH('Opción B Selección de modelo de'!C$2,'Lista precios mod CCE especif.'!$A$3:$O$3,0)),"")</f>
        <v/>
      </c>
      <c r="D15" s="32" t="str">
        <f>IFERROR(INDEX('Lista precios mod CCE especif.'!$A$3:$O$278,MATCH('Opción B Selección de modelo de'!$B15,'Lista precios mod CCE especif.'!$E$3:$E$278,0),MATCH('Opción B Selección de modelo de'!D$2,'Lista precios mod CCE especif.'!$A$3:$O$3,0)),"")</f>
        <v/>
      </c>
      <c r="E15" s="32" t="str">
        <f>IFERROR(INDEX('Lista precios mod CCE especif.'!$A$3:$O$278,MATCH('Opción B Selección de modelo de'!$B15,'Lista precios mod CCE especif.'!$E$3:$E$278,0),MATCH('Opción B Selección de modelo de'!E$2,'Lista precios mod CCE especif.'!$A$3:$O$3,0)),"")</f>
        <v/>
      </c>
      <c r="F15" s="126" t="str">
        <f>IFERROR(INDEX('Lista precios mod CCE especif.'!$A$3:$O$278,MATCH('Opción B Selección de modelo de'!$B15,'Lista precios mod CCE especif.'!$E$3:$E$269,0),MATCH('Opción B Selección de modelo de'!F$2,'Lista precios mod CCE especif.'!$A$3:$O$3,0)),"")</f>
        <v/>
      </c>
      <c r="G15" s="54"/>
      <c r="H15" s="115" t="str">
        <f>IFERROR(IF(OR(EXACT(A15,'Lista precios mod CCE especif.'!$AB$14),EXACT(A15,'Lista precios mod CCE especif.'!$AB$16),EXACT(A15,'Lista precios mod CCE especif.'!$AB$17),EXACT(A15,'Lista precios mod CCE especif.'!$AB$18),EXACT(A15,'Lista precios mod CCE especif.'!$AB$19),EXACT(A15,'Lista precios mod CCE especif.'!$AB$20),EXACT(A15,'Lista precios mod CCE especif.'!$AB$21),EXACT(A15,'Lista precios mod CCE especif.'!$AB$22),EXACT(A15,'Lista precios mod CCE especif.'!$AB$23),EXACT(A15,'Lista precios mod CCE especif.'!$AB$24),EXACT(A15,'Lista precios mod CCE especif.'!$AB$25),EXACT(A15,'Lista precios mod CCE especif.'!$AB$26),EXACT(A15,'Lista precios mod CCE especif.'!$AB$27)),"N/A",G15+F15),"")</f>
        <v/>
      </c>
      <c r="I15" s="75"/>
      <c r="J15" s="76" t="str">
        <f t="shared" si="0"/>
        <v/>
      </c>
      <c r="K15" s="57"/>
      <c r="L15" s="156" t="str">
        <f t="shared" si="1"/>
        <v>_9.</v>
      </c>
    </row>
    <row r="16" spans="1:12" s="26" customFormat="1" ht="27" customHeight="1" x14ac:dyDescent="0.25">
      <c r="A16" s="46" t="s">
        <v>70</v>
      </c>
      <c r="B16" s="42"/>
      <c r="C16" s="29" t="str">
        <f>IFERROR(INDEX('Lista precios mod CCE especif.'!$A$3:$O$278,MATCH('Opción B Selección de modelo de'!$B16,'Lista precios mod CCE especif.'!$E$3:$E$278,0),MATCH('Opción B Selección de modelo de'!C$2,'Lista precios mod CCE especif.'!$A$3:$O$3,0)),"")</f>
        <v/>
      </c>
      <c r="D16" s="32" t="str">
        <f>IFERROR(INDEX('Lista precios mod CCE especif.'!$A$3:$O$278,MATCH('Opción B Selección de modelo de'!$B16,'Lista precios mod CCE especif.'!$E$3:$E$278,0),MATCH('Opción B Selección de modelo de'!D$2,'Lista precios mod CCE especif.'!$A$3:$O$3,0)),"")</f>
        <v/>
      </c>
      <c r="E16" s="32" t="str">
        <f>IFERROR(INDEX('Lista precios mod CCE especif.'!$A$3:$O$278,MATCH('Opción B Selección de modelo de'!$B16,'Lista precios mod CCE especif.'!$E$3:$E$278,0),MATCH('Opción B Selección de modelo de'!E$2,'Lista precios mod CCE especif.'!$A$3:$O$3,0)),"")</f>
        <v/>
      </c>
      <c r="F16" s="126" t="str">
        <f>IFERROR(INDEX('Lista precios mod CCE especif.'!$A$3:$O$278,MATCH('Opción B Selección de modelo de'!$B16,'Lista precios mod CCE especif.'!$E$3:$E$269,0),MATCH('Opción B Selección de modelo de'!F$2,'Lista precios mod CCE especif.'!$A$3:$O$3,0)),"")</f>
        <v/>
      </c>
      <c r="G16" s="54"/>
      <c r="H16" s="115" t="str">
        <f>IFERROR(IF(OR(EXACT(A16,'Lista precios mod CCE especif.'!$AB$14),EXACT(A16,'Lista precios mod CCE especif.'!$AB$16),EXACT(A16,'Lista precios mod CCE especif.'!$AB$17),EXACT(A16,'Lista precios mod CCE especif.'!$AB$18),EXACT(A16,'Lista precios mod CCE especif.'!$AB$19),EXACT(A16,'Lista precios mod CCE especif.'!$AB$20),EXACT(A16,'Lista precios mod CCE especif.'!$AB$21),EXACT(A16,'Lista precios mod CCE especif.'!$AB$22),EXACT(A16,'Lista precios mod CCE especif.'!$AB$23),EXACT(A16,'Lista precios mod CCE especif.'!$AB$24),EXACT(A16,'Lista precios mod CCE especif.'!$AB$25),EXACT(A16,'Lista precios mod CCE especif.'!$AB$26),EXACT(A16,'Lista precios mod CCE especif.'!$AB$27)),"N/A",G16+F16),"")</f>
        <v/>
      </c>
      <c r="I16" s="75"/>
      <c r="J16" s="76" t="str">
        <f t="shared" si="0"/>
        <v/>
      </c>
      <c r="K16" s="57"/>
      <c r="L16" s="156" t="str">
        <f t="shared" si="1"/>
        <v>_9.</v>
      </c>
    </row>
    <row r="17" spans="1:12" s="26" customFormat="1" ht="27" customHeight="1" x14ac:dyDescent="0.25">
      <c r="A17" s="46" t="s">
        <v>70</v>
      </c>
      <c r="B17" s="42"/>
      <c r="C17" s="29" t="str">
        <f>IFERROR(INDEX('Lista precios mod CCE especif.'!$A$3:$O$278,MATCH('Opción B Selección de modelo de'!$B17,'Lista precios mod CCE especif.'!$E$3:$E$278,0),MATCH('Opción B Selección de modelo de'!C$2,'Lista precios mod CCE especif.'!$A$3:$O$3,0)),"")</f>
        <v/>
      </c>
      <c r="D17" s="32" t="str">
        <f>IFERROR(INDEX('Lista precios mod CCE especif.'!$A$3:$O$278,MATCH('Opción B Selección de modelo de'!$B17,'Lista precios mod CCE especif.'!$E$3:$E$278,0),MATCH('Opción B Selección de modelo de'!D$2,'Lista precios mod CCE especif.'!$A$3:$O$3,0)),"")</f>
        <v/>
      </c>
      <c r="E17" s="32" t="str">
        <f>IFERROR(INDEX('Lista precios mod CCE especif.'!$A$3:$O$278,MATCH('Opción B Selección de modelo de'!$B17,'Lista precios mod CCE especif.'!$E$3:$E$278,0),MATCH('Opción B Selección de modelo de'!E$2,'Lista precios mod CCE especif.'!$A$3:$O$3,0)),"")</f>
        <v/>
      </c>
      <c r="F17" s="126" t="str">
        <f>IFERROR(INDEX('Lista precios mod CCE especif.'!$A$3:$O$278,MATCH('Opción B Selección de modelo de'!$B17,'Lista precios mod CCE especif.'!$E$3:$E$269,0),MATCH('Opción B Selección de modelo de'!F$2,'Lista precios mod CCE especif.'!$A$3:$O$3,0)),"")</f>
        <v/>
      </c>
      <c r="G17" s="54"/>
      <c r="H17" s="115" t="str">
        <f>IFERROR(IF(OR(EXACT(A17,'Lista precios mod CCE especif.'!$AB$14),EXACT(A17,'Lista precios mod CCE especif.'!$AB$16),EXACT(A17,'Lista precios mod CCE especif.'!$AB$17),EXACT(A17,'Lista precios mod CCE especif.'!$AB$18),EXACT(A17,'Lista precios mod CCE especif.'!$AB$19),EXACT(A17,'Lista precios mod CCE especif.'!$AB$20),EXACT(A17,'Lista precios mod CCE especif.'!$AB$21),EXACT(A17,'Lista precios mod CCE especif.'!$AB$22),EXACT(A17,'Lista precios mod CCE especif.'!$AB$23),EXACT(A17,'Lista precios mod CCE especif.'!$AB$24),EXACT(A17,'Lista precios mod CCE especif.'!$AB$25),EXACT(A17,'Lista precios mod CCE especif.'!$AB$26),EXACT(A17,'Lista precios mod CCE especif.'!$AB$27)),"N/A",G17+F17),"")</f>
        <v/>
      </c>
      <c r="I17" s="75"/>
      <c r="J17" s="76" t="str">
        <f t="shared" si="0"/>
        <v/>
      </c>
      <c r="K17" s="57"/>
      <c r="L17" s="156" t="str">
        <f t="shared" si="1"/>
        <v>_9.</v>
      </c>
    </row>
    <row r="18" spans="1:12" s="26" customFormat="1" ht="27" customHeight="1" x14ac:dyDescent="0.25">
      <c r="A18" s="47" t="s">
        <v>71</v>
      </c>
      <c r="B18" s="42"/>
      <c r="C18" s="29" t="str">
        <f>IFERROR(INDEX('Lista precios mod CCE especif.'!$A$3:$O$278,MATCH('Opción B Selección de modelo de'!$B18,'Lista precios mod CCE especif.'!$E$3:$E$278,0),MATCH('Opción B Selección de modelo de'!C$2,'Lista precios mod CCE especif.'!$A$3:$O$3,0)),"")</f>
        <v/>
      </c>
      <c r="D18" s="32" t="str">
        <f>IFERROR(INDEX('Lista precios mod CCE especif.'!$A$3:$O$278,MATCH('Opción B Selección de modelo de'!$B18,'Lista precios mod CCE especif.'!$E$3:$E$278,0),MATCH('Opción B Selección de modelo de'!D$2,'Lista precios mod CCE especif.'!$A$3:$O$3,0)),"")</f>
        <v/>
      </c>
      <c r="E18" s="32" t="str">
        <f>IFERROR(INDEX('Lista precios mod CCE especif.'!$A$3:$O$278,MATCH('Opción B Selección de modelo de'!$B18,'Lista precios mod CCE especif.'!$E$3:$E$278,0),MATCH('Opción B Selección de modelo de'!E$2,'Lista precios mod CCE especif.'!$A$3:$O$3,0)),"")</f>
        <v/>
      </c>
      <c r="F18" s="126" t="str">
        <f>IFERROR(INDEX('Lista precios mod CCE especif.'!$A$3:$O$278,MATCH('Opción B Selección de modelo de'!$B18,'Lista precios mod CCE especif.'!$E$3:$E$269,0),MATCH('Opción B Selección de modelo de'!F$2,'Lista precios mod CCE especif.'!$A$3:$O$3,0)),"")</f>
        <v/>
      </c>
      <c r="G18" s="54"/>
      <c r="H18" s="115" t="str">
        <f>IFERROR(IF(OR(EXACT(A18,'Lista precios mod CCE especif.'!$AB$14),EXACT(A18,'Lista precios mod CCE especif.'!$AB$16),EXACT(A18,'Lista precios mod CCE especif.'!$AB$17),EXACT(A18,'Lista precios mod CCE especif.'!$AB$18),EXACT(A18,'Lista precios mod CCE especif.'!$AB$19),EXACT(A18,'Lista precios mod CCE especif.'!$AB$20),EXACT(A18,'Lista precios mod CCE especif.'!$AB$21),EXACT(A18,'Lista precios mod CCE especif.'!$AB$22),EXACT(A18,'Lista precios mod CCE especif.'!$AB$23),EXACT(A18,'Lista precios mod CCE especif.'!$AB$24),EXACT(A18,'Lista precios mod CCE especif.'!$AB$25),EXACT(A18,'Lista precios mod CCE especif.'!$AB$26),EXACT(A18,'Lista precios mod CCE especif.'!$AB$27)),"N/A",G18+F18),"")</f>
        <v/>
      </c>
      <c r="I18" s="75"/>
      <c r="J18" s="76" t="str">
        <f t="shared" si="0"/>
        <v/>
      </c>
      <c r="K18" s="57"/>
      <c r="L18" s="156" t="str">
        <f t="shared" si="1"/>
        <v>_10</v>
      </c>
    </row>
    <row r="19" spans="1:12" s="26" customFormat="1" ht="27" customHeight="1" x14ac:dyDescent="0.25">
      <c r="A19" s="47" t="s">
        <v>71</v>
      </c>
      <c r="B19" s="42"/>
      <c r="C19" s="29" t="str">
        <f>IFERROR(INDEX('Lista precios mod CCE especif.'!$A$3:$O$278,MATCH('Opción B Selección de modelo de'!$B19,'Lista precios mod CCE especif.'!$E$3:$E$278,0),MATCH('Opción B Selección de modelo de'!C$2,'Lista precios mod CCE especif.'!$A$3:$O$3,0)),"")</f>
        <v/>
      </c>
      <c r="D19" s="32" t="str">
        <f>IFERROR(INDEX('Lista precios mod CCE especif.'!$A$3:$O$278,MATCH('Opción B Selección de modelo de'!$B19,'Lista precios mod CCE especif.'!$E$3:$E$278,0),MATCH('Opción B Selección de modelo de'!D$2,'Lista precios mod CCE especif.'!$A$3:$O$3,0)),"")</f>
        <v/>
      </c>
      <c r="E19" s="32" t="str">
        <f>IFERROR(INDEX('Lista precios mod CCE especif.'!$A$3:$O$278,MATCH('Opción B Selección de modelo de'!$B19,'Lista precios mod CCE especif.'!$E$3:$E$278,0),MATCH('Opción B Selección de modelo de'!E$2,'Lista precios mod CCE especif.'!$A$3:$O$3,0)),"")</f>
        <v/>
      </c>
      <c r="F19" s="126" t="str">
        <f>IFERROR(INDEX('Lista precios mod CCE especif.'!$A$3:$O$278,MATCH('Opción B Selección de modelo de'!$B19,'Lista precios mod CCE especif.'!$E$3:$E$269,0),MATCH('Opción B Selección de modelo de'!F$2,'Lista precios mod CCE especif.'!$A$3:$O$3,0)),"")</f>
        <v/>
      </c>
      <c r="G19" s="54"/>
      <c r="H19" s="115" t="str">
        <f>IFERROR(IF(OR(EXACT(A19,'Lista precios mod CCE especif.'!$AB$14),EXACT(A19,'Lista precios mod CCE especif.'!$AB$16),EXACT(A19,'Lista precios mod CCE especif.'!$AB$17),EXACT(A19,'Lista precios mod CCE especif.'!$AB$18),EXACT(A19,'Lista precios mod CCE especif.'!$AB$19),EXACT(A19,'Lista precios mod CCE especif.'!$AB$20),EXACT(A19,'Lista precios mod CCE especif.'!$AB$21),EXACT(A19,'Lista precios mod CCE especif.'!$AB$22),EXACT(A19,'Lista precios mod CCE especif.'!$AB$23),EXACT(A19,'Lista precios mod CCE especif.'!$AB$24),EXACT(A19,'Lista precios mod CCE especif.'!$AB$25),EXACT(A19,'Lista precios mod CCE especif.'!$AB$26),EXACT(A19,'Lista precios mod CCE especif.'!$AB$27)),"N/A",G19+F19),"")</f>
        <v/>
      </c>
      <c r="I19" s="75"/>
      <c r="J19" s="76" t="str">
        <f t="shared" si="0"/>
        <v/>
      </c>
      <c r="K19" s="57"/>
      <c r="L19" s="156" t="str">
        <f t="shared" si="1"/>
        <v>_10</v>
      </c>
    </row>
    <row r="20" spans="1:12" s="26" customFormat="1" ht="27" customHeight="1" x14ac:dyDescent="0.25">
      <c r="A20" s="48" t="s">
        <v>428</v>
      </c>
      <c r="B20" s="42"/>
      <c r="C20" s="29" t="str">
        <f>IFERROR(INDEX('Lista precios mod CCE especif.'!$A$3:$O$278,MATCH('Opción B Selección de modelo de'!$B20,'Lista precios mod CCE especif.'!$E$3:$E$278,0),MATCH('Opción B Selección de modelo de'!C$2,'Lista precios mod CCE especif.'!$A$3:$O$3,0)),"")</f>
        <v/>
      </c>
      <c r="D20" s="32" t="str">
        <f>IFERROR(INDEX('Lista precios mod CCE especif.'!$A$3:$O$278,MATCH('Opción B Selección de modelo de'!$B20,'Lista precios mod CCE especif.'!$E$3:$E$278,0),MATCH('Opción B Selección de modelo de'!D$2,'Lista precios mod CCE especif.'!$A$3:$O$3,0)),"")</f>
        <v/>
      </c>
      <c r="E20" s="32" t="str">
        <f>IFERROR(INDEX('Lista precios mod CCE especif.'!$A$3:$O$278,MATCH('Opción B Selección de modelo de'!$B20,'Lista precios mod CCE especif.'!$E$3:$E$278,0),MATCH('Opción B Selección de modelo de'!E$2,'Lista precios mod CCE especif.'!$A$3:$O$3,0)),"")</f>
        <v/>
      </c>
      <c r="F20" s="126" t="str">
        <f>IFERROR(INDEX('Lista precios mod CCE especif.'!$A$3:$O$278,MATCH('Opción B Selección de modelo de'!$B20,'Lista precios mod CCE especif.'!$E$3:$E$269,0),MATCH('Opción B Selección de modelo de'!F$2,'Lista precios mod CCE especif.'!$A$3:$O$3,0)),"")</f>
        <v/>
      </c>
      <c r="G20" s="174"/>
      <c r="H20" s="115" t="str">
        <f>IFERROR(IF(OR(EXACT(A20,'Lista precios mod CCE especif.'!$AB$14),EXACT(A20,'Lista precios mod CCE especif.'!$AB$16),EXACT(A20,'Lista precios mod CCE especif.'!$AB$17),EXACT(A20,'Lista precios mod CCE especif.'!$AB$18),EXACT(A20,'Lista precios mod CCE especif.'!$AB$19),EXACT(A20,'Lista precios mod CCE especif.'!$AB$20),EXACT(A20,'Lista precios mod CCE especif.'!$AB$21),EXACT(A20,'Lista precios mod CCE especif.'!$AB$22),EXACT(A20,'Lista precios mod CCE especif.'!$AB$23),EXACT(A20,'Lista precios mod CCE especif.'!$AB$24),EXACT(A20,'Lista precios mod CCE especif.'!$AB$25),EXACT(A20,'Lista precios mod CCE especif.'!$AB$26),EXACT(A20,'Lista precios mod CCE especif.'!$AB$27)),"N/A",G20+F20),"")</f>
        <v>N/A</v>
      </c>
      <c r="I20" s="75"/>
      <c r="J20" s="76" t="str">
        <f t="shared" si="0"/>
        <v/>
      </c>
      <c r="K20" s="57"/>
      <c r="L20" s="156" t="str">
        <f t="shared" si="1"/>
        <v>_11</v>
      </c>
    </row>
    <row r="21" spans="1:12" s="26" customFormat="1" ht="27" customHeight="1" x14ac:dyDescent="0.25">
      <c r="A21" s="49" t="s">
        <v>429</v>
      </c>
      <c r="B21" s="42"/>
      <c r="C21" s="29" t="str">
        <f>IFERROR(INDEX('Lista precios mod CCE especif.'!$A$3:$O$278,MATCH('Opción B Selección de modelo de'!$B21,'Lista precios mod CCE especif.'!$E$3:$E$278,0),MATCH('Opción B Selección de modelo de'!C$2,'Lista precios mod CCE especif.'!$A$3:$O$3,0)),"")</f>
        <v/>
      </c>
      <c r="D21" s="32" t="str">
        <f>IFERROR(INDEX('Lista precios mod CCE especif.'!$A$3:$O$278,MATCH('Opción B Selección de modelo de'!$B21,'Lista precios mod CCE especif.'!$E$3:$E$278,0),MATCH('Opción B Selección de modelo de'!D$2,'Lista precios mod CCE especif.'!$A$3:$O$3,0)),"")</f>
        <v/>
      </c>
      <c r="E21" s="32" t="str">
        <f>IFERROR(INDEX('Lista precios mod CCE especif.'!$A$3:$O$278,MATCH('Opción B Selección de modelo de'!$B21,'Lista precios mod CCE especif.'!$E$3:$E$278,0),MATCH('Opción B Selección de modelo de'!E$2,'Lista precios mod CCE especif.'!$A$3:$O$3,0)),"")</f>
        <v/>
      </c>
      <c r="F21" s="126" t="str">
        <f>IFERROR(INDEX('Lista precios mod CCE especif.'!$A$3:$O$278,MATCH('Opción B Selección de modelo de'!$B21,'Lista precios mod CCE especif.'!$E$3:$E$269,0),MATCH('Opción B Selección de modelo de'!F$2,'Lista precios mod CCE especif.'!$A$3:$O$3,0)),"")</f>
        <v/>
      </c>
      <c r="G21" s="54"/>
      <c r="H21" s="115" t="str">
        <f>IFERROR(IF(OR(EXACT(A21,'Lista precios mod CCE especif.'!$AB$14),EXACT(A21,'Lista precios mod CCE especif.'!$AB$16),EXACT(A21,'Lista precios mod CCE especif.'!$AB$17),EXACT(A21,'Lista precios mod CCE especif.'!$AB$18),EXACT(A21,'Lista precios mod CCE especif.'!$AB$19),EXACT(A21,'Lista precios mod CCE especif.'!$AB$20),EXACT(A21,'Lista precios mod CCE especif.'!$AB$21),EXACT(A21,'Lista precios mod CCE especif.'!$AB$22),EXACT(A21,'Lista precios mod CCE especif.'!$AB$23),EXACT(A21,'Lista precios mod CCE especif.'!$AB$24),EXACT(A21,'Lista precios mod CCE especif.'!$AB$25),EXACT(A21,'Lista precios mod CCE especif.'!$AB$26),EXACT(A21,'Lista precios mod CCE especif.'!$AB$27)),"N/A",G21+F21),"")</f>
        <v/>
      </c>
      <c r="I21" s="75"/>
      <c r="J21" s="76" t="str">
        <f t="shared" si="0"/>
        <v/>
      </c>
      <c r="K21" s="57"/>
      <c r="L21" s="156" t="str">
        <f t="shared" si="1"/>
        <v>_12</v>
      </c>
    </row>
    <row r="22" spans="1:12" s="26" customFormat="1" ht="27" customHeight="1" x14ac:dyDescent="0.25">
      <c r="A22" s="49" t="s">
        <v>429</v>
      </c>
      <c r="B22" s="42"/>
      <c r="C22" s="29" t="str">
        <f>IFERROR(INDEX('Lista precios mod CCE especif.'!$A$3:$O$278,MATCH('Opción B Selección de modelo de'!$B22,'Lista precios mod CCE especif.'!$E$3:$E$278,0),MATCH('Opción B Selección de modelo de'!C$2,'Lista precios mod CCE especif.'!$A$3:$O$3,0)),"")</f>
        <v/>
      </c>
      <c r="D22" s="32" t="str">
        <f>IFERROR(INDEX('Lista precios mod CCE especif.'!$A$3:$O$278,MATCH('Opción B Selección de modelo de'!$B22,'Lista precios mod CCE especif.'!$E$3:$E$278,0),MATCH('Opción B Selección de modelo de'!D$2,'Lista precios mod CCE especif.'!$A$3:$O$3,0)),"")</f>
        <v/>
      </c>
      <c r="E22" s="32" t="str">
        <f>IFERROR(INDEX('Lista precios mod CCE especif.'!$A$3:$O$278,MATCH('Opción B Selección de modelo de'!$B22,'Lista precios mod CCE especif.'!$E$3:$E$278,0),MATCH('Opción B Selección de modelo de'!E$2,'Lista precios mod CCE especif.'!$A$3:$O$3,0)),"")</f>
        <v/>
      </c>
      <c r="F22" s="126" t="str">
        <f>IFERROR(INDEX('Lista precios mod CCE especif.'!$A$3:$O$278,MATCH('Opción B Selección de modelo de'!$B22,'Lista precios mod CCE especif.'!$E$3:$E$269,0),MATCH('Opción B Selección de modelo de'!F$2,'Lista precios mod CCE especif.'!$A$3:$O$3,0)),"")</f>
        <v/>
      </c>
      <c r="G22" s="54"/>
      <c r="H22" s="115" t="str">
        <f>IFERROR(IF(OR(EXACT(A22,'Lista precios mod CCE especif.'!$AB$14),EXACT(A22,'Lista precios mod CCE especif.'!$AB$16),EXACT(A22,'Lista precios mod CCE especif.'!$AB$17),EXACT(A22,'Lista precios mod CCE especif.'!$AB$18),EXACT(A22,'Lista precios mod CCE especif.'!$AB$19),EXACT(A22,'Lista precios mod CCE especif.'!$AB$20),EXACT(A22,'Lista precios mod CCE especif.'!$AB$21),EXACT(A22,'Lista precios mod CCE especif.'!$AB$22),EXACT(A22,'Lista precios mod CCE especif.'!$AB$23),EXACT(A22,'Lista precios mod CCE especif.'!$AB$24),EXACT(A22,'Lista precios mod CCE especif.'!$AB$25),EXACT(A22,'Lista precios mod CCE especif.'!$AB$26),EXACT(A22,'Lista precios mod CCE especif.'!$AB$27)),"N/A",G22+F22),"")</f>
        <v/>
      </c>
      <c r="I22" s="75"/>
      <c r="J22" s="76" t="str">
        <f t="shared" si="0"/>
        <v/>
      </c>
      <c r="K22" s="57"/>
      <c r="L22" s="156" t="str">
        <f t="shared" si="1"/>
        <v>_12</v>
      </c>
    </row>
    <row r="23" spans="1:12" s="26" customFormat="1" ht="27" customHeight="1" x14ac:dyDescent="0.25">
      <c r="A23" s="49" t="s">
        <v>72</v>
      </c>
      <c r="B23" s="42"/>
      <c r="C23" s="29" t="str">
        <f>IFERROR(INDEX('Lista precios mod CCE especif.'!$A$3:$O$278,MATCH('Opción B Selección de modelo de'!$B23,'Lista precios mod CCE especif.'!$E$3:$E$278,0),MATCH('Opción B Selección de modelo de'!C$2,'Lista precios mod CCE especif.'!$A$3:$O$3,0)),"")</f>
        <v/>
      </c>
      <c r="D23" s="32" t="str">
        <f>IFERROR(INDEX('Lista precios mod CCE especif.'!$A$3:$O$278,MATCH('Opción B Selección de modelo de'!$B23,'Lista precios mod CCE especif.'!$E$3:$E$278,0),MATCH('Opción B Selección de modelo de'!D$2,'Lista precios mod CCE especif.'!$A$3:$O$3,0)),"")</f>
        <v/>
      </c>
      <c r="E23" s="32" t="str">
        <f>IFERROR(INDEX('Lista precios mod CCE especif.'!$A$3:$O$278,MATCH('Opción B Selección de modelo de'!$B23,'Lista precios mod CCE especif.'!$E$3:$E$278,0),MATCH('Opción B Selección de modelo de'!E$2,'Lista precios mod CCE especif.'!$A$3:$O$3,0)),"")</f>
        <v/>
      </c>
      <c r="F23" s="126" t="str">
        <f>IFERROR(INDEX('Lista precios mod CCE especif.'!$A$3:$O$278,MATCH('Opción B Selección de modelo de'!$B23,'Lista precios mod CCE especif.'!$E$3:$E$269,0),MATCH('Opción B Selección de modelo de'!F$2,'Lista precios mod CCE especif.'!$A$3:$O$3,0)),"")</f>
        <v/>
      </c>
      <c r="G23" s="174"/>
      <c r="H23" s="115" t="str">
        <f>IFERROR(IF(OR(EXACT(A23,'Lista precios mod CCE especif.'!$AB$14),EXACT(A23,'Lista precios mod CCE especif.'!$AB$16),EXACT(A23,'Lista precios mod CCE especif.'!$AB$17),EXACT(A23,'Lista precios mod CCE especif.'!$AB$18),EXACT(A23,'Lista precios mod CCE especif.'!$AB$19),EXACT(A23,'Lista precios mod CCE especif.'!$AB$20),EXACT(A23,'Lista precios mod CCE especif.'!$AB$21),EXACT(A23,'Lista precios mod CCE especif.'!$AB$22),EXACT(A23,'Lista precios mod CCE especif.'!$AB$23),EXACT(A23,'Lista precios mod CCE especif.'!$AB$24),EXACT(A23,'Lista precios mod CCE especif.'!$AB$25),EXACT(A23,'Lista precios mod CCE especif.'!$AB$26),EXACT(A23,'Lista precios mod CCE especif.'!$AB$27)),"N/A",G23+F23),"")</f>
        <v>N/A</v>
      </c>
      <c r="I23" s="75"/>
      <c r="J23" s="76" t="str">
        <f t="shared" si="0"/>
        <v/>
      </c>
      <c r="K23" s="57"/>
      <c r="L23" s="156" t="str">
        <f t="shared" si="1"/>
        <v>_13</v>
      </c>
    </row>
    <row r="24" spans="1:12" s="26" customFormat="1" ht="27" customHeight="1" x14ac:dyDescent="0.25">
      <c r="A24" s="49" t="s">
        <v>73</v>
      </c>
      <c r="B24" s="42"/>
      <c r="C24" s="29" t="str">
        <f>IFERROR(INDEX('Lista precios mod CCE especif.'!$A$3:$O$278,MATCH('Opción B Selección de modelo de'!$B24,'Lista precios mod CCE especif.'!$E$3:$E$278,0),MATCH('Opción B Selección de modelo de'!C$2,'Lista precios mod CCE especif.'!$A$3:$O$3,0)),"")</f>
        <v/>
      </c>
      <c r="D24" s="32" t="str">
        <f>IFERROR(INDEX('Lista precios mod CCE especif.'!$A$3:$O$278,MATCH('Opción B Selección de modelo de'!$B24,'Lista precios mod CCE especif.'!$E$3:$E$278,0),MATCH('Opción B Selección de modelo de'!D$2,'Lista precios mod CCE especif.'!$A$3:$O$3,0)),"")</f>
        <v/>
      </c>
      <c r="E24" s="32" t="str">
        <f>IFERROR(INDEX('Lista precios mod CCE especif.'!$A$3:$O$278,MATCH('Opción B Selección de modelo de'!$B24,'Lista precios mod CCE especif.'!$E$3:$E$278,0),MATCH('Opción B Selección de modelo de'!E$2,'Lista precios mod CCE especif.'!$A$3:$O$3,0)),"")</f>
        <v/>
      </c>
      <c r="F24" s="126" t="str">
        <f>IFERROR(INDEX('Lista precios mod CCE especif.'!$A$3:$O$278,MATCH('Opción B Selección de modelo de'!$B24,'Lista precios mod CCE especif.'!$E$3:$E$269,0),MATCH('Opción B Selección de modelo de'!F$2,'Lista precios mod CCE especif.'!$A$3:$O$3,0)),"")</f>
        <v/>
      </c>
      <c r="G24" s="174"/>
      <c r="H24" s="115" t="str">
        <f>IFERROR(IF(OR(EXACT(A24,'Lista precios mod CCE especif.'!$AB$14),EXACT(A24,'Lista precios mod CCE especif.'!$AB$16),EXACT(A24,'Lista precios mod CCE especif.'!$AB$17),EXACT(A24,'Lista precios mod CCE especif.'!$AB$18),EXACT(A24,'Lista precios mod CCE especif.'!$AB$19),EXACT(A24,'Lista precios mod CCE especif.'!$AB$20),EXACT(A24,'Lista precios mod CCE especif.'!$AB$21),EXACT(A24,'Lista precios mod CCE especif.'!$AB$22),EXACT(A24,'Lista precios mod CCE especif.'!$AB$23),EXACT(A24,'Lista precios mod CCE especif.'!$AB$24),EXACT(A24,'Lista precios mod CCE especif.'!$AB$25),EXACT(A24,'Lista precios mod CCE especif.'!$AB$26),EXACT(A24,'Lista precios mod CCE especif.'!$AB$27)),"N/A",G24+F24),"")</f>
        <v>N/A</v>
      </c>
      <c r="I24" s="75"/>
      <c r="J24" s="76" t="str">
        <f t="shared" si="0"/>
        <v/>
      </c>
      <c r="K24" s="57"/>
      <c r="L24" s="156" t="str">
        <f t="shared" si="1"/>
        <v>_14</v>
      </c>
    </row>
    <row r="25" spans="1:12" s="26" customFormat="1" ht="27" customHeight="1" x14ac:dyDescent="0.25">
      <c r="A25" s="50" t="s">
        <v>74</v>
      </c>
      <c r="B25" s="42"/>
      <c r="C25" s="29" t="str">
        <f>IFERROR(INDEX('Lista precios mod CCE especif.'!$A$3:$O$278,MATCH('Opción B Selección de modelo de'!$B25,'Lista precios mod CCE especif.'!$E$3:$E$278,0),MATCH('Opción B Selección de modelo de'!C$2,'Lista precios mod CCE especif.'!$A$3:$O$3,0)),"")</f>
        <v/>
      </c>
      <c r="D25" s="32" t="str">
        <f>IFERROR(INDEX('Lista precios mod CCE especif.'!$A$3:$O$278,MATCH('Opción B Selección de modelo de'!$B25,'Lista precios mod CCE especif.'!$E$3:$E$278,0),MATCH('Opción B Selección de modelo de'!D$2,'Lista precios mod CCE especif.'!$A$3:$O$3,0)),"")</f>
        <v/>
      </c>
      <c r="E25" s="32" t="str">
        <f>IFERROR(INDEX('Lista precios mod CCE especif.'!$A$3:$O$278,MATCH('Opción B Selección de modelo de'!$B25,'Lista precios mod CCE especif.'!$E$3:$E$278,0),MATCH('Opción B Selección de modelo de'!E$2,'Lista precios mod CCE especif.'!$A$3:$O$3,0)),"")</f>
        <v/>
      </c>
      <c r="F25" s="126" t="str">
        <f>IFERROR(INDEX('Lista precios mod CCE especif.'!$A$3:$O$278,MATCH('Opción B Selección de modelo de'!$B25,'Lista precios mod CCE especif.'!$E$3:$E$269,0),MATCH('Opción B Selección de modelo de'!F$2,'Lista precios mod CCE especif.'!$A$3:$O$3,0)),"")</f>
        <v/>
      </c>
      <c r="G25" s="174"/>
      <c r="H25" s="115" t="str">
        <f>IFERROR(IF(OR(EXACT(A25,'Lista precios mod CCE especif.'!$AB$14),EXACT(A25,'Lista precios mod CCE especif.'!$AB$16),EXACT(A25,'Lista precios mod CCE especif.'!$AB$17),EXACT(A25,'Lista precios mod CCE especif.'!$AB$18),EXACT(A25,'Lista precios mod CCE especif.'!$AB$19),EXACT(A25,'Lista precios mod CCE especif.'!$AB$20),EXACT(A25,'Lista precios mod CCE especif.'!$AB$21),EXACT(A25,'Lista precios mod CCE especif.'!$AB$22),EXACT(A25,'Lista precios mod CCE especif.'!$AB$23),EXACT(A25,'Lista precios mod CCE especif.'!$AB$24),EXACT(A25,'Lista precios mod CCE especif.'!$AB$25),EXACT(A25,'Lista precios mod CCE especif.'!$AB$26),EXACT(A25,'Lista precios mod CCE especif.'!$AB$27)),"N/A",G25+F25),"")</f>
        <v>N/A</v>
      </c>
      <c r="I25" s="75"/>
      <c r="J25" s="76" t="str">
        <f t="shared" si="0"/>
        <v/>
      </c>
      <c r="K25" s="57"/>
      <c r="L25" s="156" t="str">
        <f t="shared" si="1"/>
        <v>_15</v>
      </c>
    </row>
    <row r="26" spans="1:12" s="26" customFormat="1" ht="27" customHeight="1" x14ac:dyDescent="0.25">
      <c r="A26" s="50" t="s">
        <v>75</v>
      </c>
      <c r="B26" s="42"/>
      <c r="C26" s="29" t="str">
        <f>IFERROR(INDEX('Lista precios mod CCE especif.'!$A$3:$O$278,MATCH('Opción B Selección de modelo de'!$B26,'Lista precios mod CCE especif.'!$E$3:$E$278,0),MATCH('Opción B Selección de modelo de'!C$2,'Lista precios mod CCE especif.'!$A$3:$O$3,0)),"")</f>
        <v/>
      </c>
      <c r="D26" s="32" t="str">
        <f>IFERROR(INDEX('Lista precios mod CCE especif.'!$A$3:$O$278,MATCH('Opción B Selección de modelo de'!$B26,'Lista precios mod CCE especif.'!$E$3:$E$278,0),MATCH('Opción B Selección de modelo de'!D$2,'Lista precios mod CCE especif.'!$A$3:$O$3,0)),"")</f>
        <v/>
      </c>
      <c r="E26" s="32" t="str">
        <f>IFERROR(INDEX('Lista precios mod CCE especif.'!$A$3:$O$278,MATCH('Opción B Selección de modelo de'!$B26,'Lista precios mod CCE especif.'!$E$3:$E$278,0),MATCH('Opción B Selección de modelo de'!E$2,'Lista precios mod CCE especif.'!$A$3:$O$3,0)),"")</f>
        <v/>
      </c>
      <c r="F26" s="126" t="str">
        <f>IFERROR(INDEX('Lista precios mod CCE especif.'!$A$3:$O$278,MATCH('Opción B Selección de modelo de'!$B26,'Lista precios mod CCE especif.'!$E$3:$E$269,0),MATCH('Opción B Selección de modelo de'!F$2,'Lista precios mod CCE especif.'!$A$3:$O$3,0)),"")</f>
        <v/>
      </c>
      <c r="G26" s="174"/>
      <c r="H26" s="115" t="str">
        <f>IFERROR(IF(OR(EXACT(A26,'Lista precios mod CCE especif.'!$AB$14),EXACT(A26,'Lista precios mod CCE especif.'!$AB$16),EXACT(A26,'Lista precios mod CCE especif.'!$AB$17),EXACT(A26,'Lista precios mod CCE especif.'!$AB$18),EXACT(A26,'Lista precios mod CCE especif.'!$AB$19),EXACT(A26,'Lista precios mod CCE especif.'!$AB$20),EXACT(A26,'Lista precios mod CCE especif.'!$AB$21),EXACT(A26,'Lista precios mod CCE especif.'!$AB$22),EXACT(A26,'Lista precios mod CCE especif.'!$AB$23),EXACT(A26,'Lista precios mod CCE especif.'!$AB$24),EXACT(A26,'Lista precios mod CCE especif.'!$AB$25),EXACT(A26,'Lista precios mod CCE especif.'!$AB$26),EXACT(A26,'Lista precios mod CCE especif.'!$AB$27)),"N/A",G26+F26),"")</f>
        <v>N/A</v>
      </c>
      <c r="I26" s="75"/>
      <c r="J26" s="76" t="str">
        <f t="shared" si="0"/>
        <v/>
      </c>
      <c r="K26" s="57"/>
      <c r="L26" s="156" t="str">
        <f t="shared" si="1"/>
        <v>_16</v>
      </c>
    </row>
    <row r="27" spans="1:12" s="26" customFormat="1" ht="27" customHeight="1" x14ac:dyDescent="0.25">
      <c r="A27" s="51" t="s">
        <v>76</v>
      </c>
      <c r="B27" s="42"/>
      <c r="C27" s="29" t="str">
        <f>IFERROR(INDEX('Lista precios mod CCE especif.'!$A$3:$O$278,MATCH('Opción B Selección de modelo de'!$B27,'Lista precios mod CCE especif.'!$E$3:$E$278,0),MATCH('Opción B Selección de modelo de'!C$2,'Lista precios mod CCE especif.'!$A$3:$O$3,0)),"")</f>
        <v/>
      </c>
      <c r="D27" s="32" t="str">
        <f>IFERROR(INDEX('Lista precios mod CCE especif.'!$A$3:$O$278,MATCH('Opción B Selección de modelo de'!$B27,'Lista precios mod CCE especif.'!$E$3:$E$278,0),MATCH('Opción B Selección de modelo de'!D$2,'Lista precios mod CCE especif.'!$A$3:$O$3,0)),"")</f>
        <v/>
      </c>
      <c r="E27" s="32" t="str">
        <f>IFERROR(INDEX('Lista precios mod CCE especif.'!$A$3:$O$278,MATCH('Opción B Selección de modelo de'!$B27,'Lista precios mod CCE especif.'!$E$3:$E$278,0),MATCH('Opción B Selección de modelo de'!E$2,'Lista precios mod CCE especif.'!$A$3:$O$3,0)),"")</f>
        <v/>
      </c>
      <c r="F27" s="126" t="str">
        <f>IFERROR(INDEX('Lista precios mod CCE especif.'!$A$3:$O$278,MATCH('Opción B Selección de modelo de'!$B27,'Lista precios mod CCE especif.'!$E$3:$E$269,0),MATCH('Opción B Selección de modelo de'!F$2,'Lista precios mod CCE especif.'!$A$3:$O$3,0)),"")</f>
        <v/>
      </c>
      <c r="G27" s="174"/>
      <c r="H27" s="115" t="str">
        <f>IFERROR(IF(OR(EXACT(A27,'Lista precios mod CCE especif.'!$AB$14),EXACT(A27,'Lista precios mod CCE especif.'!$AB$16),EXACT(A27,'Lista precios mod CCE especif.'!$AB$17),EXACT(A27,'Lista precios mod CCE especif.'!$AB$18),EXACT(A27,'Lista precios mod CCE especif.'!$AB$19),EXACT(A27,'Lista precios mod CCE especif.'!$AB$20),EXACT(A27,'Lista precios mod CCE especif.'!$AB$21),EXACT(A27,'Lista precios mod CCE especif.'!$AB$22),EXACT(A27,'Lista precios mod CCE especif.'!$AB$23),EXACT(A27,'Lista precios mod CCE especif.'!$AB$24),EXACT(A27,'Lista precios mod CCE especif.'!$AB$25),EXACT(A27,'Lista precios mod CCE especif.'!$AB$26),EXACT(A27,'Lista precios mod CCE especif.'!$AB$27)),"N/A",G27+F27),"")</f>
        <v>N/A</v>
      </c>
      <c r="I27" s="75"/>
      <c r="J27" s="76" t="str">
        <f t="shared" si="0"/>
        <v/>
      </c>
      <c r="K27" s="57"/>
      <c r="L27" s="156" t="str">
        <f t="shared" si="1"/>
        <v>_17</v>
      </c>
    </row>
    <row r="28" spans="1:12" s="26" customFormat="1" ht="27" customHeight="1" x14ac:dyDescent="0.25">
      <c r="A28" s="52" t="s">
        <v>77</v>
      </c>
      <c r="B28" s="42"/>
      <c r="C28" s="29" t="str">
        <f>IFERROR(INDEX('Lista precios mod CCE especif.'!$A$3:$O$278,MATCH('Opción B Selección de modelo de'!$B28,'Lista precios mod CCE especif.'!$E$3:$E$278,0),MATCH('Opción B Selección de modelo de'!C$2,'Lista precios mod CCE especif.'!$A$3:$O$3,0)),"")</f>
        <v/>
      </c>
      <c r="D28" s="32" t="str">
        <f>IFERROR(INDEX('Lista precios mod CCE especif.'!$A$3:$O$278,MATCH('Opción B Selección de modelo de'!$B28,'Lista precios mod CCE especif.'!$E$3:$E$278,0),MATCH('Opción B Selección de modelo de'!D$2,'Lista precios mod CCE especif.'!$A$3:$O$3,0)),"")</f>
        <v/>
      </c>
      <c r="E28" s="32" t="str">
        <f>IFERROR(INDEX('Lista precios mod CCE especif.'!$A$3:$O$278,MATCH('Opción B Selección de modelo de'!$B28,'Lista precios mod CCE especif.'!$E$3:$E$278,0),MATCH('Opción B Selección de modelo de'!E$2,'Lista precios mod CCE especif.'!$A$3:$O$3,0)),"")</f>
        <v/>
      </c>
      <c r="F28" s="207" t="str">
        <f>IFERROR(INDEX('Lista precios mod CCE especif.'!$A$3:$O$278,MATCH('Opción B Selección de modelo de'!$B28,'Lista precios mod CCE especif.'!$E$3:$E$269,0),MATCH('Opción B Selección de modelo de'!F$2,'Lista precios mod CCE especif.'!$A$3:$O$3,0)),"")</f>
        <v/>
      </c>
      <c r="G28" s="174"/>
      <c r="H28" s="115" t="str">
        <f>IFERROR(IF(OR(EXACT(A28,'Lista precios mod CCE especif.'!$AB$14),EXACT(A28,'Lista precios mod CCE especif.'!$AB$16),EXACT(A28,'Lista precios mod CCE especif.'!$AB$17),EXACT(A28,'Lista precios mod CCE especif.'!$AB$18),EXACT(A28,'Lista precios mod CCE especif.'!$AB$19),EXACT(A28,'Lista precios mod CCE especif.'!$AB$20),EXACT(A28,'Lista precios mod CCE especif.'!$AB$21),EXACT(A28,'Lista precios mod CCE especif.'!$AB$22),EXACT(A28,'Lista precios mod CCE especif.'!$AB$23),EXACT(A28,'Lista precios mod CCE especif.'!$AB$24),EXACT(A28,'Lista precios mod CCE especif.'!$AB$25),EXACT(A28,'Lista precios mod CCE especif.'!$AB$26),EXACT(A28,'Lista precios mod CCE especif.'!$AB$27)),"N/A",G28+F28),"")</f>
        <v>N/A</v>
      </c>
      <c r="I28" s="75"/>
      <c r="J28" s="76" t="str">
        <f t="shared" si="0"/>
        <v/>
      </c>
      <c r="K28" s="57"/>
      <c r="L28" s="156" t="str">
        <f t="shared" si="1"/>
        <v>_18</v>
      </c>
    </row>
    <row r="29" spans="1:12" s="26" customFormat="1" ht="27" customHeight="1" x14ac:dyDescent="0.25">
      <c r="A29" s="53" t="s">
        <v>78</v>
      </c>
      <c r="B29" s="42"/>
      <c r="C29" s="29" t="str">
        <f>IFERROR(INDEX('Lista precios mod CCE especif.'!$A$3:$O$278,MATCH('Opción B Selección de modelo de'!$B29,'Lista precios mod CCE especif.'!$E$3:$E$278,0),MATCH('Opción B Selección de modelo de'!C$2,'Lista precios mod CCE especif.'!$A$3:$O$3,0)),"")</f>
        <v/>
      </c>
      <c r="D29" s="32" t="str">
        <f>IFERROR(INDEX('Lista precios mod CCE especif.'!$A$3:$O$278,MATCH('Opción B Selección de modelo de'!$B29,'Lista precios mod CCE especif.'!$E$3:$E$278,0),MATCH('Opción B Selección de modelo de'!D$2,'Lista precios mod CCE especif.'!$A$3:$O$3,0)),"")</f>
        <v/>
      </c>
      <c r="E29" s="32" t="str">
        <f>IFERROR(INDEX('Lista precios mod CCE especif.'!$A$3:$O$278,MATCH('Opción B Selección de modelo de'!$B29,'Lista precios mod CCE especif.'!$E$3:$E$278,0),MATCH('Opción B Selección de modelo de'!E$2,'Lista precios mod CCE especif.'!$A$3:$O$3,0)),"")</f>
        <v/>
      </c>
      <c r="F29" s="207" t="str">
        <f>IFERROR(INDEX('Lista precios mod CCE especif.'!$A$3:$O$278,MATCH('Opción B Selección de modelo de'!$B29,'Lista precios mod CCE especif.'!$E$3:$E$269,0),MATCH('Opción B Selección de modelo de'!F$2,'Lista precios mod CCE especif.'!$A$3:$O$3,0)),"")</f>
        <v/>
      </c>
      <c r="G29" s="174"/>
      <c r="H29" s="115" t="str">
        <f>IFERROR(IF(OR(EXACT(A29,'Lista precios mod CCE especif.'!$AB$14),EXACT(A29,'Lista precios mod CCE especif.'!$AB$16),EXACT(A29,'Lista precios mod CCE especif.'!$AB$17),EXACT(A29,'Lista precios mod CCE especif.'!$AB$18),EXACT(A29,'Lista precios mod CCE especif.'!$AB$19),EXACT(A29,'Lista precios mod CCE especif.'!$AB$20),EXACT(A29,'Lista precios mod CCE especif.'!$AB$21),EXACT(A29,'Lista precios mod CCE especif.'!$AB$22),EXACT(A29,'Lista precios mod CCE especif.'!$AB$23),EXACT(A29,'Lista precios mod CCE especif.'!$AB$24),EXACT(A29,'Lista precios mod CCE especif.'!$AB$25),EXACT(A29,'Lista precios mod CCE especif.'!$AB$26),EXACT(A29,'Lista precios mod CCE especif.'!$AB$27)),"N/A",G29+F29),"")</f>
        <v>N/A</v>
      </c>
      <c r="I29" s="75"/>
      <c r="J29" s="76" t="str">
        <f t="shared" si="0"/>
        <v/>
      </c>
      <c r="K29" s="57"/>
      <c r="L29" s="156" t="str">
        <f t="shared" si="1"/>
        <v>_19</v>
      </c>
    </row>
    <row r="30" spans="1:12" s="26" customFormat="1" ht="27" customHeight="1" x14ac:dyDescent="0.25">
      <c r="A30" s="53" t="s">
        <v>79</v>
      </c>
      <c r="B30" s="42"/>
      <c r="C30" s="29" t="str">
        <f>IFERROR(INDEX('Lista precios mod CCE especif.'!$A$3:$O$278,MATCH('Opción B Selección de modelo de'!$B30,'Lista precios mod CCE especif.'!$E$3:$E$278,0),MATCH('Opción B Selección de modelo de'!C$2,'Lista precios mod CCE especif.'!$A$3:$O$3,0)),"")</f>
        <v/>
      </c>
      <c r="D30" s="32" t="str">
        <f>IFERROR(INDEX('Lista precios mod CCE especif.'!$A$3:$O$278,MATCH('Opción B Selección de modelo de'!$B30,'Lista precios mod CCE especif.'!$E$3:$E$278,0),MATCH('Opción B Selección de modelo de'!D$2,'Lista precios mod CCE especif.'!$A$3:$O$3,0)),"")</f>
        <v/>
      </c>
      <c r="E30" s="32" t="str">
        <f>IFERROR(INDEX('Lista precios mod CCE especif.'!$A$3:$O$278,MATCH('Opción B Selección de modelo de'!$B30,'Lista precios mod CCE especif.'!$E$3:$E$278,0),MATCH('Opción B Selección de modelo de'!E$2,'Lista precios mod CCE especif.'!$A$3:$O$3,0)),"")</f>
        <v/>
      </c>
      <c r="F30" s="207" t="str">
        <f>IFERROR(INDEX('Lista precios mod CCE especif.'!$A$3:$O$278,MATCH('Opción B Selección de modelo de'!$B30,'Lista precios mod CCE especif.'!$E$3:$E$269,0),MATCH('Opción B Selección de modelo de'!F$2,'Lista precios mod CCE especif.'!$A$3:$O$3,0)),"")</f>
        <v/>
      </c>
      <c r="G30" s="174"/>
      <c r="H30" s="115" t="str">
        <f>IFERROR(IF(OR(EXACT(A30,'Lista precios mod CCE especif.'!$AB$14),EXACT(A30,'Lista precios mod CCE especif.'!$AB$16),EXACT(A30,'Lista precios mod CCE especif.'!$AB$17),EXACT(A30,'Lista precios mod CCE especif.'!$AB$18),EXACT(A30,'Lista precios mod CCE especif.'!$AB$19),EXACT(A30,'Lista precios mod CCE especif.'!$AB$20),EXACT(A30,'Lista precios mod CCE especif.'!$AB$21),EXACT(A30,'Lista precios mod CCE especif.'!$AB$22),EXACT(A30,'Lista precios mod CCE especif.'!$AB$23),EXACT(A30,'Lista precios mod CCE especif.'!$AB$24),EXACT(A30,'Lista precios mod CCE especif.'!$AB$25),EXACT(A30,'Lista precios mod CCE especif.'!$AB$26),EXACT(A30,'Lista precios mod CCE especif.'!$AB$27)),"N/A",G30+F30),"")</f>
        <v>N/A</v>
      </c>
      <c r="I30" s="75"/>
      <c r="J30" s="76" t="str">
        <f t="shared" si="0"/>
        <v/>
      </c>
      <c r="K30" s="57"/>
      <c r="L30" s="156" t="str">
        <f t="shared" si="1"/>
        <v>_20</v>
      </c>
    </row>
    <row r="31" spans="1:12" s="26" customFormat="1" ht="27" customHeight="1" x14ac:dyDescent="0.25">
      <c r="A31" s="118" t="s">
        <v>80</v>
      </c>
      <c r="B31" s="42"/>
      <c r="C31" s="29" t="str">
        <f>IFERROR(INDEX('Lista precios mod CCE especif.'!$A$3:$O$278,MATCH('Opción B Selección de modelo de'!$B31,'Lista precios mod CCE especif.'!$E$3:$E$278,0),MATCH('Opción B Selección de modelo de'!C$2,'Lista precios mod CCE especif.'!$A$3:$O$3,0)),"")</f>
        <v/>
      </c>
      <c r="D31" s="32" t="str">
        <f>IFERROR(INDEX('Lista precios mod CCE especif.'!$A$3:$O$278,MATCH('Opción B Selección de modelo de'!$B31,'Lista precios mod CCE especif.'!$E$3:$E$278,0),MATCH('Opción B Selección de modelo de'!D$2,'Lista precios mod CCE especif.'!$A$3:$O$3,0)),"")</f>
        <v/>
      </c>
      <c r="E31" s="32" t="str">
        <f>IFERROR(INDEX('Lista precios mod CCE especif.'!$A$3:$O$278,MATCH('Opción B Selección de modelo de'!$B31,'Lista precios mod CCE especif.'!$E$3:$E$278,0),MATCH('Opción B Selección de modelo de'!E$2,'Lista precios mod CCE especif.'!$A$3:$O$3,0)),"")</f>
        <v/>
      </c>
      <c r="F31" s="207" t="str">
        <f>IFERROR(INDEX('Lista precios mod CCE especif.'!$A$3:$O$278,MATCH('Opción B Selección de modelo de'!$B31,'Lista precios mod CCE especif.'!$E$3:$E$269,0),MATCH('Opción B Selección de modelo de'!F$2,'Lista precios mod CCE especif.'!$A$3:$O$3,0)),"")</f>
        <v/>
      </c>
      <c r="G31" s="174"/>
      <c r="H31" s="115" t="str">
        <f>IFERROR(IF(OR(EXACT(A31,'Lista precios mod CCE especif.'!$AB$14),EXACT(A31,'Lista precios mod CCE especif.'!$AB$16),EXACT(A31,'Lista precios mod CCE especif.'!$AB$17),EXACT(A31,'Lista precios mod CCE especif.'!$AB$18),EXACT(A31,'Lista precios mod CCE especif.'!$AB$19),EXACT(A31,'Lista precios mod CCE especif.'!$AB$20),EXACT(A31,'Lista precios mod CCE especif.'!$AB$21),EXACT(A31,'Lista precios mod CCE especif.'!$AB$22),EXACT(A31,'Lista precios mod CCE especif.'!$AB$23),EXACT(A31,'Lista precios mod CCE especif.'!$AB$24),EXACT(A31,'Lista precios mod CCE especif.'!$AB$25),EXACT(A31,'Lista precios mod CCE especif.'!$AB$26),EXACT(A31,'Lista precios mod CCE especif.'!$AB$27)),"N/A",G31+F31),"")</f>
        <v>N/A</v>
      </c>
      <c r="I31" s="75"/>
      <c r="J31" s="76" t="str">
        <f t="shared" si="0"/>
        <v/>
      </c>
      <c r="K31" s="57"/>
      <c r="L31" s="156" t="str">
        <f t="shared" si="1"/>
        <v>_21</v>
      </c>
    </row>
    <row r="32" spans="1:12" s="26" customFormat="1" ht="27" customHeight="1" x14ac:dyDescent="0.25">
      <c r="A32" s="118" t="s">
        <v>81</v>
      </c>
      <c r="B32" s="42"/>
      <c r="C32" s="29" t="str">
        <f>IFERROR(INDEX('Lista precios mod CCE especif.'!$A$3:$O$278,MATCH('Opción B Selección de modelo de'!$B32,'Lista precios mod CCE especif.'!$E$3:$E$278,0),MATCH('Opción B Selección de modelo de'!C$2,'Lista precios mod CCE especif.'!$A$3:$O$3,0)),"")</f>
        <v/>
      </c>
      <c r="D32" s="32" t="str">
        <f>IFERROR(INDEX('Lista precios mod CCE especif.'!$A$3:$O$278,MATCH('Opción B Selección de modelo de'!$B32,'Lista precios mod CCE especif.'!$E$3:$E$278,0),MATCH('Opción B Selección de modelo de'!D$2,'Lista precios mod CCE especif.'!$A$3:$O$3,0)),"")</f>
        <v/>
      </c>
      <c r="E32" s="32" t="str">
        <f>IFERROR(INDEX('Lista precios mod CCE especif.'!$A$3:$O$278,MATCH('Opción B Selección de modelo de'!$B32,'Lista precios mod CCE especif.'!$E$3:$E$278,0),MATCH('Opción B Selección de modelo de'!E$2,'Lista precios mod CCE especif.'!$A$3:$O$3,0)),"")</f>
        <v/>
      </c>
      <c r="F32" s="207" t="str">
        <f>IFERROR(INDEX('Lista precios mod CCE especif.'!$A$3:$O$278,MATCH('Opción B Selección de modelo de'!$B32,'Lista precios mod CCE especif.'!$E$3:$E$269,0),MATCH('Opción B Selección de modelo de'!F$2,'Lista precios mod CCE especif.'!$A$3:$O$3,0)),"")</f>
        <v/>
      </c>
      <c r="G32" s="174"/>
      <c r="H32" s="115" t="str">
        <f>IFERROR(IF(OR(EXACT(A32,'Lista precios mod CCE especif.'!$AB$14),EXACT(A32,'Lista precios mod CCE especif.'!$AB$16),EXACT(A32,'Lista precios mod CCE especif.'!$AB$17),EXACT(A32,'Lista precios mod CCE especif.'!$AB$18),EXACT(A32,'Lista precios mod CCE especif.'!$AB$19),EXACT(A32,'Lista precios mod CCE especif.'!$AB$20),EXACT(A32,'Lista precios mod CCE especif.'!$AB$21),EXACT(A32,'Lista precios mod CCE especif.'!$AB$22),EXACT(A32,'Lista precios mod CCE especif.'!$AB$23),EXACT(A32,'Lista precios mod CCE especif.'!$AB$24),EXACT(A32,'Lista precios mod CCE especif.'!$AB$25),EXACT(A32,'Lista precios mod CCE especif.'!$AB$26),EXACT(A32,'Lista precios mod CCE especif.'!$AB$27)),"N/A",G32+F32),"")</f>
        <v>N/A</v>
      </c>
      <c r="I32" s="75"/>
      <c r="J32" s="76" t="str">
        <f t="shared" si="0"/>
        <v/>
      </c>
      <c r="K32" s="57"/>
      <c r="L32" s="156" t="str">
        <f t="shared" si="1"/>
        <v>_22</v>
      </c>
    </row>
    <row r="33" spans="1:12" s="26" customFormat="1" ht="27" customHeight="1" x14ac:dyDescent="0.25">
      <c r="A33" s="118" t="s">
        <v>82</v>
      </c>
      <c r="B33" s="42"/>
      <c r="C33" s="29" t="str">
        <f>IFERROR(INDEX('Lista precios mod CCE especif.'!$A$3:$O$278,MATCH('Opción B Selección de modelo de'!$B33,'Lista precios mod CCE especif.'!$E$3:$E$278,0),MATCH('Opción B Selección de modelo de'!C$2,'Lista precios mod CCE especif.'!$A$3:$O$3,0)),"")</f>
        <v/>
      </c>
      <c r="D33" s="32" t="str">
        <f>IFERROR(INDEX('Lista precios mod CCE especif.'!$A$3:$O$278,MATCH('Opción B Selección de modelo de'!$B33,'Lista precios mod CCE especif.'!$E$3:$E$278,0),MATCH('Opción B Selección de modelo de'!D$2,'Lista precios mod CCE especif.'!$A$3:$O$3,0)),"")</f>
        <v/>
      </c>
      <c r="E33" s="32" t="str">
        <f>IFERROR(INDEX('Lista precios mod CCE especif.'!$A$3:$O$278,MATCH('Opción B Selección de modelo de'!$B33,'Lista precios mod CCE especif.'!$E$3:$E$278,0),MATCH('Opción B Selección de modelo de'!E$2,'Lista precios mod CCE especif.'!$A$3:$O$3,0)),"")</f>
        <v/>
      </c>
      <c r="F33" s="207" t="str">
        <f>IFERROR(INDEX('Lista precios mod CCE especif.'!$A$3:$O$278,MATCH('Opción B Selección de modelo de'!$B33,'Lista precios mod CCE especif.'!$E$3:$E$269,0),MATCH('Opción B Selección de modelo de'!F$2,'Lista precios mod CCE especif.'!$A$3:$O$3,0)),"")</f>
        <v/>
      </c>
      <c r="G33" s="174"/>
      <c r="H33" s="115" t="str">
        <f>IFERROR(IF(OR(EXACT(A33,'Lista precios mod CCE especif.'!$AB$14),EXACT(A33,'Lista precios mod CCE especif.'!$AB$16),EXACT(A33,'Lista precios mod CCE especif.'!$AB$17),EXACT(A33,'Lista precios mod CCE especif.'!$AB$18),EXACT(A33,'Lista precios mod CCE especif.'!$AB$19),EXACT(A33,'Lista precios mod CCE especif.'!$AB$20),EXACT(A33,'Lista precios mod CCE especif.'!$AB$21),EXACT(A33,'Lista precios mod CCE especif.'!$AB$22),EXACT(A33,'Lista precios mod CCE especif.'!$AB$23),EXACT(A33,'Lista precios mod CCE especif.'!$AB$24),EXACT(A33,'Lista precios mod CCE especif.'!$AB$25),EXACT(A33,'Lista precios mod CCE especif.'!$AB$26),EXACT(A33,'Lista precios mod CCE especif.'!$AB$27)),"N/A",G33+F33),"")</f>
        <v>N/A</v>
      </c>
      <c r="I33" s="75"/>
      <c r="J33" s="76"/>
      <c r="K33" s="57"/>
      <c r="L33" s="156"/>
    </row>
    <row r="34" spans="1:12" s="26" customFormat="1" ht="27" customHeight="1" x14ac:dyDescent="0.25">
      <c r="A34" s="118" t="s">
        <v>83</v>
      </c>
      <c r="B34" s="42"/>
      <c r="C34" s="29" t="str">
        <f>IFERROR(INDEX('Lista precios mod CCE especif.'!$A$3:$O$278,MATCH('Opción B Selección de modelo de'!$B34,'Lista precios mod CCE especif.'!$E$3:$E$278,0),MATCH('Opción B Selección de modelo de'!C$2,'Lista precios mod CCE especif.'!$A$3:$O$3,0)),"")</f>
        <v/>
      </c>
      <c r="D34" s="32" t="str">
        <f>IFERROR(INDEX('Lista precios mod CCE especif.'!$A$3:$O$278,MATCH('Opción B Selección de modelo de'!$B34,'Lista precios mod CCE especif.'!$E$3:$E$278,0),MATCH('Opción B Selección de modelo de'!D$2,'Lista precios mod CCE especif.'!$A$3:$O$3,0)),"")</f>
        <v/>
      </c>
      <c r="E34" s="32" t="str">
        <f>IFERROR(INDEX('Lista precios mod CCE especif.'!$A$3:$O$278,MATCH('Opción B Selección de modelo de'!$B34,'Lista precios mod CCE especif.'!$E$3:$E$278,0),MATCH('Opción B Selección de modelo de'!E$2,'Lista precios mod CCE especif.'!$A$3:$O$3,0)),"")</f>
        <v/>
      </c>
      <c r="F34" s="207" t="str">
        <f>IFERROR(INDEX('Lista precios mod CCE especif.'!$A$3:$O$278,MATCH('Opción B Selección de modelo de'!$B34,'Lista precios mod CCE especif.'!$E$3:$E$269,0),MATCH('Opción B Selección de modelo de'!F$2,'Lista precios mod CCE especif.'!$A$3:$O$3,0)),"")</f>
        <v/>
      </c>
      <c r="G34" s="174"/>
      <c r="H34" s="115" t="str">
        <f>IFERROR(IF(OR(EXACT(A34,'Lista precios mod CCE especif.'!$AB$14),EXACT(A34,'Lista precios mod CCE especif.'!$AB$16),EXACT(A34,'Lista precios mod CCE especif.'!$AB$17),EXACT(A34,'Lista precios mod CCE especif.'!$AB$18),EXACT(A34,'Lista precios mod CCE especif.'!$AB$19),EXACT(A34,'Lista precios mod CCE especif.'!$AB$20),EXACT(A34,'Lista precios mod CCE especif.'!$AB$21),EXACT(A34,'Lista precios mod CCE especif.'!$AB$22),EXACT(A34,'Lista precios mod CCE especif.'!$AB$23),EXACT(A34,'Lista precios mod CCE especif.'!$AB$24),EXACT(A34,'Lista precios mod CCE especif.'!$AB$25),EXACT(A34,'Lista precios mod CCE especif.'!$AB$26),EXACT(A34,'Lista precios mod CCE especif.'!$AB$27)),"N/A",G34+F34),"")</f>
        <v>N/A</v>
      </c>
      <c r="I34" s="75"/>
      <c r="J34" s="76" t="str">
        <f t="shared" si="0"/>
        <v/>
      </c>
      <c r="K34" s="57"/>
      <c r="L34" s="156" t="str">
        <f t="shared" si="1"/>
        <v>_24</v>
      </c>
    </row>
    <row r="35" spans="1:12" s="26" customFormat="1" ht="15" x14ac:dyDescent="0.25">
      <c r="A35" s="301" t="s">
        <v>84</v>
      </c>
      <c r="B35" s="302"/>
      <c r="C35" s="302"/>
      <c r="D35" s="302"/>
      <c r="E35" s="302"/>
      <c r="F35" s="302"/>
      <c r="G35" s="302"/>
      <c r="H35" s="302"/>
      <c r="I35" s="292">
        <f>SUM(J4:J34)-SUMIF(L4:L34,"_3.",J4:J34)-SUMIF(L4:L34,"_4.",J4:J34)</f>
        <v>0</v>
      </c>
      <c r="J35" s="293"/>
      <c r="K35" s="60"/>
      <c r="L35" s="57"/>
    </row>
    <row r="36" spans="1:12" ht="15" x14ac:dyDescent="0.25">
      <c r="D36"/>
      <c r="E36"/>
      <c r="F36"/>
      <c r="G36"/>
      <c r="H36"/>
      <c r="I36"/>
      <c r="J36"/>
      <c r="K36"/>
      <c r="L36"/>
    </row>
    <row r="37" spans="1:12" s="26" customFormat="1" ht="15" customHeight="1" x14ac:dyDescent="0.25">
      <c r="A37" s="274" t="s">
        <v>430</v>
      </c>
      <c r="B37" s="275"/>
      <c r="C37" s="275"/>
      <c r="D37" s="275"/>
      <c r="E37" s="275"/>
      <c r="F37" s="275"/>
      <c r="G37" s="275"/>
      <c r="H37" s="276"/>
      <c r="I37" s="277">
        <v>1000</v>
      </c>
      <c r="J37" s="278"/>
      <c r="K37" s="60"/>
      <c r="L37" s="57"/>
    </row>
    <row r="38" spans="1:12" s="26" customFormat="1" ht="15" customHeight="1" x14ac:dyDescent="0.25">
      <c r="A38" s="274" t="s">
        <v>431</v>
      </c>
      <c r="B38" s="275"/>
      <c r="C38" s="275"/>
      <c r="D38" s="275"/>
      <c r="E38" s="275"/>
      <c r="F38" s="275"/>
      <c r="G38" s="275"/>
      <c r="H38" s="276"/>
      <c r="I38" s="277">
        <v>150</v>
      </c>
      <c r="J38" s="278"/>
      <c r="K38" s="60"/>
      <c r="L38" s="57"/>
    </row>
    <row r="39" spans="1:12" s="26" customFormat="1" ht="15" customHeight="1" x14ac:dyDescent="0.25">
      <c r="A39" s="274" t="s">
        <v>432</v>
      </c>
      <c r="B39" s="275"/>
      <c r="C39" s="275"/>
      <c r="D39" s="275"/>
      <c r="E39" s="275"/>
      <c r="F39" s="275"/>
      <c r="G39" s="275"/>
      <c r="H39" s="276"/>
      <c r="I39" s="277">
        <v>150</v>
      </c>
      <c r="J39" s="278"/>
      <c r="K39" s="60"/>
      <c r="L39" s="57"/>
    </row>
    <row r="40" spans="1:12" s="26" customFormat="1" ht="15" customHeight="1" x14ac:dyDescent="0.25">
      <c r="A40" s="274" t="s">
        <v>433</v>
      </c>
      <c r="B40" s="275"/>
      <c r="C40" s="275"/>
      <c r="D40" s="275"/>
      <c r="E40" s="275"/>
      <c r="F40" s="275"/>
      <c r="G40" s="275"/>
      <c r="H40" s="276"/>
      <c r="I40" s="277">
        <v>150</v>
      </c>
      <c r="J40" s="278"/>
      <c r="K40" s="60"/>
      <c r="L40" s="57"/>
    </row>
    <row r="41" spans="1:12" s="26" customFormat="1" ht="15" customHeight="1" x14ac:dyDescent="0.25">
      <c r="A41" s="274" t="s">
        <v>434</v>
      </c>
      <c r="B41" s="275"/>
      <c r="C41" s="275"/>
      <c r="D41" s="275"/>
      <c r="E41" s="275"/>
      <c r="F41" s="275"/>
      <c r="G41" s="275"/>
      <c r="H41" s="276"/>
      <c r="I41" s="277">
        <v>2</v>
      </c>
      <c r="J41" s="278"/>
      <c r="K41" s="60"/>
      <c r="L41" s="57"/>
    </row>
    <row r="42" spans="1:12" s="26" customFormat="1" ht="15" customHeight="1" x14ac:dyDescent="0.25">
      <c r="A42" s="274" t="s">
        <v>435</v>
      </c>
      <c r="B42" s="275"/>
      <c r="C42" s="275"/>
      <c r="D42" s="275"/>
      <c r="E42" s="275"/>
      <c r="F42" s="275"/>
      <c r="G42" s="275"/>
      <c r="H42" s="276"/>
      <c r="I42" s="277">
        <v>10</v>
      </c>
      <c r="J42" s="278"/>
      <c r="K42" s="60"/>
      <c r="L42" s="57"/>
    </row>
    <row r="43" spans="1:12" s="26" customFormat="1" ht="15" customHeight="1" x14ac:dyDescent="0.25">
      <c r="A43" s="274" t="s">
        <v>436</v>
      </c>
      <c r="B43" s="275"/>
      <c r="C43" s="275"/>
      <c r="D43" s="275"/>
      <c r="E43" s="275"/>
      <c r="F43" s="275"/>
      <c r="G43" s="275"/>
      <c r="H43" s="276"/>
      <c r="I43" s="277">
        <v>60</v>
      </c>
      <c r="J43" s="278"/>
      <c r="K43" s="60"/>
      <c r="L43" s="57"/>
    </row>
    <row r="44" spans="1:12" s="26" customFormat="1" ht="15" customHeight="1" x14ac:dyDescent="0.25">
      <c r="A44" s="274" t="s">
        <v>437</v>
      </c>
      <c r="B44" s="275"/>
      <c r="C44" s="275"/>
      <c r="D44" s="275"/>
      <c r="E44" s="275"/>
      <c r="F44" s="275"/>
      <c r="G44" s="275"/>
      <c r="H44" s="276"/>
      <c r="I44" s="279">
        <v>0.1</v>
      </c>
      <c r="J44" s="280"/>
      <c r="K44" s="60"/>
      <c r="L44" s="57"/>
    </row>
    <row r="45" spans="1:12" ht="15" customHeight="1" x14ac:dyDescent="0.25">
      <c r="A45" s="314" t="s">
        <v>85</v>
      </c>
      <c r="B45" s="315"/>
      <c r="C45" s="315"/>
      <c r="D45" s="315"/>
      <c r="E45" s="315"/>
      <c r="F45" s="315"/>
      <c r="G45" s="315"/>
      <c r="H45" s="316"/>
      <c r="I45" s="299">
        <f>(I37*SUM(I$4:I$6))+(I38*SUM($I$9:$I$19))+(I39*I20)+(I40*SUM($I$21:$I$22))+(I41*SUM($I$23:$I$24))+(I42*SUM($I$25:$I$26))+(I43*$I$27)+(I44*$I$28)</f>
        <v>0</v>
      </c>
      <c r="J45" s="300"/>
    </row>
    <row r="46" spans="1:12" s="60" customFormat="1" ht="15" x14ac:dyDescent="0.25">
      <c r="D46" s="58"/>
      <c r="E46" s="58"/>
      <c r="F46" s="58"/>
      <c r="G46" s="58"/>
      <c r="H46" s="58"/>
      <c r="I46" s="58"/>
      <c r="J46" s="58"/>
    </row>
    <row r="47" spans="1:12" s="26" customFormat="1" ht="15" customHeight="1" x14ac:dyDescent="0.25">
      <c r="A47" s="294" t="s">
        <v>86</v>
      </c>
      <c r="B47" s="295"/>
      <c r="C47" s="295"/>
      <c r="D47" s="295"/>
      <c r="E47" s="295"/>
      <c r="F47" s="295"/>
      <c r="G47" s="295"/>
      <c r="H47" s="295"/>
      <c r="I47" s="292">
        <f>I35*1.06+I45</f>
        <v>0</v>
      </c>
      <c r="J47" s="293"/>
      <c r="K47" s="60"/>
      <c r="L47" s="57"/>
    </row>
    <row r="48" spans="1:12" ht="15" x14ac:dyDescent="0.25"/>
    <row r="49" spans="1:12" ht="15" customHeight="1" x14ac:dyDescent="0.25">
      <c r="A49" s="286" t="s">
        <v>87</v>
      </c>
      <c r="B49" s="287"/>
      <c r="C49" s="287"/>
      <c r="D49" s="287"/>
      <c r="E49" s="287"/>
      <c r="F49" s="287"/>
      <c r="G49" s="287"/>
      <c r="H49" s="288"/>
      <c r="I49" s="312"/>
      <c r="J49" s="313"/>
    </row>
    <row r="50" spans="1:12" ht="15" customHeight="1" x14ac:dyDescent="0.25">
      <c r="A50" s="289" t="s">
        <v>88</v>
      </c>
      <c r="B50" s="290"/>
      <c r="C50" s="290"/>
      <c r="D50" s="290"/>
      <c r="E50" s="290"/>
      <c r="F50" s="290"/>
      <c r="G50" s="290"/>
      <c r="H50" s="291"/>
      <c r="I50" s="299">
        <f>I35*I$49</f>
        <v>0</v>
      </c>
      <c r="J50" s="300"/>
    </row>
    <row r="51" spans="1:12" ht="15" x14ac:dyDescent="0.25">
      <c r="D51"/>
      <c r="E51"/>
      <c r="F51"/>
      <c r="G51"/>
      <c r="H51"/>
      <c r="I51"/>
      <c r="J51"/>
      <c r="K51"/>
      <c r="L51"/>
    </row>
    <row r="52" spans="1:12" ht="15.75" customHeight="1" x14ac:dyDescent="0.25">
      <c r="A52" s="307" t="s">
        <v>89</v>
      </c>
      <c r="B52" s="308"/>
      <c r="C52" s="308"/>
      <c r="D52" s="308"/>
      <c r="E52" s="308"/>
      <c r="F52" s="308"/>
      <c r="G52" s="308"/>
      <c r="H52" s="308"/>
      <c r="I52" s="323">
        <f>SUMIF(L4:L34,"_3.",J4:J34)+SUMIF(L4:L34,"_4.",J4:J34)</f>
        <v>0</v>
      </c>
      <c r="J52" s="324"/>
    </row>
    <row r="53" spans="1:12" ht="15" x14ac:dyDescent="0.25">
      <c r="A53" s="309" t="s">
        <v>90</v>
      </c>
      <c r="B53" s="309"/>
      <c r="C53" s="309"/>
      <c r="D53" s="309"/>
      <c r="E53" s="309"/>
      <c r="F53" s="309"/>
      <c r="G53" s="309"/>
      <c r="H53" s="309"/>
      <c r="I53" s="312"/>
      <c r="J53" s="313"/>
    </row>
    <row r="54" spans="1:12" ht="15" x14ac:dyDescent="0.25">
      <c r="A54" s="296" t="s">
        <v>91</v>
      </c>
      <c r="B54" s="297"/>
      <c r="C54" s="297"/>
      <c r="D54" s="297"/>
      <c r="E54" s="297"/>
      <c r="F54" s="297"/>
      <c r="G54" s="297"/>
      <c r="H54" s="298"/>
      <c r="I54" s="299">
        <f>I52*I53</f>
        <v>0</v>
      </c>
      <c r="J54" s="300"/>
    </row>
    <row r="55" spans="1:12" ht="27" customHeight="1" thickBot="1" x14ac:dyDescent="0.3">
      <c r="D55"/>
      <c r="E55"/>
      <c r="F55"/>
      <c r="G55"/>
      <c r="H55"/>
      <c r="I55"/>
      <c r="J55"/>
    </row>
    <row r="56" spans="1:12" ht="27" customHeight="1" thickBot="1" x14ac:dyDescent="0.3">
      <c r="A56" s="281" t="s">
        <v>92</v>
      </c>
      <c r="B56" s="282"/>
      <c r="C56" s="282"/>
      <c r="D56" s="282"/>
      <c r="E56" s="282"/>
      <c r="F56" s="282"/>
      <c r="G56" s="282"/>
      <c r="H56" s="283"/>
      <c r="I56" s="284">
        <f>I47+I50++I52+I54</f>
        <v>0</v>
      </c>
      <c r="J56" s="285"/>
    </row>
  </sheetData>
  <sheetProtection algorithmName="SHA-512" hashValue="WEYaxePtPYbhC0kI+e+x3Nfo4hrxE8jDzvU8qy6+YQaWrQrPSA0xDTlNd3uXr5SYpUAxE+DK1JMcYUpTmIOPyg==" saltValue="RvOpYE8UM4O5Zh06rzbMnw==" spinCount="100000" sheet="1" sort="0" autoFilter="0" pivotTables="0"/>
  <dataConsolidate link="1"/>
  <mergeCells count="36">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H2:H3"/>
    <mergeCell ref="A38:H38"/>
    <mergeCell ref="I38:J38"/>
    <mergeCell ref="A39:H39"/>
    <mergeCell ref="I39:J39"/>
    <mergeCell ref="A40:H40"/>
    <mergeCell ref="I40:J40"/>
    <mergeCell ref="A41:H41"/>
    <mergeCell ref="I41:J41"/>
    <mergeCell ref="A42:H42"/>
    <mergeCell ref="I42:J42"/>
    <mergeCell ref="A43:H43"/>
    <mergeCell ref="I43:J43"/>
    <mergeCell ref="A44:H44"/>
    <mergeCell ref="I44:J44"/>
  </mergeCells>
  <conditionalFormatting sqref="C4:F34 H4:H34">
    <cfRule type="cellIs" dxfId="72" priority="94" operator="equal">
      <formula>"N/A"</formula>
    </cfRule>
  </conditionalFormatting>
  <dataValidations count="3">
    <dataValidation type="list" allowBlank="1" showInputMessage="1" showErrorMessage="1" sqref="B4:B34" xr:uid="{00000000-0002-0000-0300-000000000000}">
      <formula1>INDIRECT(SUBSTITUTE(A4," ",""))</formula1>
    </dataValidation>
    <dataValidation type="list" allowBlank="1" showInputMessage="1" showErrorMessage="1" sqref="A4:A34" xr:uid="{D87846BB-B50F-4D5A-A91B-D74D7774491D}">
      <formula1>typeofequipment</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0B99C3D2-4438-4503-9096-FCB2C49ADFB3}">
      <formula1>200</formula1>
      <formula2>38000</formula2>
    </dataValidation>
  </dataValidations>
  <pageMargins left="0.7" right="0.7" top="0.75" bottom="0.75" header="0.3" footer="0.3"/>
  <pageSetup scale="36" fitToHeight="0" orientation="landscape" r:id="rId1"/>
  <ignoredErrors>
    <ignoredError sqref="L34 L4:L32" unlockedFormula="1"/>
  </ignoredErrors>
  <extLst>
    <ext xmlns:x14="http://schemas.microsoft.com/office/spreadsheetml/2009/9/main" uri="{78C0D931-6437-407d-A8EE-F0AAD7539E65}">
      <x14:conditionalFormattings>
        <x14:conditionalFormatting xmlns:xm="http://schemas.microsoft.com/office/excel/2006/main">
          <x14:cfRule type="expression" priority="4999" id="{FA6D11E4-B847-4489-B950-DB941CCC2729}">
            <xm:f>OR(A1='Specified CCE Model Price List'!#REF!,A1='Specified CCE Model Price List'!#REF!,A1='Specified CCE Model Price List'!#REF!,A1='Specified CCE Model Price List'!#REF!,A1='Specified CCE Model Price List'!#REF!)</xm:f>
            <x14:dxf>
              <font>
                <color theme="1"/>
              </font>
              <fill>
                <patternFill>
                  <bgColor theme="1" tint="0.499984740745262"/>
                </patternFill>
              </fill>
            </x14:dxf>
          </x14:cfRule>
          <xm:sqref>G1:G3</xm:sqref>
        </x14:conditionalFormatting>
        <x14:conditionalFormatting xmlns:xm="http://schemas.microsoft.com/office/excel/2006/main">
          <x14:cfRule type="cellIs" priority="5000" operator="equal" id="{6E22A14A-367C-4D9B-92BA-1A0FA5F350E4}">
            <xm:f>'Specified CCE Model Price List'!#REF!</xm:f>
            <x14:dxf>
              <fill>
                <patternFill>
                  <bgColor rgb="FFFFFF00"/>
                </patternFill>
              </fill>
            </x14:dxf>
          </x14:cfRule>
          <x14:cfRule type="cellIs" priority="5001" operator="equal" id="{5684F7B7-36A1-48FB-8C62-A0EB34B9C116}">
            <xm:f>'Specified CCE Model Price List'!#REF!</xm:f>
            <x14:dxf>
              <font>
                <color theme="0"/>
              </font>
              <fill>
                <patternFill>
                  <bgColor rgb="FF7030A0"/>
                </patternFill>
              </fill>
            </x14:dxf>
          </x14:cfRule>
          <x14:cfRule type="cellIs" priority="5002" operator="equal" id="{572D1C65-53C7-4704-9762-9421A61B4193}">
            <xm:f>'Specified CCE Model Price List'!#REF!</xm:f>
            <x14:dxf>
              <font>
                <color theme="0"/>
              </font>
              <fill>
                <patternFill>
                  <bgColor theme="9" tint="-0.24994659260841701"/>
                </patternFill>
              </fill>
            </x14:dxf>
          </x14:cfRule>
          <x14:cfRule type="cellIs" priority="5003" operator="equal" id="{F70C5108-E1D6-427D-AE91-5F57ADB2472E}">
            <xm:f>'Specified CCE Model Price List'!#REF!</xm:f>
            <x14:dxf>
              <font>
                <color theme="0"/>
              </font>
              <fill>
                <patternFill>
                  <bgColor theme="4" tint="-0.24994659260841701"/>
                </patternFill>
              </fill>
            </x14:dxf>
          </x14:cfRule>
          <x14:cfRule type="cellIs" priority="5004" operator="equal" id="{96AEE87A-8989-4A2A-B36C-63C4278936F3}">
            <xm:f>'Specified CCE Model Price List'!#REF!</xm:f>
            <x14:dxf>
              <fill>
                <patternFill>
                  <bgColor rgb="FFFF99FF"/>
                </patternFill>
              </fill>
            </x14:dxf>
          </x14:cfRule>
          <x14:cfRule type="cellIs" priority="5005" operator="equal" id="{5A3A7EF2-A497-4E46-8E3F-1202B293F6EF}">
            <xm:f>'Specified CCE Model Price List'!#REF!</xm:f>
            <x14:dxf>
              <font>
                <color theme="0"/>
              </font>
              <fill>
                <patternFill>
                  <bgColor rgb="FF9900CC"/>
                </patternFill>
              </fill>
            </x14:dxf>
          </x14:cfRule>
          <x14:cfRule type="cellIs" priority="5006" operator="equal" id="{FFFDDF1F-97F8-433E-B6B6-E82944B81296}">
            <xm:f>'Specified CCE Model Price List'!#REF!</xm:f>
            <x14:dxf>
              <fill>
                <patternFill>
                  <bgColor rgb="FFFFC000"/>
                </patternFill>
              </fill>
            </x14:dxf>
          </x14:cfRule>
          <x14:cfRule type="cellIs" priority="5007" operator="equal" id="{F8D5B7F4-AD25-45F3-9D98-9E439EC98E46}">
            <xm:f>'Specified CCE Model Price List'!#REF!</xm:f>
            <x14:dxf>
              <font>
                <color theme="1"/>
              </font>
              <fill>
                <patternFill>
                  <bgColor rgb="FFCCCCFF"/>
                </patternFill>
              </fill>
            </x14:dxf>
          </x14:cfRule>
          <x14:cfRule type="cellIs" priority="5008" operator="equal" id="{12AC7C8D-7727-4265-AE96-3A0A1123F37B}">
            <xm:f>'Specified CCE Model Price List'!#REF!</xm:f>
            <x14:dxf>
              <font>
                <color theme="1"/>
              </font>
              <fill>
                <patternFill>
                  <bgColor rgb="FFCCCCFF"/>
                </patternFill>
              </fill>
            </x14:dxf>
          </x14:cfRule>
          <x14:cfRule type="cellIs" priority="5009" operator="equal" id="{B578BF7F-B7CF-4120-83E4-FCF2E46882F7}">
            <xm:f>'Specified CCE Model Price List'!#REF!</xm:f>
            <x14:dxf>
              <font>
                <color theme="1"/>
              </font>
              <fill>
                <patternFill>
                  <bgColor theme="5" tint="0.59996337778862885"/>
                </patternFill>
              </fill>
            </x14:dxf>
          </x14:cfRule>
          <x14:cfRule type="cellIs" priority="5010" operator="equal" id="{26E013DB-B670-4EED-A55A-0E82B179D98B}">
            <xm:f>'Specified CCE Model Price List'!#REF!</xm:f>
            <x14:dxf>
              <font>
                <color theme="1"/>
              </font>
              <fill>
                <patternFill>
                  <bgColor theme="5" tint="0.79998168889431442"/>
                </patternFill>
              </fill>
            </x14:dxf>
          </x14:cfRule>
          <x14:cfRule type="cellIs" priority="5011" operator="equal" id="{91D76269-430D-43D8-84C8-12B9A87F003F}">
            <xm:f>'Specified CCE Model Price List'!#REF!</xm:f>
            <x14:dxf>
              <font>
                <color theme="1"/>
              </font>
              <fill>
                <patternFill>
                  <bgColor theme="9" tint="0.59996337778862885"/>
                </patternFill>
              </fill>
            </x14:dxf>
          </x14:cfRule>
          <x14:cfRule type="cellIs" priority="5012" operator="equal" id="{C8F82125-3164-443F-90CF-7EA754C01AB2}">
            <xm:f>'Specified CCE Model Price List'!#REF!</xm:f>
            <x14:dxf>
              <font>
                <color theme="1"/>
              </font>
              <fill>
                <patternFill>
                  <bgColor theme="9" tint="0.79998168889431442"/>
                </patternFill>
              </fill>
            </x14:dxf>
          </x14:cfRule>
          <x14:cfRule type="cellIs" priority="5013" operator="equal" id="{57EEC484-E9B9-4FEB-8120-1C75DC4AFCB7}">
            <xm:f>'Specified CCE Model Price List'!#REF!</xm:f>
            <x14:dxf>
              <font>
                <color theme="0"/>
              </font>
              <fill>
                <patternFill>
                  <bgColor theme="1" tint="0.24994659260841701"/>
                </patternFill>
              </fill>
            </x14:dxf>
          </x14:cfRule>
          <x14:cfRule type="cellIs" priority="5014" operator="equal" id="{C2EDA7F8-5539-42DD-8C18-2DDF0AC80F3E}">
            <xm:f>'Specified CCE Model Price List'!#REF!</xm:f>
            <x14:dxf>
              <font>
                <color theme="0"/>
              </font>
              <fill>
                <patternFill>
                  <bgColor theme="0" tint="-0.499984740745262"/>
                </patternFill>
              </fill>
            </x14:dxf>
          </x14:cfRule>
          <x14:cfRule type="cellIs" priority="5015" operator="equal" id="{FBF2D7F8-D613-4CF0-9AF6-DA8C02224C93}">
            <xm:f>'Specified CCE Model Price List'!#REF!</xm:f>
            <x14:dxf>
              <font>
                <color theme="1"/>
              </font>
              <fill>
                <patternFill>
                  <bgColor theme="0" tint="-0.14996795556505021"/>
                </patternFill>
              </fill>
            </x14:dxf>
          </x14:cfRule>
          <x14:cfRule type="cellIs" priority="5016" operator="equal" id="{0D0E0FE9-B4D0-4075-9F89-C2E1A22D9240}">
            <xm:f>'Specified CCE Model Price List'!#REF!</xm:f>
            <x14:dxf>
              <font>
                <color theme="1"/>
              </font>
              <fill>
                <patternFill>
                  <bgColor theme="7" tint="0.79998168889431442"/>
                </patternFill>
              </fill>
            </x14:dxf>
          </x14:cfRule>
          <x14:cfRule type="cellIs" priority="5017" operator="equal" id="{98A79FEB-FB31-4055-9D56-D15383EF0728}">
            <xm:f>'Specified CCE Model Price List'!#REF!</xm:f>
            <x14:dxf>
              <font>
                <color theme="0"/>
              </font>
              <fill>
                <patternFill>
                  <bgColor theme="4" tint="-0.24994659260841701"/>
                </patternFill>
              </fill>
            </x14:dxf>
          </x14:cfRule>
          <x14:cfRule type="cellIs" priority="5018" operator="equal" id="{7CB003B6-ABE2-4E39-B38C-57DF4238E5F9}">
            <xm:f>'Specified CCE Model Price List'!#REF!</xm:f>
            <x14:dxf>
              <font>
                <color theme="1"/>
              </font>
              <fill>
                <patternFill>
                  <bgColor theme="4" tint="0.39994506668294322"/>
                </patternFill>
              </fill>
            </x14:dxf>
          </x14:cfRule>
          <x14:cfRule type="cellIs" priority="5019" operator="equal" id="{28927EF7-2B55-4DBF-B738-A6A8B92751BE}">
            <xm:f>'Specified CCE Model Price List'!#REF!</xm:f>
            <x14:dxf>
              <font>
                <color theme="1"/>
              </font>
              <fill>
                <patternFill>
                  <bgColor theme="4" tint="0.79998168889431442"/>
                </patternFill>
              </fill>
            </x14:dxf>
          </x14:cfRule>
          <xm:sqref>A1:A3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BW56"/>
  <sheetViews>
    <sheetView showGridLines="0" topLeftCell="A38" zoomScaleNormal="100" zoomScaleSheetLayoutView="100" workbookViewId="0">
      <selection activeCell="I45" sqref="I45:J45"/>
    </sheetView>
  </sheetViews>
  <sheetFormatPr defaultColWidth="0" defaultRowHeight="27" customHeight="1" x14ac:dyDescent="0.25"/>
  <cols>
    <col min="1" max="1" width="30.42578125" customWidth="1"/>
    <col min="2"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140625" style="33" bestFit="1" customWidth="1"/>
    <col min="9" max="10" width="12.42578125" style="33" customWidth="1"/>
    <col min="11" max="12" width="9.140625" style="60" customWidth="1"/>
    <col min="13" max="75" width="0" hidden="1" customWidth="1"/>
    <col min="76" max="16384" width="9.140625" hidden="1"/>
  </cols>
  <sheetData>
    <row r="1" spans="1:12" s="70" customFormat="1" ht="16.5" customHeight="1" thickTop="1" thickBot="1" x14ac:dyDescent="0.3">
      <c r="A1" s="67"/>
      <c r="B1" s="68"/>
      <c r="C1" s="68"/>
      <c r="D1" s="68"/>
      <c r="E1" s="71"/>
      <c r="F1" s="71"/>
      <c r="G1" s="71"/>
      <c r="H1" s="71"/>
      <c r="I1" s="319" t="s">
        <v>48</v>
      </c>
      <c r="J1" s="320"/>
      <c r="K1" s="69"/>
      <c r="L1" s="69"/>
    </row>
    <row r="2" spans="1:12" s="6" customFormat="1" ht="60.75" customHeight="1" thickTop="1" x14ac:dyDescent="0.25">
      <c r="A2" s="7" t="s">
        <v>49</v>
      </c>
      <c r="B2" s="7" t="s">
        <v>50</v>
      </c>
      <c r="C2" s="7" t="s">
        <v>51</v>
      </c>
      <c r="D2" s="30" t="s">
        <v>52</v>
      </c>
      <c r="E2" s="77" t="s">
        <v>53</v>
      </c>
      <c r="F2" s="77" t="s">
        <v>54</v>
      </c>
      <c r="G2" s="77" t="s">
        <v>55</v>
      </c>
      <c r="H2" s="321" t="s">
        <v>56</v>
      </c>
      <c r="I2" s="78" t="s">
        <v>57</v>
      </c>
      <c r="J2" s="79" t="s">
        <v>58</v>
      </c>
      <c r="K2" s="55"/>
      <c r="L2" s="55"/>
    </row>
    <row r="3" spans="1:12" s="11" customFormat="1" ht="45" customHeight="1" x14ac:dyDescent="0.25">
      <c r="A3" s="9"/>
      <c r="B3" s="10" t="s">
        <v>59</v>
      </c>
      <c r="C3" s="9"/>
      <c r="D3" s="31"/>
      <c r="E3" s="31"/>
      <c r="F3" s="31"/>
      <c r="G3" s="80" t="s">
        <v>60</v>
      </c>
      <c r="H3" s="322"/>
      <c r="I3" s="81" t="s">
        <v>61</v>
      </c>
      <c r="J3" s="82"/>
      <c r="K3" s="56"/>
      <c r="L3" s="56"/>
    </row>
    <row r="4" spans="1:12" s="26" customFormat="1" ht="27" customHeight="1" x14ac:dyDescent="0.25">
      <c r="A4" s="41" t="s">
        <v>62</v>
      </c>
      <c r="B4" s="42"/>
      <c r="C4" s="29" t="str">
        <f>IFERROR(INDEX('Lista precios mod CCE especif.'!$A$3:$O$278,MATCH('Opción C Selección modelo CCE'!$B4,'Lista precios mod CCE especif.'!$E$3:$E$278,0),MATCH('Opción C Selección modelo CCE'!C$2,'Lista precios mod CCE especif.'!$A$3:$O$3,0)),"")</f>
        <v/>
      </c>
      <c r="D4" s="32" t="str">
        <f>IFERROR(INDEX('Lista precios mod CCE especif.'!$A$3:$O$278,MATCH('Opción C Selección modelo CCE'!$B4,'Lista precios mod CCE especif.'!$E$3:$E$278,0),MATCH('Opción C Selección modelo CCE'!D$2,'Lista precios mod CCE especif.'!$A$3:$O$3,0)),"")</f>
        <v/>
      </c>
      <c r="E4" s="32" t="str">
        <f>IFERROR(INDEX('Lista precios mod CCE especif.'!$A$3:$O$278,MATCH('Opción C Selección modelo CCE'!$B4,'Lista precios mod CCE especif.'!$E$3:$E$269,0),MATCH('Opción C Selección modelo CCE'!E$2,'Lista precios mod CCE especif.'!$A$3:$O$3,0)),"")</f>
        <v/>
      </c>
      <c r="F4" s="126" t="str">
        <f>IFERROR(INDEX('Lista precios mod CCE especif.'!$A$3:$O$278,MATCH('Opción C Selección modelo CCE'!$B4,'Lista precios mod CCE especif.'!$E$3:$E$278,0),MATCH('Opción C Selección modelo CCE'!F$2,'Lista precios mod CCE especif.'!$A$3:$O$3,0)),"")</f>
        <v/>
      </c>
      <c r="G4" s="54"/>
      <c r="H4" s="115" t="str">
        <f>IFERROR(IF(OR(EXACT(A4,'Lista precios mod CCE especif.'!$AB$14),EXACT(A4,'Lista precios mod CCE especif.'!$AB$16),EXACT(A4,'Lista precios mod CCE especif.'!$AB$17),EXACT(A4,'Lista precios mod CCE especif.'!$AB$18),EXACT(A4,'Lista precios mod CCE especif.'!$AB$19),EXACT(A4,'Lista precios mod CCE especif.'!$AB$20),EXACT(A4,'Lista precios mod CCE especif.'!$AB$21),EXACT(A4,'Lista precios mod CCE especif.'!$AB$22),EXACT(A4,'Lista precios mod CCE especif.'!$AB$23),EXACT(A4,'Lista precios mod CCE especif.'!$AB$24),EXACT(A4,'Lista precios mod CCE especif.'!$AB$25),EXACT(A4,'Lista precios mod CCE especif.'!$AB$26),EXACT(A4,'Lista precios mod CCE especif.'!$AB$27)),"N/A",G4+F4),"")</f>
        <v/>
      </c>
      <c r="I4" s="75"/>
      <c r="J4" s="76" t="str">
        <f t="shared" ref="J4:J34" si="0">IFERROR(IF(H4="N/A",F4*I4,H4*I4),"")</f>
        <v/>
      </c>
      <c r="K4" s="57"/>
      <c r="L4" s="156" t="str">
        <f>LEFT(A4,3)</f>
        <v>_1.</v>
      </c>
    </row>
    <row r="5" spans="1:12" s="26" customFormat="1" ht="27" customHeight="1" x14ac:dyDescent="0.25">
      <c r="A5" s="41" t="s">
        <v>62</v>
      </c>
      <c r="B5" s="42"/>
      <c r="C5" s="29" t="str">
        <f>IFERROR(INDEX('Lista precios mod CCE especif.'!$A$3:$O$278,MATCH('Opción C Selección modelo CCE'!$B5,'Lista precios mod CCE especif.'!$E$3:$E$278,0),MATCH('Opción C Selección modelo CCE'!C$2,'Lista precios mod CCE especif.'!$A$3:$O$3,0)),"")</f>
        <v/>
      </c>
      <c r="D5" s="32" t="str">
        <f>IFERROR(INDEX('Lista precios mod CCE especif.'!$A$3:$O$278,MATCH('Opción C Selección modelo CCE'!$B5,'Lista precios mod CCE especif.'!$E$3:$E$278,0),MATCH('Opción C Selección modelo CCE'!D$2,'Lista precios mod CCE especif.'!$A$3:$O$3,0)),"")</f>
        <v/>
      </c>
      <c r="E5" s="32" t="str">
        <f>IFERROR(INDEX('Lista precios mod CCE especif.'!$A$3:$O$278,MATCH('Opción C Selección modelo CCE'!$B5,'Lista precios mod CCE especif.'!$E$3:$E$269,0),MATCH('Opción C Selección modelo CCE'!E$2,'Lista precios mod CCE especif.'!$A$3:$O$3,0)),"")</f>
        <v/>
      </c>
      <c r="F5" s="126" t="str">
        <f>IFERROR(INDEX('Lista precios mod CCE especif.'!$A$3:$O$278,MATCH('Opción C Selección modelo CCE'!$B5,'Lista precios mod CCE especif.'!$E$3:$E$278,0),MATCH('Opción C Selección modelo CCE'!F$2,'Lista precios mod CCE especif.'!$A$3:$O$3,0)),"")</f>
        <v/>
      </c>
      <c r="G5" s="54"/>
      <c r="H5" s="115" t="str">
        <f>IFERROR(IF(OR(EXACT(A5,'Lista precios mod CCE especif.'!$AB$14),EXACT(A5,'Lista precios mod CCE especif.'!$AB$16),EXACT(A5,'Lista precios mod CCE especif.'!$AB$17),EXACT(A5,'Lista precios mod CCE especif.'!$AB$18),EXACT(A5,'Lista precios mod CCE especif.'!$AB$19),EXACT(A5,'Lista precios mod CCE especif.'!$AB$20),EXACT(A5,'Lista precios mod CCE especif.'!$AB$21),EXACT(A5,'Lista precios mod CCE especif.'!$AB$22),EXACT(A5,'Lista precios mod CCE especif.'!$AB$23),EXACT(A5,'Lista precios mod CCE especif.'!$AB$24),EXACT(A5,'Lista precios mod CCE especif.'!$AB$25),EXACT(A5,'Lista precios mod CCE especif.'!$AB$26),EXACT(A5,'Lista precios mod CCE especif.'!$AB$27)),"N/A",G5+F5),"")</f>
        <v/>
      </c>
      <c r="I5" s="75"/>
      <c r="J5" s="76" t="str">
        <f t="shared" si="0"/>
        <v/>
      </c>
      <c r="K5" s="57"/>
      <c r="L5" s="156" t="str">
        <f t="shared" ref="L5:L34" si="1">LEFT(A5,3)</f>
        <v>_1.</v>
      </c>
    </row>
    <row r="6" spans="1:12" s="26" customFormat="1" ht="27" customHeight="1" x14ac:dyDescent="0.25">
      <c r="A6" s="41" t="s">
        <v>63</v>
      </c>
      <c r="B6" s="42"/>
      <c r="C6" s="29" t="str">
        <f>IFERROR(INDEX('Lista precios mod CCE especif.'!$A$3:$O$278,MATCH('Opción C Selección modelo CCE'!$B6,'Lista precios mod CCE especif.'!$E$3:$E$278,0),MATCH('Opción C Selección modelo CCE'!C$2,'Lista precios mod CCE especif.'!$A$3:$O$3,0)),"")</f>
        <v/>
      </c>
      <c r="D6" s="32" t="str">
        <f>IFERROR(INDEX('Lista precios mod CCE especif.'!$A$3:$O$278,MATCH('Opción C Selección modelo CCE'!$B6,'Lista precios mod CCE especif.'!$E$3:$E$278,0),MATCH('Opción C Selección modelo CCE'!D$2,'Lista precios mod CCE especif.'!$A$3:$O$3,0)),"")</f>
        <v/>
      </c>
      <c r="E6" s="32" t="str">
        <f>IFERROR(INDEX('Lista precios mod CCE especif.'!$A$3:$O$278,MATCH('Opción C Selección modelo CCE'!$B6,'Lista precios mod CCE especif.'!$E$3:$E$269,0),MATCH('Opción C Selección modelo CCE'!E$2,'Lista precios mod CCE especif.'!$A$3:$O$3,0)),"")</f>
        <v/>
      </c>
      <c r="F6" s="126" t="str">
        <f>IFERROR(INDEX('Lista precios mod CCE especif.'!$A$3:$O$278,MATCH('Opción C Selección modelo CCE'!$B6,'Lista precios mod CCE especif.'!$E$3:$E$278,0),MATCH('Opción C Selección modelo CCE'!F$2,'Lista precios mod CCE especif.'!$A$3:$O$3,0)),"")</f>
        <v/>
      </c>
      <c r="G6" s="54"/>
      <c r="H6" s="115" t="str">
        <f>IFERROR(IF(OR(EXACT(A6,'Lista precios mod CCE especif.'!$AB$14),EXACT(A6,'Lista precios mod CCE especif.'!$AB$16),EXACT(A6,'Lista precios mod CCE especif.'!$AB$17),EXACT(A6,'Lista precios mod CCE especif.'!$AB$18),EXACT(A6,'Lista precios mod CCE especif.'!$AB$19),EXACT(A6,'Lista precios mod CCE especif.'!$AB$20),EXACT(A6,'Lista precios mod CCE especif.'!$AB$21),EXACT(A6,'Lista precios mod CCE especif.'!$AB$22),EXACT(A6,'Lista precios mod CCE especif.'!$AB$23),EXACT(A6,'Lista precios mod CCE especif.'!$AB$24),EXACT(A6,'Lista precios mod CCE especif.'!$AB$25),EXACT(A6,'Lista precios mod CCE especif.'!$AB$26),EXACT(A6,'Lista precios mod CCE especif.'!$AB$27)),"N/A",G6+F6),"")</f>
        <v/>
      </c>
      <c r="I6" s="75"/>
      <c r="J6" s="76" t="str">
        <f t="shared" si="0"/>
        <v/>
      </c>
      <c r="K6" s="57"/>
      <c r="L6" s="156" t="str">
        <f t="shared" si="1"/>
        <v>_2.</v>
      </c>
    </row>
    <row r="7" spans="1:12" s="26" customFormat="1" ht="27" customHeight="1" x14ac:dyDescent="0.25">
      <c r="A7" s="41" t="s">
        <v>64</v>
      </c>
      <c r="B7" s="42"/>
      <c r="C7" s="29" t="str">
        <f>IFERROR(INDEX('Lista precios mod CCE especif.'!$A$3:$O$278,MATCH('Opción C Selección modelo CCE'!$B7,'Lista precios mod CCE especif.'!$E$3:$E$278,0),MATCH('Opción C Selección modelo CCE'!C$2,'Lista precios mod CCE especif.'!$A$3:$O$3,0)),"")</f>
        <v/>
      </c>
      <c r="D7" s="32" t="str">
        <f>IFERROR(INDEX('Lista precios mod CCE especif.'!$A$3:$O$278,MATCH('Opción C Selección modelo CCE'!$B7,'Lista precios mod CCE especif.'!$E$3:$E$278,0),MATCH('Opción C Selección modelo CCE'!D$2,'Lista precios mod CCE especif.'!$A$3:$O$3,0)),"")</f>
        <v/>
      </c>
      <c r="E7" s="32" t="str">
        <f>IFERROR(INDEX('Lista precios mod CCE especif.'!$A$3:$O$278,MATCH('Opción C Selección modelo CCE'!$B7,'Lista precios mod CCE especif.'!$E$3:$E$269,0),MATCH('Opción C Selección modelo CCE'!E$2,'Lista precios mod CCE especif.'!$A$3:$O$3,0)),"")</f>
        <v/>
      </c>
      <c r="F7" s="126" t="str">
        <f>IFERROR(INDEX('Lista precios mod CCE especif.'!$A$3:$O$278,MATCH('Opción C Selección modelo CCE'!$B7,'Lista precios mod CCE especif.'!$E$3:$E$278,0),MATCH('Opción C Selección modelo CCE'!F$2,'Lista precios mod CCE especif.'!$A$3:$O$3,0)),"")</f>
        <v/>
      </c>
      <c r="G7" s="54"/>
      <c r="H7" s="115" t="str">
        <f>IFERROR(IF(OR(EXACT(A7,'Lista precios mod CCE especif.'!$AB$14),EXACT(A7,'Lista precios mod CCE especif.'!$AB$16),EXACT(A7,'Lista precios mod CCE especif.'!$AB$17),EXACT(A7,'Lista precios mod CCE especif.'!$AB$18),EXACT(A7,'Lista precios mod CCE especif.'!$AB$19),EXACT(A7,'Lista precios mod CCE especif.'!$AB$20),EXACT(A7,'Lista precios mod CCE especif.'!$AB$21),EXACT(A7,'Lista precios mod CCE especif.'!$AB$22),EXACT(A7,'Lista precios mod CCE especif.'!$AB$23),EXACT(A7,'Lista precios mod CCE especif.'!$AB$24),EXACT(A7,'Lista precios mod CCE especif.'!$AB$25),EXACT(A7,'Lista precios mod CCE especif.'!$AB$26),EXACT(A7,'Lista precios mod CCE especif.'!$AB$27)),"N/A",G7+F7),"")</f>
        <v/>
      </c>
      <c r="I7" s="75"/>
      <c r="J7" s="76" t="str">
        <f t="shared" si="0"/>
        <v/>
      </c>
      <c r="K7" s="57"/>
      <c r="L7" s="156" t="str">
        <f t="shared" si="1"/>
        <v>_3.</v>
      </c>
    </row>
    <row r="8" spans="1:12" s="26" customFormat="1" ht="27" customHeight="1" x14ac:dyDescent="0.25">
      <c r="A8" s="41" t="s">
        <v>65</v>
      </c>
      <c r="B8" s="42"/>
      <c r="C8" s="29" t="str">
        <f>IFERROR(INDEX('Lista precios mod CCE especif.'!$A$3:$O$278,MATCH('Opción C Selección modelo CCE'!$B8,'Lista precios mod CCE especif.'!$E$3:$E$278,0),MATCH('Opción C Selección modelo CCE'!C$2,'Lista precios mod CCE especif.'!$A$3:$O$3,0)),"")</f>
        <v/>
      </c>
      <c r="D8" s="32" t="str">
        <f>IFERROR(INDEX('Lista precios mod CCE especif.'!$A$3:$O$278,MATCH('Opción C Selección modelo CCE'!$B8,'Lista precios mod CCE especif.'!$E$3:$E$278,0),MATCH('Opción C Selección modelo CCE'!D$2,'Lista precios mod CCE especif.'!$A$3:$O$3,0)),"")</f>
        <v/>
      </c>
      <c r="E8" s="32" t="str">
        <f>IFERROR(INDEX('Lista precios mod CCE especif.'!$A$3:$O$278,MATCH('Opción C Selección modelo CCE'!$B8,'Lista precios mod CCE especif.'!$E$3:$E$269,0),MATCH('Opción C Selección modelo CCE'!E$2,'Lista precios mod CCE especif.'!$A$3:$O$3,0)),"")</f>
        <v/>
      </c>
      <c r="F8" s="126" t="str">
        <f>IFERROR(INDEX('Lista precios mod CCE especif.'!$A$3:$O$278,MATCH('Opción C Selección modelo CCE'!$B8,'Lista precios mod CCE especif.'!$E$3:$E$278,0),MATCH('Opción C Selección modelo CCE'!F$2,'Lista precios mod CCE especif.'!$A$3:$O$3,0)),"")</f>
        <v/>
      </c>
      <c r="G8" s="54"/>
      <c r="H8" s="115" t="str">
        <f>IFERROR(IF(OR(EXACT(A8,'Lista precios mod CCE especif.'!$AB$14),EXACT(A8,'Lista precios mod CCE especif.'!$AB$16),EXACT(A8,'Lista precios mod CCE especif.'!$AB$17),EXACT(A8,'Lista precios mod CCE especif.'!$AB$18),EXACT(A8,'Lista precios mod CCE especif.'!$AB$19),EXACT(A8,'Lista precios mod CCE especif.'!$AB$20),EXACT(A8,'Lista precios mod CCE especif.'!$AB$21),EXACT(A8,'Lista precios mod CCE especif.'!$AB$22),EXACT(A8,'Lista precios mod CCE especif.'!$AB$23),EXACT(A8,'Lista precios mod CCE especif.'!$AB$24),EXACT(A8,'Lista precios mod CCE especif.'!$AB$25),EXACT(A8,'Lista precios mod CCE especif.'!$AB$26),EXACT(A8,'Lista precios mod CCE especif.'!$AB$27)),"N/A",G8+F8),"")</f>
        <v/>
      </c>
      <c r="I8" s="75"/>
      <c r="J8" s="76" t="str">
        <f t="shared" si="0"/>
        <v/>
      </c>
      <c r="K8" s="57"/>
      <c r="L8" s="156" t="str">
        <f t="shared" si="1"/>
        <v>_4.</v>
      </c>
    </row>
    <row r="9" spans="1:12" s="26" customFormat="1" ht="27" customHeight="1" x14ac:dyDescent="0.25">
      <c r="A9" s="43" t="s">
        <v>66</v>
      </c>
      <c r="B9" s="42"/>
      <c r="C9" s="29" t="str">
        <f>IFERROR(INDEX('Lista precios mod CCE especif.'!$A$3:$O$278,MATCH('Opción C Selección modelo CCE'!$B9,'Lista precios mod CCE especif.'!$E$3:$E$278,0),MATCH('Opción C Selección modelo CCE'!C$2,'Lista precios mod CCE especif.'!$A$3:$O$3,0)),"")</f>
        <v/>
      </c>
      <c r="D9" s="32" t="str">
        <f>IFERROR(INDEX('Lista precios mod CCE especif.'!$A$3:$O$278,MATCH('Opción C Selección modelo CCE'!$B9,'Lista precios mod CCE especif.'!$E$3:$E$278,0),MATCH('Opción C Selección modelo CCE'!D$2,'Lista precios mod CCE especif.'!$A$3:$O$3,0)),"")</f>
        <v/>
      </c>
      <c r="E9" s="32" t="str">
        <f>IFERROR(INDEX('Lista precios mod CCE especif.'!$A$3:$O$278,MATCH('Opción C Selección modelo CCE'!$B9,'Lista precios mod CCE especif.'!$E$3:$E$269,0),MATCH('Opción C Selección modelo CCE'!E$2,'Lista precios mod CCE especif.'!$A$3:$O$3,0)),"")</f>
        <v/>
      </c>
      <c r="F9" s="126" t="str">
        <f>IFERROR(INDEX('Lista precios mod CCE especif.'!$A$3:$O$278,MATCH('Opción C Selección modelo CCE'!$B9,'Lista precios mod CCE especif.'!$E$3:$E$278,0),MATCH('Opción C Selección modelo CCE'!F$2,'Lista precios mod CCE especif.'!$A$3:$O$3,0)),"")</f>
        <v/>
      </c>
      <c r="G9" s="54"/>
      <c r="H9" s="115" t="str">
        <f>IFERROR(IF(OR(EXACT(A9,'Lista precios mod CCE especif.'!$AB$14),EXACT(A9,'Lista precios mod CCE especif.'!$AB$16),EXACT(A9,'Lista precios mod CCE especif.'!$AB$17),EXACT(A9,'Lista precios mod CCE especif.'!$AB$18),EXACT(A9,'Lista precios mod CCE especif.'!$AB$19),EXACT(A9,'Lista precios mod CCE especif.'!$AB$20),EXACT(A9,'Lista precios mod CCE especif.'!$AB$21),EXACT(A9,'Lista precios mod CCE especif.'!$AB$22),EXACT(A9,'Lista precios mod CCE especif.'!$AB$23),EXACT(A9,'Lista precios mod CCE especif.'!$AB$24),EXACT(A9,'Lista precios mod CCE especif.'!$AB$25),EXACT(A9,'Lista precios mod CCE especif.'!$AB$26),EXACT(A9,'Lista precios mod CCE especif.'!$AB$27)),"N/A",G9+F9),"")</f>
        <v/>
      </c>
      <c r="I9" s="75"/>
      <c r="J9" s="76" t="str">
        <f t="shared" si="0"/>
        <v/>
      </c>
      <c r="K9" s="57"/>
      <c r="L9" s="156" t="str">
        <f t="shared" si="1"/>
        <v>_5.</v>
      </c>
    </row>
    <row r="10" spans="1:12" s="26" customFormat="1" ht="27" customHeight="1" x14ac:dyDescent="0.25">
      <c r="A10" s="44" t="s">
        <v>67</v>
      </c>
      <c r="B10" s="42"/>
      <c r="C10" s="29" t="str">
        <f>IFERROR(INDEX('Lista precios mod CCE especif.'!$A$3:$O$278,MATCH('Opción C Selección modelo CCE'!$B10,'Lista precios mod CCE especif.'!$E$3:$E$278,0),MATCH('Opción C Selección modelo CCE'!C$2,'Lista precios mod CCE especif.'!$A$3:$O$3,0)),"")</f>
        <v/>
      </c>
      <c r="D10" s="32" t="str">
        <f>IFERROR(INDEX('Lista precios mod CCE especif.'!$A$3:$O$278,MATCH('Opción C Selección modelo CCE'!$B10,'Lista precios mod CCE especif.'!$E$3:$E$278,0),MATCH('Opción C Selección modelo CCE'!D$2,'Lista precios mod CCE especif.'!$A$3:$O$3,0)),"")</f>
        <v/>
      </c>
      <c r="E10" s="32" t="str">
        <f>IFERROR(INDEX('Lista precios mod CCE especif.'!$A$3:$O$278,MATCH('Opción C Selección modelo CCE'!$B10,'Lista precios mod CCE especif.'!$E$3:$E$269,0),MATCH('Opción C Selección modelo CCE'!E$2,'Lista precios mod CCE especif.'!$A$3:$O$3,0)),"")</f>
        <v/>
      </c>
      <c r="F10" s="126" t="str">
        <f>IFERROR(INDEX('Lista precios mod CCE especif.'!$A$3:$O$278,MATCH('Opción C Selección modelo CCE'!$B10,'Lista precios mod CCE especif.'!$E$3:$E$278,0),MATCH('Opción C Selección modelo CCE'!F$2,'Lista precios mod CCE especif.'!$A$3:$O$3,0)),"")</f>
        <v/>
      </c>
      <c r="G10" s="54"/>
      <c r="H10" s="115" t="str">
        <f>IFERROR(IF(OR(EXACT(A10,'Lista precios mod CCE especif.'!$AB$14),EXACT(A10,'Lista precios mod CCE especif.'!$AB$16),EXACT(A10,'Lista precios mod CCE especif.'!$AB$17),EXACT(A10,'Lista precios mod CCE especif.'!$AB$18),EXACT(A10,'Lista precios mod CCE especif.'!$AB$19),EXACT(A10,'Lista precios mod CCE especif.'!$AB$20),EXACT(A10,'Lista precios mod CCE especif.'!$AB$21),EXACT(A10,'Lista precios mod CCE especif.'!$AB$22),EXACT(A10,'Lista precios mod CCE especif.'!$AB$23),EXACT(A10,'Lista precios mod CCE especif.'!$AB$24),EXACT(A10,'Lista precios mod CCE especif.'!$AB$25),EXACT(A10,'Lista precios mod CCE especif.'!$AB$26),EXACT(A10,'Lista precios mod CCE especif.'!$AB$27)),"N/A",G10+F10),"")</f>
        <v/>
      </c>
      <c r="I10" s="75"/>
      <c r="J10" s="76" t="str">
        <f t="shared" si="0"/>
        <v/>
      </c>
      <c r="K10" s="57"/>
      <c r="L10" s="156" t="str">
        <f t="shared" si="1"/>
        <v>_6.</v>
      </c>
    </row>
    <row r="11" spans="1:12" s="26" customFormat="1" ht="27" customHeight="1" x14ac:dyDescent="0.25">
      <c r="A11" s="44" t="s">
        <v>67</v>
      </c>
      <c r="B11" s="42"/>
      <c r="C11" s="29" t="str">
        <f>IFERROR(INDEX('Lista precios mod CCE especif.'!$A$3:$O$278,MATCH('Opción C Selección modelo CCE'!$B11,'Lista precios mod CCE especif.'!$E$3:$E$278,0),MATCH('Opción C Selección modelo CCE'!C$2,'Lista precios mod CCE especif.'!$A$3:$O$3,0)),"")</f>
        <v/>
      </c>
      <c r="D11" s="32" t="str">
        <f>IFERROR(INDEX('Lista precios mod CCE especif.'!$A$3:$O$278,MATCH('Opción C Selección modelo CCE'!$B11,'Lista precios mod CCE especif.'!$E$3:$E$278,0),MATCH('Opción C Selección modelo CCE'!D$2,'Lista precios mod CCE especif.'!$A$3:$O$3,0)),"")</f>
        <v/>
      </c>
      <c r="E11" s="32" t="str">
        <f>IFERROR(INDEX('Lista precios mod CCE especif.'!$A$3:$O$278,MATCH('Opción C Selección modelo CCE'!$B11,'Lista precios mod CCE especif.'!$E$3:$E$269,0),MATCH('Opción C Selección modelo CCE'!E$2,'Lista precios mod CCE especif.'!$A$3:$O$3,0)),"")</f>
        <v/>
      </c>
      <c r="F11" s="126" t="str">
        <f>IFERROR(INDEX('Lista precios mod CCE especif.'!$A$3:$O$278,MATCH('Opción C Selección modelo CCE'!$B11,'Lista precios mod CCE especif.'!$E$3:$E$278,0),MATCH('Opción C Selección modelo CCE'!F$2,'Lista precios mod CCE especif.'!$A$3:$O$3,0)),"")</f>
        <v/>
      </c>
      <c r="G11" s="54"/>
      <c r="H11" s="115" t="str">
        <f>IFERROR(IF(OR(EXACT(A11,'Lista precios mod CCE especif.'!$AB$14),EXACT(A11,'Lista precios mod CCE especif.'!$AB$16),EXACT(A11,'Lista precios mod CCE especif.'!$AB$17),EXACT(A11,'Lista precios mod CCE especif.'!$AB$18),EXACT(A11,'Lista precios mod CCE especif.'!$AB$19),EXACT(A11,'Lista precios mod CCE especif.'!$AB$20),EXACT(A11,'Lista precios mod CCE especif.'!$AB$21),EXACT(A11,'Lista precios mod CCE especif.'!$AB$22),EXACT(A11,'Lista precios mod CCE especif.'!$AB$23),EXACT(A11,'Lista precios mod CCE especif.'!$AB$24),EXACT(A11,'Lista precios mod CCE especif.'!$AB$25),EXACT(A11,'Lista precios mod CCE especif.'!$AB$26),EXACT(A11,'Lista precios mod CCE especif.'!$AB$27)),"N/A",G11+F11),"")</f>
        <v/>
      </c>
      <c r="I11" s="75"/>
      <c r="J11" s="76" t="str">
        <f t="shared" si="0"/>
        <v/>
      </c>
      <c r="K11" s="57"/>
      <c r="L11" s="156" t="str">
        <f t="shared" si="1"/>
        <v>_6.</v>
      </c>
    </row>
    <row r="12" spans="1:12" s="26" customFormat="1" ht="27" customHeight="1" x14ac:dyDescent="0.25">
      <c r="A12" s="44" t="s">
        <v>68</v>
      </c>
      <c r="B12" s="42"/>
      <c r="C12" s="29" t="str">
        <f>IFERROR(INDEX('Lista precios mod CCE especif.'!$A$3:$O$278,MATCH('Opción C Selección modelo CCE'!$B12,'Lista precios mod CCE especif.'!$E$3:$E$278,0),MATCH('Opción C Selección modelo CCE'!C$2,'Lista precios mod CCE especif.'!$A$3:$O$3,0)),"")</f>
        <v/>
      </c>
      <c r="D12" s="32" t="str">
        <f>IFERROR(INDEX('Lista precios mod CCE especif.'!$A$3:$O$278,MATCH('Opción C Selección modelo CCE'!$B12,'Lista precios mod CCE especif.'!$E$3:$E$278,0),MATCH('Opción C Selección modelo CCE'!D$2,'Lista precios mod CCE especif.'!$A$3:$O$3,0)),"")</f>
        <v/>
      </c>
      <c r="E12" s="32" t="str">
        <f>IFERROR(INDEX('Lista precios mod CCE especif.'!$A$3:$O$278,MATCH('Opción C Selección modelo CCE'!$B12,'Lista precios mod CCE especif.'!$E$3:$E$269,0),MATCH('Opción C Selección modelo CCE'!E$2,'Lista precios mod CCE especif.'!$A$3:$O$3,0)),"")</f>
        <v/>
      </c>
      <c r="F12" s="126" t="str">
        <f>IFERROR(INDEX('Lista precios mod CCE especif.'!$A$3:$O$278,MATCH('Opción C Selección modelo CCE'!$B12,'Lista precios mod CCE especif.'!$E$3:$E$278,0),MATCH('Opción C Selección modelo CCE'!F$2,'Lista precios mod CCE especif.'!$A$3:$O$3,0)),"")</f>
        <v/>
      </c>
      <c r="G12" s="54"/>
      <c r="H12" s="115" t="str">
        <f>IFERROR(IF(OR(EXACT(A12,'Lista precios mod CCE especif.'!$AB$14),EXACT(A12,'Lista precios mod CCE especif.'!$AB$16),EXACT(A12,'Lista precios mod CCE especif.'!$AB$17),EXACT(A12,'Lista precios mod CCE especif.'!$AB$18),EXACT(A12,'Lista precios mod CCE especif.'!$AB$19),EXACT(A12,'Lista precios mod CCE especif.'!$AB$20),EXACT(A12,'Lista precios mod CCE especif.'!$AB$21),EXACT(A12,'Lista precios mod CCE especif.'!$AB$22),EXACT(A12,'Lista precios mod CCE especif.'!$AB$23),EXACT(A12,'Lista precios mod CCE especif.'!$AB$24),EXACT(A12,'Lista precios mod CCE especif.'!$AB$25),EXACT(A12,'Lista precios mod CCE especif.'!$AB$26),EXACT(A12,'Lista precios mod CCE especif.'!$AB$27)),"N/A",G12+F12),"")</f>
        <v/>
      </c>
      <c r="I12" s="75"/>
      <c r="J12" s="76" t="str">
        <f t="shared" si="0"/>
        <v/>
      </c>
      <c r="K12" s="57"/>
      <c r="L12" s="156" t="str">
        <f t="shared" si="1"/>
        <v>_7.</v>
      </c>
    </row>
    <row r="13" spans="1:12" s="26" customFormat="1" ht="27" customHeight="1" x14ac:dyDescent="0.25">
      <c r="A13" s="45" t="s">
        <v>69</v>
      </c>
      <c r="B13" s="42"/>
      <c r="C13" s="29" t="str">
        <f>IFERROR(INDEX('Lista precios mod CCE especif.'!$A$3:$O$278,MATCH('Opción C Selección modelo CCE'!$B13,'Lista precios mod CCE especif.'!$E$3:$E$278,0),MATCH('Opción C Selección modelo CCE'!C$2,'Lista precios mod CCE especif.'!$A$3:$O$3,0)),"")</f>
        <v/>
      </c>
      <c r="D13" s="32" t="str">
        <f>IFERROR(INDEX('Lista precios mod CCE especif.'!$A$3:$O$278,MATCH('Opción C Selección modelo CCE'!$B13,'Lista precios mod CCE especif.'!$E$3:$E$278,0),MATCH('Opción C Selección modelo CCE'!D$2,'Lista precios mod CCE especif.'!$A$3:$O$3,0)),"")</f>
        <v/>
      </c>
      <c r="E13" s="32" t="str">
        <f>IFERROR(INDEX('Lista precios mod CCE especif.'!$A$3:$O$278,MATCH('Opción C Selección modelo CCE'!$B13,'Lista precios mod CCE especif.'!$E$3:$E$269,0),MATCH('Opción C Selección modelo CCE'!E$2,'Lista precios mod CCE especif.'!$A$3:$O$3,0)),"")</f>
        <v/>
      </c>
      <c r="F13" s="126" t="str">
        <f>IFERROR(INDEX('Lista precios mod CCE especif.'!$A$3:$O$278,MATCH('Opción C Selección modelo CCE'!$B13,'Lista precios mod CCE especif.'!$E$3:$E$278,0),MATCH('Opción C Selección modelo CCE'!F$2,'Lista precios mod CCE especif.'!$A$3:$O$3,0)),"")</f>
        <v/>
      </c>
      <c r="G13" s="54"/>
      <c r="H13" s="115" t="str">
        <f>IFERROR(IF(OR(EXACT(A13,'Lista precios mod CCE especif.'!$AB$14),EXACT(A13,'Lista precios mod CCE especif.'!$AB$16),EXACT(A13,'Lista precios mod CCE especif.'!$AB$17),EXACT(A13,'Lista precios mod CCE especif.'!$AB$18),EXACT(A13,'Lista precios mod CCE especif.'!$AB$19),EXACT(A13,'Lista precios mod CCE especif.'!$AB$20),EXACT(A13,'Lista precios mod CCE especif.'!$AB$21),EXACT(A13,'Lista precios mod CCE especif.'!$AB$22),EXACT(A13,'Lista precios mod CCE especif.'!$AB$23),EXACT(A13,'Lista precios mod CCE especif.'!$AB$24),EXACT(A13,'Lista precios mod CCE especif.'!$AB$25),EXACT(A13,'Lista precios mod CCE especif.'!$AB$26),EXACT(A13,'Lista precios mod CCE especif.'!$AB$27)),"N/A",G13+F13),"")</f>
        <v/>
      </c>
      <c r="I13" s="75"/>
      <c r="J13" s="76" t="str">
        <f t="shared" si="0"/>
        <v/>
      </c>
      <c r="K13" s="57"/>
      <c r="L13" s="156" t="str">
        <f t="shared" si="1"/>
        <v>_8.</v>
      </c>
    </row>
    <row r="14" spans="1:12" s="26" customFormat="1" ht="27" customHeight="1" x14ac:dyDescent="0.25">
      <c r="A14" s="46" t="s">
        <v>69</v>
      </c>
      <c r="B14" s="42"/>
      <c r="C14" s="29" t="str">
        <f>IFERROR(INDEX('Lista precios mod CCE especif.'!$A$3:$O$278,MATCH('Opción C Selección modelo CCE'!$B14,'Lista precios mod CCE especif.'!$E$3:$E$278,0),MATCH('Opción C Selección modelo CCE'!C$2,'Lista precios mod CCE especif.'!$A$3:$O$3,0)),"")</f>
        <v/>
      </c>
      <c r="D14" s="32" t="str">
        <f>IFERROR(INDEX('Lista precios mod CCE especif.'!$A$3:$O$278,MATCH('Opción C Selección modelo CCE'!$B14,'Lista precios mod CCE especif.'!$E$3:$E$278,0),MATCH('Opción C Selección modelo CCE'!D$2,'Lista precios mod CCE especif.'!$A$3:$O$3,0)),"")</f>
        <v/>
      </c>
      <c r="E14" s="32" t="str">
        <f>IFERROR(INDEX('Lista precios mod CCE especif.'!$A$3:$O$278,MATCH('Opción C Selección modelo CCE'!$B14,'Lista precios mod CCE especif.'!$E$3:$E$269,0),MATCH('Opción C Selección modelo CCE'!E$2,'Lista precios mod CCE especif.'!$A$3:$O$3,0)),"")</f>
        <v/>
      </c>
      <c r="F14" s="126" t="str">
        <f>IFERROR(INDEX('Lista precios mod CCE especif.'!$A$3:$O$278,MATCH('Opción C Selección modelo CCE'!$B14,'Lista precios mod CCE especif.'!$E$3:$E$278,0),MATCH('Opción C Selección modelo CCE'!F$2,'Lista precios mod CCE especif.'!$A$3:$O$3,0)),"")</f>
        <v/>
      </c>
      <c r="G14" s="54"/>
      <c r="H14" s="115" t="str">
        <f>IFERROR(IF(OR(EXACT(A14,'Lista precios mod CCE especif.'!$AB$14),EXACT(A14,'Lista precios mod CCE especif.'!$AB$16),EXACT(A14,'Lista precios mod CCE especif.'!$AB$17),EXACT(A14,'Lista precios mod CCE especif.'!$AB$18),EXACT(A14,'Lista precios mod CCE especif.'!$AB$19),EXACT(A14,'Lista precios mod CCE especif.'!$AB$20),EXACT(A14,'Lista precios mod CCE especif.'!$AB$21),EXACT(A14,'Lista precios mod CCE especif.'!$AB$22),EXACT(A14,'Lista precios mod CCE especif.'!$AB$23),EXACT(A14,'Lista precios mod CCE especif.'!$AB$24),EXACT(A14,'Lista precios mod CCE especif.'!$AB$25),EXACT(A14,'Lista precios mod CCE especif.'!$AB$26),EXACT(A14,'Lista precios mod CCE especif.'!$AB$27)),"N/A",G14+F14),"")</f>
        <v/>
      </c>
      <c r="I14" s="75"/>
      <c r="J14" s="76" t="str">
        <f t="shared" si="0"/>
        <v/>
      </c>
      <c r="K14" s="57"/>
      <c r="L14" s="156" t="str">
        <f t="shared" si="1"/>
        <v>_8.</v>
      </c>
    </row>
    <row r="15" spans="1:12" s="26" customFormat="1" ht="27" customHeight="1" x14ac:dyDescent="0.25">
      <c r="A15" s="46" t="s">
        <v>70</v>
      </c>
      <c r="B15" s="42"/>
      <c r="C15" s="29" t="str">
        <f>IFERROR(INDEX('Lista precios mod CCE especif.'!$A$3:$O$278,MATCH('Opción C Selección modelo CCE'!$B15,'Lista precios mod CCE especif.'!$E$3:$E$278,0),MATCH('Opción C Selección modelo CCE'!C$2,'Lista precios mod CCE especif.'!$A$3:$O$3,0)),"")</f>
        <v/>
      </c>
      <c r="D15" s="32" t="str">
        <f>IFERROR(INDEX('Lista precios mod CCE especif.'!$A$3:$O$278,MATCH('Opción C Selección modelo CCE'!$B15,'Lista precios mod CCE especif.'!$E$3:$E$278,0),MATCH('Opción C Selección modelo CCE'!D$2,'Lista precios mod CCE especif.'!$A$3:$O$3,0)),"")</f>
        <v/>
      </c>
      <c r="E15" s="32" t="str">
        <f>IFERROR(INDEX('Lista precios mod CCE especif.'!$A$3:$O$278,MATCH('Opción C Selección modelo CCE'!$B15,'Lista precios mod CCE especif.'!$E$3:$E$269,0),MATCH('Opción C Selección modelo CCE'!E$2,'Lista precios mod CCE especif.'!$A$3:$O$3,0)),"")</f>
        <v/>
      </c>
      <c r="F15" s="126" t="str">
        <f>IFERROR(INDEX('Lista precios mod CCE especif.'!$A$3:$O$278,MATCH('Opción C Selección modelo CCE'!$B15,'Lista precios mod CCE especif.'!$E$3:$E$278,0),MATCH('Opción C Selección modelo CCE'!F$2,'Lista precios mod CCE especif.'!$A$3:$O$3,0)),"")</f>
        <v/>
      </c>
      <c r="G15" s="54"/>
      <c r="H15" s="115" t="str">
        <f>IFERROR(IF(OR(EXACT(A15,'Lista precios mod CCE especif.'!$AB$14),EXACT(A15,'Lista precios mod CCE especif.'!$AB$16),EXACT(A15,'Lista precios mod CCE especif.'!$AB$17),EXACT(A15,'Lista precios mod CCE especif.'!$AB$18),EXACT(A15,'Lista precios mod CCE especif.'!$AB$19),EXACT(A15,'Lista precios mod CCE especif.'!$AB$20),EXACT(A15,'Lista precios mod CCE especif.'!$AB$21),EXACT(A15,'Lista precios mod CCE especif.'!$AB$22),EXACT(A15,'Lista precios mod CCE especif.'!$AB$23),EXACT(A15,'Lista precios mod CCE especif.'!$AB$24),EXACT(A15,'Lista precios mod CCE especif.'!$AB$25),EXACT(A15,'Lista precios mod CCE especif.'!$AB$26),EXACT(A15,'Lista precios mod CCE especif.'!$AB$27)),"N/A",G15+F15),"")</f>
        <v/>
      </c>
      <c r="I15" s="75"/>
      <c r="J15" s="76" t="str">
        <f t="shared" si="0"/>
        <v/>
      </c>
      <c r="K15" s="57"/>
      <c r="L15" s="156" t="str">
        <f t="shared" si="1"/>
        <v>_9.</v>
      </c>
    </row>
    <row r="16" spans="1:12" s="26" customFormat="1" ht="27" customHeight="1" x14ac:dyDescent="0.25">
      <c r="A16" s="46" t="s">
        <v>70</v>
      </c>
      <c r="B16" s="42"/>
      <c r="C16" s="29" t="str">
        <f>IFERROR(INDEX('Lista precios mod CCE especif.'!$A$3:$O$278,MATCH('Opción C Selección modelo CCE'!$B16,'Lista precios mod CCE especif.'!$E$3:$E$278,0),MATCH('Opción C Selección modelo CCE'!C$2,'Lista precios mod CCE especif.'!$A$3:$O$3,0)),"")</f>
        <v/>
      </c>
      <c r="D16" s="32" t="str">
        <f>IFERROR(INDEX('Lista precios mod CCE especif.'!$A$3:$O$278,MATCH('Opción C Selección modelo CCE'!$B16,'Lista precios mod CCE especif.'!$E$3:$E$278,0),MATCH('Opción C Selección modelo CCE'!D$2,'Lista precios mod CCE especif.'!$A$3:$O$3,0)),"")</f>
        <v/>
      </c>
      <c r="E16" s="32" t="str">
        <f>IFERROR(INDEX('Lista precios mod CCE especif.'!$A$3:$O$278,MATCH('Opción C Selección modelo CCE'!$B16,'Lista precios mod CCE especif.'!$E$3:$E$269,0),MATCH('Opción C Selección modelo CCE'!E$2,'Lista precios mod CCE especif.'!$A$3:$O$3,0)),"")</f>
        <v/>
      </c>
      <c r="F16" s="126" t="str">
        <f>IFERROR(INDEX('Lista precios mod CCE especif.'!$A$3:$O$278,MATCH('Opción C Selección modelo CCE'!$B16,'Lista precios mod CCE especif.'!$E$3:$E$278,0),MATCH('Opción C Selección modelo CCE'!F$2,'Lista precios mod CCE especif.'!$A$3:$O$3,0)),"")</f>
        <v/>
      </c>
      <c r="G16" s="54"/>
      <c r="H16" s="115" t="str">
        <f>IFERROR(IF(OR(EXACT(A16,'Lista precios mod CCE especif.'!$AB$14),EXACT(A16,'Lista precios mod CCE especif.'!$AB$16),EXACT(A16,'Lista precios mod CCE especif.'!$AB$17),EXACT(A16,'Lista precios mod CCE especif.'!$AB$18),EXACT(A16,'Lista precios mod CCE especif.'!$AB$19),EXACT(A16,'Lista precios mod CCE especif.'!$AB$20),EXACT(A16,'Lista precios mod CCE especif.'!$AB$21),EXACT(A16,'Lista precios mod CCE especif.'!$AB$22),EXACT(A16,'Lista precios mod CCE especif.'!$AB$23),EXACT(A16,'Lista precios mod CCE especif.'!$AB$24),EXACT(A16,'Lista precios mod CCE especif.'!$AB$25),EXACT(A16,'Lista precios mod CCE especif.'!$AB$26),EXACT(A16,'Lista precios mod CCE especif.'!$AB$27)),"N/A",G16+F16),"")</f>
        <v/>
      </c>
      <c r="I16" s="75"/>
      <c r="J16" s="76" t="str">
        <f t="shared" si="0"/>
        <v/>
      </c>
      <c r="K16" s="57"/>
      <c r="L16" s="156" t="str">
        <f t="shared" si="1"/>
        <v>_9.</v>
      </c>
    </row>
    <row r="17" spans="1:12" s="26" customFormat="1" ht="27" customHeight="1" x14ac:dyDescent="0.25">
      <c r="A17" s="46" t="s">
        <v>70</v>
      </c>
      <c r="B17" s="42"/>
      <c r="C17" s="29" t="str">
        <f>IFERROR(INDEX('Lista precios mod CCE especif.'!$A$3:$O$278,MATCH('Opción C Selección modelo CCE'!$B17,'Lista precios mod CCE especif.'!$E$3:$E$278,0),MATCH('Opción C Selección modelo CCE'!C$2,'Lista precios mod CCE especif.'!$A$3:$O$3,0)),"")</f>
        <v/>
      </c>
      <c r="D17" s="32" t="str">
        <f>IFERROR(INDEX('Lista precios mod CCE especif.'!$A$3:$O$278,MATCH('Opción C Selección modelo CCE'!$B17,'Lista precios mod CCE especif.'!$E$3:$E$278,0),MATCH('Opción C Selección modelo CCE'!D$2,'Lista precios mod CCE especif.'!$A$3:$O$3,0)),"")</f>
        <v/>
      </c>
      <c r="E17" s="32" t="str">
        <f>IFERROR(INDEX('Lista precios mod CCE especif.'!$A$3:$O$278,MATCH('Opción C Selección modelo CCE'!$B17,'Lista precios mod CCE especif.'!$E$3:$E$269,0),MATCH('Opción C Selección modelo CCE'!E$2,'Lista precios mod CCE especif.'!$A$3:$O$3,0)),"")</f>
        <v/>
      </c>
      <c r="F17" s="126" t="str">
        <f>IFERROR(INDEX('Lista precios mod CCE especif.'!$A$3:$O$278,MATCH('Opción C Selección modelo CCE'!$B17,'Lista precios mod CCE especif.'!$E$3:$E$278,0),MATCH('Opción C Selección modelo CCE'!F$2,'Lista precios mod CCE especif.'!$A$3:$O$3,0)),"")</f>
        <v/>
      </c>
      <c r="G17" s="54"/>
      <c r="H17" s="115" t="str">
        <f>IFERROR(IF(OR(EXACT(A17,'Lista precios mod CCE especif.'!$AB$14),EXACT(A17,'Lista precios mod CCE especif.'!$AB$16),EXACT(A17,'Lista precios mod CCE especif.'!$AB$17),EXACT(A17,'Lista precios mod CCE especif.'!$AB$18),EXACT(A17,'Lista precios mod CCE especif.'!$AB$19),EXACT(A17,'Lista precios mod CCE especif.'!$AB$20),EXACT(A17,'Lista precios mod CCE especif.'!$AB$21),EXACT(A17,'Lista precios mod CCE especif.'!$AB$22),EXACT(A17,'Lista precios mod CCE especif.'!$AB$23),EXACT(A17,'Lista precios mod CCE especif.'!$AB$24),EXACT(A17,'Lista precios mod CCE especif.'!$AB$25),EXACT(A17,'Lista precios mod CCE especif.'!$AB$26),EXACT(A17,'Lista precios mod CCE especif.'!$AB$27)),"N/A",G17+F17),"")</f>
        <v/>
      </c>
      <c r="I17" s="75"/>
      <c r="J17" s="76" t="str">
        <f t="shared" si="0"/>
        <v/>
      </c>
      <c r="K17" s="57"/>
      <c r="L17" s="156" t="str">
        <f t="shared" si="1"/>
        <v>_9.</v>
      </c>
    </row>
    <row r="18" spans="1:12" s="26" customFormat="1" ht="27" customHeight="1" x14ac:dyDescent="0.25">
      <c r="A18" s="47" t="s">
        <v>71</v>
      </c>
      <c r="B18" s="42"/>
      <c r="C18" s="29" t="str">
        <f>IFERROR(INDEX('Lista precios mod CCE especif.'!$A$3:$O$278,MATCH('Opción C Selección modelo CCE'!$B18,'Lista precios mod CCE especif.'!$E$3:$E$278,0),MATCH('Opción C Selección modelo CCE'!C$2,'Lista precios mod CCE especif.'!$A$3:$O$3,0)),"")</f>
        <v/>
      </c>
      <c r="D18" s="32" t="str">
        <f>IFERROR(INDEX('Lista precios mod CCE especif.'!$A$3:$O$278,MATCH('Opción C Selección modelo CCE'!$B18,'Lista precios mod CCE especif.'!$E$3:$E$278,0),MATCH('Opción C Selección modelo CCE'!D$2,'Lista precios mod CCE especif.'!$A$3:$O$3,0)),"")</f>
        <v/>
      </c>
      <c r="E18" s="32" t="str">
        <f>IFERROR(INDEX('Lista precios mod CCE especif.'!$A$3:$O$278,MATCH('Opción C Selección modelo CCE'!$B18,'Lista precios mod CCE especif.'!$E$3:$E$269,0),MATCH('Opción C Selección modelo CCE'!E$2,'Lista precios mod CCE especif.'!$A$3:$O$3,0)),"")</f>
        <v/>
      </c>
      <c r="F18" s="126" t="str">
        <f>IFERROR(INDEX('Lista precios mod CCE especif.'!$A$3:$O$278,MATCH('Opción C Selección modelo CCE'!$B18,'Lista precios mod CCE especif.'!$E$3:$E$278,0),MATCH('Opción C Selección modelo CCE'!F$2,'Lista precios mod CCE especif.'!$A$3:$O$3,0)),"")</f>
        <v/>
      </c>
      <c r="G18" s="54"/>
      <c r="H18" s="115" t="str">
        <f>IFERROR(IF(OR(EXACT(A18,'Lista precios mod CCE especif.'!$AB$14),EXACT(A18,'Lista precios mod CCE especif.'!$AB$16),EXACT(A18,'Lista precios mod CCE especif.'!$AB$17),EXACT(A18,'Lista precios mod CCE especif.'!$AB$18),EXACT(A18,'Lista precios mod CCE especif.'!$AB$19),EXACT(A18,'Lista precios mod CCE especif.'!$AB$20),EXACT(A18,'Lista precios mod CCE especif.'!$AB$21),EXACT(A18,'Lista precios mod CCE especif.'!$AB$22),EXACT(A18,'Lista precios mod CCE especif.'!$AB$23),EXACT(A18,'Lista precios mod CCE especif.'!$AB$24),EXACT(A18,'Lista precios mod CCE especif.'!$AB$25),EXACT(A18,'Lista precios mod CCE especif.'!$AB$26),EXACT(A18,'Lista precios mod CCE especif.'!$AB$27)),"N/A",G18+F18),"")</f>
        <v/>
      </c>
      <c r="I18" s="75"/>
      <c r="J18" s="76" t="str">
        <f t="shared" si="0"/>
        <v/>
      </c>
      <c r="K18" s="57"/>
      <c r="L18" s="156" t="str">
        <f t="shared" si="1"/>
        <v>_10</v>
      </c>
    </row>
    <row r="19" spans="1:12" s="26" customFormat="1" ht="27" customHeight="1" x14ac:dyDescent="0.25">
      <c r="A19" s="47" t="s">
        <v>71</v>
      </c>
      <c r="B19" s="42"/>
      <c r="C19" s="29" t="str">
        <f>IFERROR(INDEX('Lista precios mod CCE especif.'!$A$3:$O$278,MATCH('Opción C Selección modelo CCE'!$B19,'Lista precios mod CCE especif.'!$E$3:$E$278,0),MATCH('Opción C Selección modelo CCE'!C$2,'Lista precios mod CCE especif.'!$A$3:$O$3,0)),"")</f>
        <v/>
      </c>
      <c r="D19" s="32" t="str">
        <f>IFERROR(INDEX('Lista precios mod CCE especif.'!$A$3:$O$278,MATCH('Opción C Selección modelo CCE'!$B19,'Lista precios mod CCE especif.'!$E$3:$E$278,0),MATCH('Opción C Selección modelo CCE'!D$2,'Lista precios mod CCE especif.'!$A$3:$O$3,0)),"")</f>
        <v/>
      </c>
      <c r="E19" s="32" t="str">
        <f>IFERROR(INDEX('Lista precios mod CCE especif.'!$A$3:$O$278,MATCH('Opción C Selección modelo CCE'!$B19,'Lista precios mod CCE especif.'!$E$3:$E$269,0),MATCH('Opción C Selección modelo CCE'!E$2,'Lista precios mod CCE especif.'!$A$3:$O$3,0)),"")</f>
        <v/>
      </c>
      <c r="F19" s="126" t="str">
        <f>IFERROR(INDEX('Lista precios mod CCE especif.'!$A$3:$O$278,MATCH('Opción C Selección modelo CCE'!$B19,'Lista precios mod CCE especif.'!$E$3:$E$278,0),MATCH('Opción C Selección modelo CCE'!F$2,'Lista precios mod CCE especif.'!$A$3:$O$3,0)),"")</f>
        <v/>
      </c>
      <c r="G19" s="54"/>
      <c r="H19" s="115" t="str">
        <f>IFERROR(IF(OR(EXACT(A19,'Lista precios mod CCE especif.'!$AB$14),EXACT(A19,'Lista precios mod CCE especif.'!$AB$16),EXACT(A19,'Lista precios mod CCE especif.'!$AB$17),EXACT(A19,'Lista precios mod CCE especif.'!$AB$18),EXACT(A19,'Lista precios mod CCE especif.'!$AB$19),EXACT(A19,'Lista precios mod CCE especif.'!$AB$20),EXACT(A19,'Lista precios mod CCE especif.'!$AB$21),EXACT(A19,'Lista precios mod CCE especif.'!$AB$22),EXACT(A19,'Lista precios mod CCE especif.'!$AB$23),EXACT(A19,'Lista precios mod CCE especif.'!$AB$24),EXACT(A19,'Lista precios mod CCE especif.'!$AB$25),EXACT(A19,'Lista precios mod CCE especif.'!$AB$26),EXACT(A19,'Lista precios mod CCE especif.'!$AB$27)),"N/A",G19+F19),"")</f>
        <v/>
      </c>
      <c r="I19" s="75"/>
      <c r="J19" s="76" t="str">
        <f t="shared" si="0"/>
        <v/>
      </c>
      <c r="K19" s="57"/>
      <c r="L19" s="156" t="str">
        <f t="shared" si="1"/>
        <v>_10</v>
      </c>
    </row>
    <row r="20" spans="1:12" s="26" customFormat="1" ht="27" customHeight="1" x14ac:dyDescent="0.25">
      <c r="A20" s="48" t="s">
        <v>428</v>
      </c>
      <c r="B20" s="42"/>
      <c r="C20" s="29" t="str">
        <f>IFERROR(INDEX('Lista precios mod CCE especif.'!$A$3:$O$278,MATCH('Opción C Selección modelo CCE'!$B20,'Lista precios mod CCE especif.'!$E$3:$E$278,0),MATCH('Opción C Selección modelo CCE'!C$2,'Lista precios mod CCE especif.'!$A$3:$O$3,0)),"")</f>
        <v/>
      </c>
      <c r="D20" s="32" t="str">
        <f>IFERROR(INDEX('Lista precios mod CCE especif.'!$A$3:$O$278,MATCH('Opción C Selección modelo CCE'!$B20,'Lista precios mod CCE especif.'!$E$3:$E$278,0),MATCH('Opción C Selección modelo CCE'!D$2,'Lista precios mod CCE especif.'!$A$3:$O$3,0)),"")</f>
        <v/>
      </c>
      <c r="E20" s="32" t="str">
        <f>IFERROR(INDEX('Lista precios mod CCE especif.'!$A$3:$O$278,MATCH('Opción C Selección modelo CCE'!$B20,'Lista precios mod CCE especif.'!$E$3:$E$269,0),MATCH('Opción C Selección modelo CCE'!E$2,'Lista precios mod CCE especif.'!$A$3:$O$3,0)),"")</f>
        <v/>
      </c>
      <c r="F20" s="126" t="str">
        <f>IFERROR(INDEX('Lista precios mod CCE especif.'!$A$3:$O$278,MATCH('Opción C Selección modelo CCE'!$B20,'Lista precios mod CCE especif.'!$E$3:$E$278,0),MATCH('Opción C Selección modelo CCE'!F$2,'Lista precios mod CCE especif.'!$A$3:$O$3,0)),"")</f>
        <v/>
      </c>
      <c r="G20" s="174"/>
      <c r="H20" s="115" t="str">
        <f>IFERROR(IF(OR(EXACT(A20,'Lista precios mod CCE especif.'!$AB$14),EXACT(A20,'Lista precios mod CCE especif.'!$AB$16),EXACT(A20,'Lista precios mod CCE especif.'!$AB$17),EXACT(A20,'Lista precios mod CCE especif.'!$AB$18),EXACT(A20,'Lista precios mod CCE especif.'!$AB$19),EXACT(A20,'Lista precios mod CCE especif.'!$AB$20),EXACT(A20,'Lista precios mod CCE especif.'!$AB$21),EXACT(A20,'Lista precios mod CCE especif.'!$AB$22),EXACT(A20,'Lista precios mod CCE especif.'!$AB$23),EXACT(A20,'Lista precios mod CCE especif.'!$AB$24),EXACT(A20,'Lista precios mod CCE especif.'!$AB$25),EXACT(A20,'Lista precios mod CCE especif.'!$AB$26),EXACT(A20,'Lista precios mod CCE especif.'!$AB$27)),"N/A",G20+F20),"")</f>
        <v>N/A</v>
      </c>
      <c r="I20" s="75"/>
      <c r="J20" s="76" t="str">
        <f t="shared" si="0"/>
        <v/>
      </c>
      <c r="K20" s="57"/>
      <c r="L20" s="156" t="str">
        <f t="shared" si="1"/>
        <v>_11</v>
      </c>
    </row>
    <row r="21" spans="1:12" s="26" customFormat="1" ht="27" customHeight="1" x14ac:dyDescent="0.25">
      <c r="A21" s="49" t="s">
        <v>429</v>
      </c>
      <c r="B21" s="42"/>
      <c r="C21" s="29" t="str">
        <f>IFERROR(INDEX('Lista precios mod CCE especif.'!$A$3:$O$278,MATCH('Opción C Selección modelo CCE'!$B21,'Lista precios mod CCE especif.'!$E$3:$E$278,0),MATCH('Opción C Selección modelo CCE'!C$2,'Lista precios mod CCE especif.'!$A$3:$O$3,0)),"")</f>
        <v/>
      </c>
      <c r="D21" s="32" t="str">
        <f>IFERROR(INDEX('Lista precios mod CCE especif.'!$A$3:$O$278,MATCH('Opción C Selección modelo CCE'!$B21,'Lista precios mod CCE especif.'!$E$3:$E$278,0),MATCH('Opción C Selección modelo CCE'!D$2,'Lista precios mod CCE especif.'!$A$3:$O$3,0)),"")</f>
        <v/>
      </c>
      <c r="E21" s="32" t="str">
        <f>IFERROR(INDEX('Lista precios mod CCE especif.'!$A$3:$O$278,MATCH('Opción C Selección modelo CCE'!$B21,'Lista precios mod CCE especif.'!$E$3:$E$269,0),MATCH('Opción C Selección modelo CCE'!E$2,'Lista precios mod CCE especif.'!$A$3:$O$3,0)),"")</f>
        <v/>
      </c>
      <c r="F21" s="126" t="str">
        <f>IFERROR(INDEX('Lista precios mod CCE especif.'!$A$3:$O$278,MATCH('Opción C Selección modelo CCE'!$B21,'Lista precios mod CCE especif.'!$E$3:$E$278,0),MATCH('Opción C Selección modelo CCE'!F$2,'Lista precios mod CCE especif.'!$A$3:$O$3,0)),"")</f>
        <v/>
      </c>
      <c r="G21" s="54"/>
      <c r="H21" s="115" t="str">
        <f>IFERROR(IF(OR(EXACT(A21,'Lista precios mod CCE especif.'!$AB$14),EXACT(A21,'Lista precios mod CCE especif.'!$AB$16),EXACT(A21,'Lista precios mod CCE especif.'!$AB$17),EXACT(A21,'Lista precios mod CCE especif.'!$AB$18),EXACT(A21,'Lista precios mod CCE especif.'!$AB$19),EXACT(A21,'Lista precios mod CCE especif.'!$AB$20),EXACT(A21,'Lista precios mod CCE especif.'!$AB$21),EXACT(A21,'Lista precios mod CCE especif.'!$AB$22),EXACT(A21,'Lista precios mod CCE especif.'!$AB$23),EXACT(A21,'Lista precios mod CCE especif.'!$AB$24),EXACT(A21,'Lista precios mod CCE especif.'!$AB$25),EXACT(A21,'Lista precios mod CCE especif.'!$AB$26),EXACT(A21,'Lista precios mod CCE especif.'!$AB$27)),"N/A",G21+F21),"")</f>
        <v/>
      </c>
      <c r="I21" s="75"/>
      <c r="J21" s="76" t="str">
        <f t="shared" si="0"/>
        <v/>
      </c>
      <c r="K21" s="57"/>
      <c r="L21" s="156" t="str">
        <f t="shared" si="1"/>
        <v>_12</v>
      </c>
    </row>
    <row r="22" spans="1:12" s="26" customFormat="1" ht="27" customHeight="1" x14ac:dyDescent="0.25">
      <c r="A22" s="49" t="s">
        <v>429</v>
      </c>
      <c r="B22" s="42"/>
      <c r="C22" s="29" t="str">
        <f>IFERROR(INDEX('Lista precios mod CCE especif.'!$A$3:$O$278,MATCH('Opción C Selección modelo CCE'!$B22,'Lista precios mod CCE especif.'!$E$3:$E$278,0),MATCH('Opción C Selección modelo CCE'!C$2,'Lista precios mod CCE especif.'!$A$3:$O$3,0)),"")</f>
        <v/>
      </c>
      <c r="D22" s="32" t="str">
        <f>IFERROR(INDEX('Lista precios mod CCE especif.'!$A$3:$O$278,MATCH('Opción C Selección modelo CCE'!$B22,'Lista precios mod CCE especif.'!$E$3:$E$278,0),MATCH('Opción C Selección modelo CCE'!D$2,'Lista precios mod CCE especif.'!$A$3:$O$3,0)),"")</f>
        <v/>
      </c>
      <c r="E22" s="32" t="str">
        <f>IFERROR(INDEX('Lista precios mod CCE especif.'!$A$3:$O$278,MATCH('Opción C Selección modelo CCE'!$B22,'Lista precios mod CCE especif.'!$E$3:$E$269,0),MATCH('Opción C Selección modelo CCE'!E$2,'Lista precios mod CCE especif.'!$A$3:$O$3,0)),"")</f>
        <v/>
      </c>
      <c r="F22" s="126" t="str">
        <f>IFERROR(INDEX('Lista precios mod CCE especif.'!$A$3:$O$278,MATCH('Opción C Selección modelo CCE'!$B22,'Lista precios mod CCE especif.'!$E$3:$E$278,0),MATCH('Opción C Selección modelo CCE'!F$2,'Lista precios mod CCE especif.'!$A$3:$O$3,0)),"")</f>
        <v/>
      </c>
      <c r="G22" s="54"/>
      <c r="H22" s="115" t="str">
        <f>IFERROR(IF(OR(EXACT(A22,'Lista precios mod CCE especif.'!$AB$14),EXACT(A22,'Lista precios mod CCE especif.'!$AB$16),EXACT(A22,'Lista precios mod CCE especif.'!$AB$17),EXACT(A22,'Lista precios mod CCE especif.'!$AB$18),EXACT(A22,'Lista precios mod CCE especif.'!$AB$19),EXACT(A22,'Lista precios mod CCE especif.'!$AB$20),EXACT(A22,'Lista precios mod CCE especif.'!$AB$21),EXACT(A22,'Lista precios mod CCE especif.'!$AB$22),EXACT(A22,'Lista precios mod CCE especif.'!$AB$23),EXACT(A22,'Lista precios mod CCE especif.'!$AB$24),EXACT(A22,'Lista precios mod CCE especif.'!$AB$25),EXACT(A22,'Lista precios mod CCE especif.'!$AB$26),EXACT(A22,'Lista precios mod CCE especif.'!$AB$27)),"N/A",G22+F22),"")</f>
        <v/>
      </c>
      <c r="I22" s="75"/>
      <c r="J22" s="76" t="str">
        <f t="shared" si="0"/>
        <v/>
      </c>
      <c r="K22" s="57"/>
      <c r="L22" s="156" t="str">
        <f t="shared" si="1"/>
        <v>_12</v>
      </c>
    </row>
    <row r="23" spans="1:12" s="26" customFormat="1" ht="27" customHeight="1" x14ac:dyDescent="0.25">
      <c r="A23" s="49" t="s">
        <v>72</v>
      </c>
      <c r="B23" s="42"/>
      <c r="C23" s="29" t="str">
        <f>IFERROR(INDEX('Lista precios mod CCE especif.'!$A$3:$O$278,MATCH('Opción C Selección modelo CCE'!$B23,'Lista precios mod CCE especif.'!$E$3:$E$278,0),MATCH('Opción C Selección modelo CCE'!C$2,'Lista precios mod CCE especif.'!$A$3:$O$3,0)),"")</f>
        <v/>
      </c>
      <c r="D23" s="32" t="str">
        <f>IFERROR(INDEX('Lista precios mod CCE especif.'!$A$3:$O$278,MATCH('Opción C Selección modelo CCE'!$B23,'Lista precios mod CCE especif.'!$E$3:$E$278,0),MATCH('Opción C Selección modelo CCE'!D$2,'Lista precios mod CCE especif.'!$A$3:$O$3,0)),"")</f>
        <v/>
      </c>
      <c r="E23" s="32" t="str">
        <f>IFERROR(INDEX('Lista precios mod CCE especif.'!$A$3:$O$278,MATCH('Opción C Selección modelo CCE'!$B23,'Lista precios mod CCE especif.'!$E$3:$E$269,0),MATCH('Opción C Selección modelo CCE'!E$2,'Lista precios mod CCE especif.'!$A$3:$O$3,0)),"")</f>
        <v/>
      </c>
      <c r="F23" s="126" t="str">
        <f>IFERROR(INDEX('Lista precios mod CCE especif.'!$A$3:$O$278,MATCH('Opción C Selección modelo CCE'!$B23,'Lista precios mod CCE especif.'!$E$3:$E$278,0),MATCH('Opción C Selección modelo CCE'!F$2,'Lista precios mod CCE especif.'!$A$3:$O$3,0)),"")</f>
        <v/>
      </c>
      <c r="G23" s="174"/>
      <c r="H23" s="115" t="str">
        <f>IFERROR(IF(OR(EXACT(A23,'Lista precios mod CCE especif.'!$AB$14),EXACT(A23,'Lista precios mod CCE especif.'!$AB$16),EXACT(A23,'Lista precios mod CCE especif.'!$AB$17),EXACT(A23,'Lista precios mod CCE especif.'!$AB$18),EXACT(A23,'Lista precios mod CCE especif.'!$AB$19),EXACT(A23,'Lista precios mod CCE especif.'!$AB$20),EXACT(A23,'Lista precios mod CCE especif.'!$AB$21),EXACT(A23,'Lista precios mod CCE especif.'!$AB$22),EXACT(A23,'Lista precios mod CCE especif.'!$AB$23),EXACT(A23,'Lista precios mod CCE especif.'!$AB$24),EXACT(A23,'Lista precios mod CCE especif.'!$AB$25),EXACT(A23,'Lista precios mod CCE especif.'!$AB$26),EXACT(A23,'Lista precios mod CCE especif.'!$AB$27)),"N/A",G23+F23),"")</f>
        <v>N/A</v>
      </c>
      <c r="I23" s="75"/>
      <c r="J23" s="76" t="str">
        <f t="shared" si="0"/>
        <v/>
      </c>
      <c r="K23" s="57"/>
      <c r="L23" s="156" t="str">
        <f t="shared" si="1"/>
        <v>_13</v>
      </c>
    </row>
    <row r="24" spans="1:12" s="26" customFormat="1" ht="27" customHeight="1" x14ac:dyDescent="0.25">
      <c r="A24" s="49" t="s">
        <v>73</v>
      </c>
      <c r="B24" s="42"/>
      <c r="C24" s="29" t="str">
        <f>IFERROR(INDEX('Lista precios mod CCE especif.'!$A$3:$O$278,MATCH('Opción C Selección modelo CCE'!$B24,'Lista precios mod CCE especif.'!$E$3:$E$278,0),MATCH('Opción C Selección modelo CCE'!C$2,'Lista precios mod CCE especif.'!$A$3:$O$3,0)),"")</f>
        <v/>
      </c>
      <c r="D24" s="32" t="str">
        <f>IFERROR(INDEX('Lista precios mod CCE especif.'!$A$3:$O$278,MATCH('Opción C Selección modelo CCE'!$B24,'Lista precios mod CCE especif.'!$E$3:$E$278,0),MATCH('Opción C Selección modelo CCE'!D$2,'Lista precios mod CCE especif.'!$A$3:$O$3,0)),"")</f>
        <v/>
      </c>
      <c r="E24" s="32" t="str">
        <f>IFERROR(INDEX('Lista precios mod CCE especif.'!$A$3:$O$278,MATCH('Opción C Selección modelo CCE'!$B24,'Lista precios mod CCE especif.'!$E$3:$E$269,0),MATCH('Opción C Selección modelo CCE'!E$2,'Lista precios mod CCE especif.'!$A$3:$O$3,0)),"")</f>
        <v/>
      </c>
      <c r="F24" s="126" t="str">
        <f>IFERROR(INDEX('Lista precios mod CCE especif.'!$A$3:$O$278,MATCH('Opción C Selección modelo CCE'!$B24,'Lista precios mod CCE especif.'!$E$3:$E$278,0),MATCH('Opción C Selección modelo CCE'!F$2,'Lista precios mod CCE especif.'!$A$3:$O$3,0)),"")</f>
        <v/>
      </c>
      <c r="G24" s="174"/>
      <c r="H24" s="115" t="str">
        <f>IFERROR(IF(OR(EXACT(A24,'Lista precios mod CCE especif.'!$AB$14),EXACT(A24,'Lista precios mod CCE especif.'!$AB$16),EXACT(A24,'Lista precios mod CCE especif.'!$AB$17),EXACT(A24,'Lista precios mod CCE especif.'!$AB$18),EXACT(A24,'Lista precios mod CCE especif.'!$AB$19),EXACT(A24,'Lista precios mod CCE especif.'!$AB$20),EXACT(A24,'Lista precios mod CCE especif.'!$AB$21),EXACT(A24,'Lista precios mod CCE especif.'!$AB$22),EXACT(A24,'Lista precios mod CCE especif.'!$AB$23),EXACT(A24,'Lista precios mod CCE especif.'!$AB$24),EXACT(A24,'Lista precios mod CCE especif.'!$AB$25),EXACT(A24,'Lista precios mod CCE especif.'!$AB$26),EXACT(A24,'Lista precios mod CCE especif.'!$AB$27)),"N/A",G24+F24),"")</f>
        <v>N/A</v>
      </c>
      <c r="I24" s="75"/>
      <c r="J24" s="76" t="str">
        <f t="shared" si="0"/>
        <v/>
      </c>
      <c r="K24" s="57"/>
      <c r="L24" s="156" t="str">
        <f t="shared" si="1"/>
        <v>_14</v>
      </c>
    </row>
    <row r="25" spans="1:12" s="26" customFormat="1" ht="27" customHeight="1" x14ac:dyDescent="0.25">
      <c r="A25" s="50" t="s">
        <v>74</v>
      </c>
      <c r="B25" s="42"/>
      <c r="C25" s="29" t="str">
        <f>IFERROR(INDEX('Lista precios mod CCE especif.'!$A$3:$O$278,MATCH('Opción C Selección modelo CCE'!$B25,'Lista precios mod CCE especif.'!$E$3:$E$278,0),MATCH('Opción C Selección modelo CCE'!C$2,'Lista precios mod CCE especif.'!$A$3:$O$3,0)),"")</f>
        <v/>
      </c>
      <c r="D25" s="32" t="str">
        <f>IFERROR(INDEX('Lista precios mod CCE especif.'!$A$3:$O$278,MATCH('Opción C Selección modelo CCE'!$B25,'Lista precios mod CCE especif.'!$E$3:$E$278,0),MATCH('Opción C Selección modelo CCE'!D$2,'Lista precios mod CCE especif.'!$A$3:$O$3,0)),"")</f>
        <v/>
      </c>
      <c r="E25" s="32" t="str">
        <f>IFERROR(INDEX('Lista precios mod CCE especif.'!$A$3:$O$278,MATCH('Opción C Selección modelo CCE'!$B25,'Lista precios mod CCE especif.'!$E$3:$E$269,0),MATCH('Opción C Selección modelo CCE'!E$2,'Lista precios mod CCE especif.'!$A$3:$O$3,0)),"")</f>
        <v/>
      </c>
      <c r="F25" s="126" t="str">
        <f>IFERROR(INDEX('Lista precios mod CCE especif.'!$A$3:$O$278,MATCH('Opción C Selección modelo CCE'!$B25,'Lista precios mod CCE especif.'!$E$3:$E$278,0),MATCH('Opción C Selección modelo CCE'!F$2,'Lista precios mod CCE especif.'!$A$3:$O$3,0)),"")</f>
        <v/>
      </c>
      <c r="G25" s="174"/>
      <c r="H25" s="115" t="str">
        <f>IFERROR(IF(OR(EXACT(A25,'Lista precios mod CCE especif.'!$AB$14),EXACT(A25,'Lista precios mod CCE especif.'!$AB$16),EXACT(A25,'Lista precios mod CCE especif.'!$AB$17),EXACT(A25,'Lista precios mod CCE especif.'!$AB$18),EXACT(A25,'Lista precios mod CCE especif.'!$AB$19),EXACT(A25,'Lista precios mod CCE especif.'!$AB$20),EXACT(A25,'Lista precios mod CCE especif.'!$AB$21),EXACT(A25,'Lista precios mod CCE especif.'!$AB$22),EXACT(A25,'Lista precios mod CCE especif.'!$AB$23),EXACT(A25,'Lista precios mod CCE especif.'!$AB$24),EXACT(A25,'Lista precios mod CCE especif.'!$AB$25),EXACT(A25,'Lista precios mod CCE especif.'!$AB$26),EXACT(A25,'Lista precios mod CCE especif.'!$AB$27)),"N/A",G25+F25),"")</f>
        <v>N/A</v>
      </c>
      <c r="I25" s="75"/>
      <c r="J25" s="76" t="str">
        <f t="shared" si="0"/>
        <v/>
      </c>
      <c r="K25" s="57"/>
      <c r="L25" s="156" t="str">
        <f t="shared" si="1"/>
        <v>_15</v>
      </c>
    </row>
    <row r="26" spans="1:12" s="26" customFormat="1" ht="27" customHeight="1" x14ac:dyDescent="0.25">
      <c r="A26" s="50" t="s">
        <v>75</v>
      </c>
      <c r="B26" s="42"/>
      <c r="C26" s="29" t="str">
        <f>IFERROR(INDEX('Lista precios mod CCE especif.'!$A$3:$O$278,MATCH('Opción C Selección modelo CCE'!$B26,'Lista precios mod CCE especif.'!$E$3:$E$278,0),MATCH('Opción C Selección modelo CCE'!C$2,'Lista precios mod CCE especif.'!$A$3:$O$3,0)),"")</f>
        <v/>
      </c>
      <c r="D26" s="32" t="str">
        <f>IFERROR(INDEX('Lista precios mod CCE especif.'!$A$3:$O$278,MATCH('Opción C Selección modelo CCE'!$B26,'Lista precios mod CCE especif.'!$E$3:$E$278,0),MATCH('Opción C Selección modelo CCE'!D$2,'Lista precios mod CCE especif.'!$A$3:$O$3,0)),"")</f>
        <v/>
      </c>
      <c r="E26" s="32" t="str">
        <f>IFERROR(INDEX('Lista precios mod CCE especif.'!$A$3:$O$278,MATCH('Opción C Selección modelo CCE'!$B26,'Lista precios mod CCE especif.'!$E$3:$E$269,0),MATCH('Opción C Selección modelo CCE'!E$2,'Lista precios mod CCE especif.'!$A$3:$O$3,0)),"")</f>
        <v/>
      </c>
      <c r="F26" s="126" t="str">
        <f>IFERROR(INDEX('Lista precios mod CCE especif.'!$A$3:$O$278,MATCH('Opción C Selección modelo CCE'!$B26,'Lista precios mod CCE especif.'!$E$3:$E$278,0),MATCH('Opción C Selección modelo CCE'!F$2,'Lista precios mod CCE especif.'!$A$3:$O$3,0)),"")</f>
        <v/>
      </c>
      <c r="G26" s="174"/>
      <c r="H26" s="115" t="str">
        <f>IFERROR(IF(OR(EXACT(A26,'Lista precios mod CCE especif.'!$AB$14),EXACT(A26,'Lista precios mod CCE especif.'!$AB$16),EXACT(A26,'Lista precios mod CCE especif.'!$AB$17),EXACT(A26,'Lista precios mod CCE especif.'!$AB$18),EXACT(A26,'Lista precios mod CCE especif.'!$AB$19),EXACT(A26,'Lista precios mod CCE especif.'!$AB$20),EXACT(A26,'Lista precios mod CCE especif.'!$AB$21),EXACT(A26,'Lista precios mod CCE especif.'!$AB$22),EXACT(A26,'Lista precios mod CCE especif.'!$AB$23),EXACT(A26,'Lista precios mod CCE especif.'!$AB$24),EXACT(A26,'Lista precios mod CCE especif.'!$AB$25),EXACT(A26,'Lista precios mod CCE especif.'!$AB$26),EXACT(A26,'Lista precios mod CCE especif.'!$AB$27)),"N/A",G26+F26),"")</f>
        <v>N/A</v>
      </c>
      <c r="I26" s="75"/>
      <c r="J26" s="76" t="str">
        <f t="shared" si="0"/>
        <v/>
      </c>
      <c r="K26" s="57"/>
      <c r="L26" s="156" t="str">
        <f t="shared" si="1"/>
        <v>_16</v>
      </c>
    </row>
    <row r="27" spans="1:12" s="26" customFormat="1" ht="27" customHeight="1" x14ac:dyDescent="0.25">
      <c r="A27" s="51" t="s">
        <v>76</v>
      </c>
      <c r="B27" s="42"/>
      <c r="C27" s="29" t="str">
        <f>IFERROR(INDEX('Lista precios mod CCE especif.'!$A$3:$O$278,MATCH('Opción C Selección modelo CCE'!$B27,'Lista precios mod CCE especif.'!$E$3:$E$278,0),MATCH('Opción C Selección modelo CCE'!C$2,'Lista precios mod CCE especif.'!$A$3:$O$3,0)),"")</f>
        <v/>
      </c>
      <c r="D27" s="32" t="str">
        <f>IFERROR(INDEX('Lista precios mod CCE especif.'!$A$3:$O$278,MATCH('Opción C Selección modelo CCE'!$B27,'Lista precios mod CCE especif.'!$E$3:$E$278,0),MATCH('Opción C Selección modelo CCE'!D$2,'Lista precios mod CCE especif.'!$A$3:$O$3,0)),"")</f>
        <v/>
      </c>
      <c r="E27" s="32" t="str">
        <f>IFERROR(INDEX('Lista precios mod CCE especif.'!$A$3:$O$278,MATCH('Opción C Selección modelo CCE'!$B27,'Lista precios mod CCE especif.'!$E$3:$E$269,0),MATCH('Opción C Selección modelo CCE'!E$2,'Lista precios mod CCE especif.'!$A$3:$O$3,0)),"")</f>
        <v/>
      </c>
      <c r="F27" s="126" t="str">
        <f>IFERROR(INDEX('Lista precios mod CCE especif.'!$A$3:$O$278,MATCH('Opción C Selección modelo CCE'!$B27,'Lista precios mod CCE especif.'!$E$3:$E$278,0),MATCH('Opción C Selección modelo CCE'!F$2,'Lista precios mod CCE especif.'!$A$3:$O$3,0)),"")</f>
        <v/>
      </c>
      <c r="G27" s="174"/>
      <c r="H27" s="115" t="str">
        <f>IFERROR(IF(OR(EXACT(A27,'Lista precios mod CCE especif.'!$AB$14),EXACT(A27,'Lista precios mod CCE especif.'!$AB$16),EXACT(A27,'Lista precios mod CCE especif.'!$AB$17),EXACT(A27,'Lista precios mod CCE especif.'!$AB$18),EXACT(A27,'Lista precios mod CCE especif.'!$AB$19),EXACT(A27,'Lista precios mod CCE especif.'!$AB$20),EXACT(A27,'Lista precios mod CCE especif.'!$AB$21),EXACT(A27,'Lista precios mod CCE especif.'!$AB$22),EXACT(A27,'Lista precios mod CCE especif.'!$AB$23),EXACT(A27,'Lista precios mod CCE especif.'!$AB$24),EXACT(A27,'Lista precios mod CCE especif.'!$AB$25),EXACT(A27,'Lista precios mod CCE especif.'!$AB$26),EXACT(A27,'Lista precios mod CCE especif.'!$AB$27)),"N/A",G27+F27),"")</f>
        <v>N/A</v>
      </c>
      <c r="I27" s="75"/>
      <c r="J27" s="76" t="str">
        <f t="shared" si="0"/>
        <v/>
      </c>
      <c r="K27" s="57"/>
      <c r="L27" s="156" t="str">
        <f t="shared" si="1"/>
        <v>_17</v>
      </c>
    </row>
    <row r="28" spans="1:12" s="26" customFormat="1" ht="27" customHeight="1" x14ac:dyDescent="0.25">
      <c r="A28" s="52" t="s">
        <v>77</v>
      </c>
      <c r="B28" s="42"/>
      <c r="C28" s="29" t="str">
        <f>IFERROR(INDEX('Lista precios mod CCE especif.'!$A$3:$O$278,MATCH('Opción C Selección modelo CCE'!$B28,'Lista precios mod CCE especif.'!$E$3:$E$278,0),MATCH('Opción C Selección modelo CCE'!C$2,'Lista precios mod CCE especif.'!$A$3:$O$3,0)),"")</f>
        <v/>
      </c>
      <c r="D28" s="32" t="str">
        <f>IFERROR(INDEX('Lista precios mod CCE especif.'!$A$3:$O$278,MATCH('Opción C Selección modelo CCE'!$B28,'Lista precios mod CCE especif.'!$E$3:$E$278,0),MATCH('Opción C Selección modelo CCE'!D$2,'Lista precios mod CCE especif.'!$A$3:$O$3,0)),"")</f>
        <v/>
      </c>
      <c r="E28" s="32" t="str">
        <f>IFERROR(INDEX('Lista precios mod CCE especif.'!$A$3:$O$278,MATCH('Opción C Selección modelo CCE'!$B28,'Lista precios mod CCE especif.'!$E$3:$E$269,0),MATCH('Opción C Selección modelo CCE'!E$2,'Lista precios mod CCE especif.'!$A$3:$O$3,0)),"")</f>
        <v/>
      </c>
      <c r="F28" s="207" t="str">
        <f>IFERROR(INDEX('Lista precios mod CCE especif.'!$A$3:$O$278,MATCH('Opción C Selección modelo CCE'!$B28,'Lista precios mod CCE especif.'!$E$3:$E$278,0),MATCH('Opción C Selección modelo CCE'!F$2,'Lista precios mod CCE especif.'!$A$3:$O$3,0)),"")</f>
        <v/>
      </c>
      <c r="G28" s="174"/>
      <c r="H28" s="115" t="str">
        <f>IFERROR(IF(OR(EXACT(A28,'Lista precios mod CCE especif.'!$AB$14),EXACT(A28,'Lista precios mod CCE especif.'!$AB$16),EXACT(A28,'Lista precios mod CCE especif.'!$AB$17),EXACT(A28,'Lista precios mod CCE especif.'!$AB$18),EXACT(A28,'Lista precios mod CCE especif.'!$AB$19),EXACT(A28,'Lista precios mod CCE especif.'!$AB$20),EXACT(A28,'Lista precios mod CCE especif.'!$AB$21),EXACT(A28,'Lista precios mod CCE especif.'!$AB$22),EXACT(A28,'Lista precios mod CCE especif.'!$AB$23),EXACT(A28,'Lista precios mod CCE especif.'!$AB$24),EXACT(A28,'Lista precios mod CCE especif.'!$AB$25),EXACT(A28,'Lista precios mod CCE especif.'!$AB$26),EXACT(A28,'Lista precios mod CCE especif.'!$AB$27)),"N/A",G28+F28),"")</f>
        <v>N/A</v>
      </c>
      <c r="I28" s="75"/>
      <c r="J28" s="76" t="str">
        <f t="shared" si="0"/>
        <v/>
      </c>
      <c r="K28" s="57"/>
      <c r="L28" s="156" t="str">
        <f t="shared" si="1"/>
        <v>_18</v>
      </c>
    </row>
    <row r="29" spans="1:12" s="26" customFormat="1" ht="27" customHeight="1" x14ac:dyDescent="0.25">
      <c r="A29" s="53" t="s">
        <v>78</v>
      </c>
      <c r="B29" s="42"/>
      <c r="C29" s="29" t="str">
        <f>IFERROR(INDEX('Lista precios mod CCE especif.'!$A$3:$O$278,MATCH('Opción C Selección modelo CCE'!$B29,'Lista precios mod CCE especif.'!$E$3:$E$278,0),MATCH('Opción C Selección modelo CCE'!C$2,'Lista precios mod CCE especif.'!$A$3:$O$3,0)),"")</f>
        <v/>
      </c>
      <c r="D29" s="32" t="str">
        <f>IFERROR(INDEX('Lista precios mod CCE especif.'!$A$3:$O$278,MATCH('Opción C Selección modelo CCE'!$B29,'Lista precios mod CCE especif.'!$E$3:$E$278,0),MATCH('Opción C Selección modelo CCE'!D$2,'Lista precios mod CCE especif.'!$A$3:$O$3,0)),"")</f>
        <v/>
      </c>
      <c r="E29" s="32" t="str">
        <f>IFERROR(INDEX('Lista precios mod CCE especif.'!$A$3:$O$278,MATCH('Opción C Selección modelo CCE'!$B29,'Lista precios mod CCE especif.'!$E$3:$E$269,0),MATCH('Opción C Selección modelo CCE'!E$2,'Lista precios mod CCE especif.'!$A$3:$O$3,0)),"")</f>
        <v/>
      </c>
      <c r="F29" s="207" t="str">
        <f>IFERROR(INDEX('Lista precios mod CCE especif.'!$A$3:$O$278,MATCH('Opción C Selección modelo CCE'!$B29,'Lista precios mod CCE especif.'!$E$3:$E$278,0),MATCH('Opción C Selección modelo CCE'!F$2,'Lista precios mod CCE especif.'!$A$3:$O$3,0)),"")</f>
        <v/>
      </c>
      <c r="G29" s="174"/>
      <c r="H29" s="115" t="str">
        <f>IFERROR(IF(OR(EXACT(A29,'Lista precios mod CCE especif.'!$AB$14),EXACT(A29,'Lista precios mod CCE especif.'!$AB$16),EXACT(A29,'Lista precios mod CCE especif.'!$AB$17),EXACT(A29,'Lista precios mod CCE especif.'!$AB$18),EXACT(A29,'Lista precios mod CCE especif.'!$AB$19),EXACT(A29,'Lista precios mod CCE especif.'!$AB$20),EXACT(A29,'Lista precios mod CCE especif.'!$AB$21),EXACT(A29,'Lista precios mod CCE especif.'!$AB$22),EXACT(A29,'Lista precios mod CCE especif.'!$AB$23),EXACT(A29,'Lista precios mod CCE especif.'!$AB$24),EXACT(A29,'Lista precios mod CCE especif.'!$AB$25),EXACT(A29,'Lista precios mod CCE especif.'!$AB$26),EXACT(A29,'Lista precios mod CCE especif.'!$AB$27)),"N/A",G29+F29),"")</f>
        <v>N/A</v>
      </c>
      <c r="I29" s="75"/>
      <c r="J29" s="76" t="str">
        <f t="shared" si="0"/>
        <v/>
      </c>
      <c r="K29" s="57"/>
      <c r="L29" s="156" t="str">
        <f t="shared" si="1"/>
        <v>_19</v>
      </c>
    </row>
    <row r="30" spans="1:12" s="26" customFormat="1" ht="27" customHeight="1" x14ac:dyDescent="0.25">
      <c r="A30" s="53" t="s">
        <v>79</v>
      </c>
      <c r="B30" s="42"/>
      <c r="C30" s="29" t="str">
        <f>IFERROR(INDEX('Lista precios mod CCE especif.'!$A$3:$O$278,MATCH('Opción C Selección modelo CCE'!$B30,'Lista precios mod CCE especif.'!$E$3:$E$278,0),MATCH('Opción C Selección modelo CCE'!C$2,'Lista precios mod CCE especif.'!$A$3:$O$3,0)),"")</f>
        <v/>
      </c>
      <c r="D30" s="32" t="str">
        <f>IFERROR(INDEX('Lista precios mod CCE especif.'!$A$3:$O$278,MATCH('Opción C Selección modelo CCE'!$B30,'Lista precios mod CCE especif.'!$E$3:$E$278,0),MATCH('Opción C Selección modelo CCE'!D$2,'Lista precios mod CCE especif.'!$A$3:$O$3,0)),"")</f>
        <v/>
      </c>
      <c r="E30" s="32" t="str">
        <f>IFERROR(INDEX('Lista precios mod CCE especif.'!$A$3:$O$278,MATCH('Opción C Selección modelo CCE'!$B30,'Lista precios mod CCE especif.'!$E$3:$E$269,0),MATCH('Opción C Selección modelo CCE'!E$2,'Lista precios mod CCE especif.'!$A$3:$O$3,0)),"")</f>
        <v/>
      </c>
      <c r="F30" s="207" t="str">
        <f>IFERROR(INDEX('Lista precios mod CCE especif.'!$A$3:$O$278,MATCH('Opción C Selección modelo CCE'!$B30,'Lista precios mod CCE especif.'!$E$3:$E$278,0),MATCH('Opción C Selección modelo CCE'!F$2,'Lista precios mod CCE especif.'!$A$3:$O$3,0)),"")</f>
        <v/>
      </c>
      <c r="G30" s="174"/>
      <c r="H30" s="115" t="str">
        <f>IFERROR(IF(OR(EXACT(A30,'Lista precios mod CCE especif.'!$AB$14),EXACT(A30,'Lista precios mod CCE especif.'!$AB$16),EXACT(A30,'Lista precios mod CCE especif.'!$AB$17),EXACT(A30,'Lista precios mod CCE especif.'!$AB$18),EXACT(A30,'Lista precios mod CCE especif.'!$AB$19),EXACT(A30,'Lista precios mod CCE especif.'!$AB$20),EXACT(A30,'Lista precios mod CCE especif.'!$AB$21),EXACT(A30,'Lista precios mod CCE especif.'!$AB$22),EXACT(A30,'Lista precios mod CCE especif.'!$AB$23),EXACT(A30,'Lista precios mod CCE especif.'!$AB$24),EXACT(A30,'Lista precios mod CCE especif.'!$AB$25),EXACT(A30,'Lista precios mod CCE especif.'!$AB$26),EXACT(A30,'Lista precios mod CCE especif.'!$AB$27)),"N/A",G30+F30),"")</f>
        <v>N/A</v>
      </c>
      <c r="I30" s="75"/>
      <c r="J30" s="76" t="str">
        <f t="shared" si="0"/>
        <v/>
      </c>
      <c r="K30" s="57"/>
      <c r="L30" s="156" t="str">
        <f t="shared" si="1"/>
        <v>_20</v>
      </c>
    </row>
    <row r="31" spans="1:12" s="26" customFormat="1" ht="27" customHeight="1" x14ac:dyDescent="0.25">
      <c r="A31" s="118" t="s">
        <v>80</v>
      </c>
      <c r="B31" s="42"/>
      <c r="C31" s="29" t="str">
        <f>IFERROR(INDEX('Lista precios mod CCE especif.'!$A$3:$O$278,MATCH('Opción C Selección modelo CCE'!$B31,'Lista precios mod CCE especif.'!$E$3:$E$278,0),MATCH('Opción C Selección modelo CCE'!C$2,'Lista precios mod CCE especif.'!$A$3:$O$3,0)),"")</f>
        <v/>
      </c>
      <c r="D31" s="32" t="str">
        <f>IFERROR(INDEX('Lista precios mod CCE especif.'!$A$3:$O$278,MATCH('Opción C Selección modelo CCE'!$B31,'Lista precios mod CCE especif.'!$E$3:$E$278,0),MATCH('Opción C Selección modelo CCE'!D$2,'Lista precios mod CCE especif.'!$A$3:$O$3,0)),"")</f>
        <v/>
      </c>
      <c r="E31" s="32" t="str">
        <f>IFERROR(INDEX('Lista precios mod CCE especif.'!$A$3:$O$278,MATCH('Opción C Selección modelo CCE'!$B31,'Lista precios mod CCE especif.'!$E$3:$E$269,0),MATCH('Opción C Selección modelo CCE'!E$2,'Lista precios mod CCE especif.'!$A$3:$O$3,0)),"")</f>
        <v/>
      </c>
      <c r="F31" s="207" t="str">
        <f>IFERROR(INDEX('Lista precios mod CCE especif.'!$A$3:$O$278,MATCH('Opción C Selección modelo CCE'!$B31,'Lista precios mod CCE especif.'!$E$3:$E$278,0),MATCH('Opción C Selección modelo CCE'!F$2,'Lista precios mod CCE especif.'!$A$3:$O$3,0)),"")</f>
        <v/>
      </c>
      <c r="G31" s="174"/>
      <c r="H31" s="115" t="str">
        <f>IFERROR(IF(OR(EXACT(A31,'Lista precios mod CCE especif.'!$AB$14),EXACT(A31,'Lista precios mod CCE especif.'!$AB$16),EXACT(A31,'Lista precios mod CCE especif.'!$AB$17),EXACT(A31,'Lista precios mod CCE especif.'!$AB$18),EXACT(A31,'Lista precios mod CCE especif.'!$AB$19),EXACT(A31,'Lista precios mod CCE especif.'!$AB$20),EXACT(A31,'Lista precios mod CCE especif.'!$AB$21),EXACT(A31,'Lista precios mod CCE especif.'!$AB$22),EXACT(A31,'Lista precios mod CCE especif.'!$AB$23),EXACT(A31,'Lista precios mod CCE especif.'!$AB$24),EXACT(A31,'Lista precios mod CCE especif.'!$AB$25),EXACT(A31,'Lista precios mod CCE especif.'!$AB$26),EXACT(A31,'Lista precios mod CCE especif.'!$AB$27)),"N/A",G31+F31),"")</f>
        <v>N/A</v>
      </c>
      <c r="I31" s="75"/>
      <c r="J31" s="76"/>
      <c r="K31" s="57"/>
      <c r="L31" s="156"/>
    </row>
    <row r="32" spans="1:12" s="26" customFormat="1" ht="27" customHeight="1" x14ac:dyDescent="0.25">
      <c r="A32" s="118" t="s">
        <v>81</v>
      </c>
      <c r="B32" s="42"/>
      <c r="C32" s="29" t="str">
        <f>IFERROR(INDEX('Lista precios mod CCE especif.'!$A$3:$O$278,MATCH('Opción C Selección modelo CCE'!$B32,'Lista precios mod CCE especif.'!$E$3:$E$278,0),MATCH('Opción C Selección modelo CCE'!C$2,'Lista precios mod CCE especif.'!$A$3:$O$3,0)),"")</f>
        <v/>
      </c>
      <c r="D32" s="32" t="str">
        <f>IFERROR(INDEX('Lista precios mod CCE especif.'!$A$3:$O$278,MATCH('Opción C Selección modelo CCE'!$B32,'Lista precios mod CCE especif.'!$E$3:$E$278,0),MATCH('Opción C Selección modelo CCE'!D$2,'Lista precios mod CCE especif.'!$A$3:$O$3,0)),"")</f>
        <v/>
      </c>
      <c r="E32" s="32" t="str">
        <f>IFERROR(INDEX('Lista precios mod CCE especif.'!$A$3:$O$278,MATCH('Opción C Selección modelo CCE'!$B32,'Lista precios mod CCE especif.'!$E$3:$E$269,0),MATCH('Opción C Selección modelo CCE'!E$2,'Lista precios mod CCE especif.'!$A$3:$O$3,0)),"")</f>
        <v/>
      </c>
      <c r="F32" s="207" t="str">
        <f>IFERROR(INDEX('Lista precios mod CCE especif.'!$A$3:$O$278,MATCH('Opción C Selección modelo CCE'!$B32,'Lista precios mod CCE especif.'!$E$3:$E$278,0),MATCH('Opción C Selección modelo CCE'!F$2,'Lista precios mod CCE especif.'!$A$3:$O$3,0)),"")</f>
        <v/>
      </c>
      <c r="G32" s="174"/>
      <c r="H32" s="115" t="str">
        <f>IFERROR(IF(OR(EXACT(A32,'Lista precios mod CCE especif.'!$AB$14),EXACT(A32,'Lista precios mod CCE especif.'!$AB$16),EXACT(A32,'Lista precios mod CCE especif.'!$AB$17),EXACT(A32,'Lista precios mod CCE especif.'!$AB$18),EXACT(A32,'Lista precios mod CCE especif.'!$AB$19),EXACT(A32,'Lista precios mod CCE especif.'!$AB$20),EXACT(A32,'Lista precios mod CCE especif.'!$AB$21),EXACT(A32,'Lista precios mod CCE especif.'!$AB$22),EXACT(A32,'Lista precios mod CCE especif.'!$AB$23),EXACT(A32,'Lista precios mod CCE especif.'!$AB$24),EXACT(A32,'Lista precios mod CCE especif.'!$AB$25),EXACT(A32,'Lista precios mod CCE especif.'!$AB$26),EXACT(A32,'Lista precios mod CCE especif.'!$AB$27)),"N/A",G32+F32),"")</f>
        <v>N/A</v>
      </c>
      <c r="I32" s="75"/>
      <c r="J32" s="76" t="str">
        <f t="shared" si="0"/>
        <v/>
      </c>
      <c r="K32" s="57"/>
      <c r="L32" s="156" t="str">
        <f t="shared" si="1"/>
        <v>_22</v>
      </c>
    </row>
    <row r="33" spans="1:12" s="26" customFormat="1" ht="27" customHeight="1" x14ac:dyDescent="0.25">
      <c r="A33" s="118" t="s">
        <v>82</v>
      </c>
      <c r="B33" s="42"/>
      <c r="C33" s="29" t="str">
        <f>IFERROR(INDEX('Lista precios mod CCE especif.'!$A$3:$O$278,MATCH('Opción C Selección modelo CCE'!$B33,'Lista precios mod CCE especif.'!$E$3:$E$278,0),MATCH('Opción C Selección modelo CCE'!C$2,'Lista precios mod CCE especif.'!$A$3:$O$3,0)),"")</f>
        <v/>
      </c>
      <c r="D33" s="32" t="str">
        <f>IFERROR(INDEX('Lista precios mod CCE especif.'!$A$3:$O$278,MATCH('Opción C Selección modelo CCE'!$B33,'Lista precios mod CCE especif.'!$E$3:$E$278,0),MATCH('Opción C Selección modelo CCE'!D$2,'Lista precios mod CCE especif.'!$A$3:$O$3,0)),"")</f>
        <v/>
      </c>
      <c r="E33" s="32" t="str">
        <f>IFERROR(INDEX('Lista precios mod CCE especif.'!$A$3:$O$278,MATCH('Opción C Selección modelo CCE'!$B33,'Lista precios mod CCE especif.'!$E$3:$E$269,0),MATCH('Opción C Selección modelo CCE'!E$2,'Lista precios mod CCE especif.'!$A$3:$O$3,0)),"")</f>
        <v/>
      </c>
      <c r="F33" s="207" t="str">
        <f>IFERROR(INDEX('Lista precios mod CCE especif.'!$A$3:$O$278,MATCH('Opción C Selección modelo CCE'!$B33,'Lista precios mod CCE especif.'!$E$3:$E$278,0),MATCH('Opción C Selección modelo CCE'!F$2,'Lista precios mod CCE especif.'!$A$3:$O$3,0)),"")</f>
        <v/>
      </c>
      <c r="G33" s="174"/>
      <c r="H33" s="115" t="str">
        <f>IFERROR(IF(OR(EXACT(A33,'Lista precios mod CCE especif.'!$AB$14),EXACT(A33,'Lista precios mod CCE especif.'!$AB$16),EXACT(A33,'Lista precios mod CCE especif.'!$AB$17),EXACT(A33,'Lista precios mod CCE especif.'!$AB$18),EXACT(A33,'Lista precios mod CCE especif.'!$AB$19),EXACT(A33,'Lista precios mod CCE especif.'!$AB$20),EXACT(A33,'Lista precios mod CCE especif.'!$AB$21),EXACT(A33,'Lista precios mod CCE especif.'!$AB$22),EXACT(A33,'Lista precios mod CCE especif.'!$AB$23),EXACT(A33,'Lista precios mod CCE especif.'!$AB$24),EXACT(A33,'Lista precios mod CCE especif.'!$AB$25),EXACT(A33,'Lista precios mod CCE especif.'!$AB$26),EXACT(A33,'Lista precios mod CCE especif.'!$AB$27)),"N/A",G33+F33),"")</f>
        <v>N/A</v>
      </c>
      <c r="I33" s="75"/>
      <c r="J33" s="76" t="str">
        <f t="shared" si="0"/>
        <v/>
      </c>
      <c r="K33" s="57"/>
      <c r="L33" s="156" t="str">
        <f t="shared" si="1"/>
        <v>_23</v>
      </c>
    </row>
    <row r="34" spans="1:12" s="26" customFormat="1" ht="27" customHeight="1" x14ac:dyDescent="0.25">
      <c r="A34" s="118" t="s">
        <v>83</v>
      </c>
      <c r="B34" s="42"/>
      <c r="C34" s="29" t="str">
        <f>IFERROR(INDEX('Lista precios mod CCE especif.'!$A$3:$O$278,MATCH('Opción C Selección modelo CCE'!$B34,'Lista precios mod CCE especif.'!$E$3:$E$278,0),MATCH('Opción C Selección modelo CCE'!C$2,'Lista precios mod CCE especif.'!$A$3:$O$3,0)),"")</f>
        <v/>
      </c>
      <c r="D34" s="32" t="str">
        <f>IFERROR(INDEX('Lista precios mod CCE especif.'!$A$3:$O$278,MATCH('Opción C Selección modelo CCE'!$B34,'Lista precios mod CCE especif.'!$E$3:$E$278,0),MATCH('Opción C Selección modelo CCE'!D$2,'Lista precios mod CCE especif.'!$A$3:$O$3,0)),"")</f>
        <v/>
      </c>
      <c r="E34" s="32" t="str">
        <f>IFERROR(INDEX('Lista precios mod CCE especif.'!$A$3:$O$278,MATCH('Opción C Selección modelo CCE'!$B34,'Lista precios mod CCE especif.'!$E$3:$E$269,0),MATCH('Opción C Selección modelo CCE'!E$2,'Lista precios mod CCE especif.'!$A$3:$O$3,0)),"")</f>
        <v/>
      </c>
      <c r="F34" s="207" t="str">
        <f>IFERROR(INDEX('Lista precios mod CCE especif.'!$A$3:$O$278,MATCH('Opción C Selección modelo CCE'!$B34,'Lista precios mod CCE especif.'!$E$3:$E$278,0),MATCH('Opción C Selección modelo CCE'!F$2,'Lista precios mod CCE especif.'!$A$3:$O$3,0)),"")</f>
        <v/>
      </c>
      <c r="G34" s="174"/>
      <c r="H34" s="115" t="str">
        <f>IFERROR(IF(OR(EXACT(A34,'Lista precios mod CCE especif.'!$AB$14),EXACT(A34,'Lista precios mod CCE especif.'!$AB$16),EXACT(A34,'Lista precios mod CCE especif.'!$AB$17),EXACT(A34,'Lista precios mod CCE especif.'!$AB$18),EXACT(A34,'Lista precios mod CCE especif.'!$AB$19),EXACT(A34,'Lista precios mod CCE especif.'!$AB$20),EXACT(A34,'Lista precios mod CCE especif.'!$AB$21),EXACT(A34,'Lista precios mod CCE especif.'!$AB$22),EXACT(A34,'Lista precios mod CCE especif.'!$AB$23),EXACT(A34,'Lista precios mod CCE especif.'!$AB$24),EXACT(A34,'Lista precios mod CCE especif.'!$AB$25),EXACT(A34,'Lista precios mod CCE especif.'!$AB$26),EXACT(A34,'Lista precios mod CCE especif.'!$AB$27)),"N/A",G34+F34),"")</f>
        <v>N/A</v>
      </c>
      <c r="I34" s="75"/>
      <c r="J34" s="76" t="str">
        <f t="shared" si="0"/>
        <v/>
      </c>
      <c r="K34" s="57"/>
      <c r="L34" s="156" t="str">
        <f t="shared" si="1"/>
        <v>_24</v>
      </c>
    </row>
    <row r="35" spans="1:12" s="26" customFormat="1" ht="15" x14ac:dyDescent="0.25">
      <c r="A35" s="301" t="s">
        <v>84</v>
      </c>
      <c r="B35" s="302"/>
      <c r="C35" s="302"/>
      <c r="D35" s="302"/>
      <c r="E35" s="302"/>
      <c r="F35" s="302"/>
      <c r="G35" s="302"/>
      <c r="H35" s="302"/>
      <c r="I35" s="292">
        <f>SUM(J4:J34)-SUMIF(L4:L34,"_3.",J4:J34)-SUMIF(L4:L34,"_4.",J4:J34)</f>
        <v>0</v>
      </c>
      <c r="J35" s="293"/>
      <c r="K35" s="60"/>
      <c r="L35" s="57"/>
    </row>
    <row r="36" spans="1:12" ht="15" x14ac:dyDescent="0.25">
      <c r="D36"/>
      <c r="E36"/>
      <c r="F36"/>
      <c r="G36"/>
      <c r="H36"/>
      <c r="I36"/>
      <c r="J36"/>
      <c r="K36"/>
      <c r="L36"/>
    </row>
    <row r="37" spans="1:12" s="26" customFormat="1" ht="15" customHeight="1" x14ac:dyDescent="0.25">
      <c r="A37" s="274" t="s">
        <v>430</v>
      </c>
      <c r="B37" s="275"/>
      <c r="C37" s="275"/>
      <c r="D37" s="275"/>
      <c r="E37" s="275"/>
      <c r="F37" s="275"/>
      <c r="G37" s="275"/>
      <c r="H37" s="276"/>
      <c r="I37" s="277">
        <v>1000</v>
      </c>
      <c r="J37" s="278"/>
      <c r="K37" s="60"/>
      <c r="L37" s="57"/>
    </row>
    <row r="38" spans="1:12" s="26" customFormat="1" ht="15" customHeight="1" x14ac:dyDescent="0.25">
      <c r="A38" s="274" t="s">
        <v>431</v>
      </c>
      <c r="B38" s="275"/>
      <c r="C38" s="275"/>
      <c r="D38" s="275"/>
      <c r="E38" s="275"/>
      <c r="F38" s="275"/>
      <c r="G38" s="275"/>
      <c r="H38" s="276"/>
      <c r="I38" s="277">
        <v>150</v>
      </c>
      <c r="J38" s="278"/>
      <c r="K38" s="60"/>
      <c r="L38" s="57"/>
    </row>
    <row r="39" spans="1:12" s="26" customFormat="1" ht="15" customHeight="1" x14ac:dyDescent="0.25">
      <c r="A39" s="274" t="s">
        <v>432</v>
      </c>
      <c r="B39" s="275"/>
      <c r="C39" s="275"/>
      <c r="D39" s="275"/>
      <c r="E39" s="275"/>
      <c r="F39" s="275"/>
      <c r="G39" s="275"/>
      <c r="H39" s="276"/>
      <c r="I39" s="277">
        <v>150</v>
      </c>
      <c r="J39" s="278"/>
      <c r="K39" s="60"/>
      <c r="L39" s="57"/>
    </row>
    <row r="40" spans="1:12" s="26" customFormat="1" ht="15" customHeight="1" x14ac:dyDescent="0.25">
      <c r="A40" s="274" t="s">
        <v>433</v>
      </c>
      <c r="B40" s="275"/>
      <c r="C40" s="275"/>
      <c r="D40" s="275"/>
      <c r="E40" s="275"/>
      <c r="F40" s="275"/>
      <c r="G40" s="275"/>
      <c r="H40" s="276"/>
      <c r="I40" s="277">
        <v>150</v>
      </c>
      <c r="J40" s="278"/>
      <c r="K40" s="60"/>
      <c r="L40" s="57"/>
    </row>
    <row r="41" spans="1:12" s="26" customFormat="1" ht="15" customHeight="1" x14ac:dyDescent="0.25">
      <c r="A41" s="274" t="s">
        <v>434</v>
      </c>
      <c r="B41" s="275"/>
      <c r="C41" s="275"/>
      <c r="D41" s="275"/>
      <c r="E41" s="275"/>
      <c r="F41" s="275"/>
      <c r="G41" s="275"/>
      <c r="H41" s="276"/>
      <c r="I41" s="277">
        <v>2</v>
      </c>
      <c r="J41" s="278"/>
      <c r="K41" s="60"/>
      <c r="L41" s="57"/>
    </row>
    <row r="42" spans="1:12" s="26" customFormat="1" ht="15" customHeight="1" x14ac:dyDescent="0.25">
      <c r="A42" s="274" t="s">
        <v>435</v>
      </c>
      <c r="B42" s="275"/>
      <c r="C42" s="275"/>
      <c r="D42" s="275"/>
      <c r="E42" s="275"/>
      <c r="F42" s="275"/>
      <c r="G42" s="275"/>
      <c r="H42" s="276"/>
      <c r="I42" s="277">
        <v>10</v>
      </c>
      <c r="J42" s="278"/>
      <c r="K42" s="60"/>
      <c r="L42" s="57"/>
    </row>
    <row r="43" spans="1:12" s="26" customFormat="1" ht="15" customHeight="1" x14ac:dyDescent="0.25">
      <c r="A43" s="274" t="s">
        <v>436</v>
      </c>
      <c r="B43" s="275"/>
      <c r="C43" s="275"/>
      <c r="D43" s="275"/>
      <c r="E43" s="275"/>
      <c r="F43" s="275"/>
      <c r="G43" s="275"/>
      <c r="H43" s="276"/>
      <c r="I43" s="277">
        <v>60</v>
      </c>
      <c r="J43" s="278"/>
      <c r="K43" s="60"/>
      <c r="L43" s="57"/>
    </row>
    <row r="44" spans="1:12" s="26" customFormat="1" ht="15" customHeight="1" x14ac:dyDescent="0.25">
      <c r="A44" s="274" t="s">
        <v>437</v>
      </c>
      <c r="B44" s="275"/>
      <c r="C44" s="275"/>
      <c r="D44" s="275"/>
      <c r="E44" s="275"/>
      <c r="F44" s="275"/>
      <c r="G44" s="275"/>
      <c r="H44" s="276"/>
      <c r="I44" s="279">
        <v>0.1</v>
      </c>
      <c r="J44" s="280"/>
      <c r="K44" s="60"/>
      <c r="L44" s="57"/>
    </row>
    <row r="45" spans="1:12" ht="15" customHeight="1" x14ac:dyDescent="0.25">
      <c r="A45" s="314" t="s">
        <v>85</v>
      </c>
      <c r="B45" s="315"/>
      <c r="C45" s="315"/>
      <c r="D45" s="315"/>
      <c r="E45" s="315"/>
      <c r="F45" s="315"/>
      <c r="G45" s="315"/>
      <c r="H45" s="316"/>
      <c r="I45" s="299">
        <f>(I37*SUM(I$4:I$6))+(I38*SUM($I$9:$I$19))+(I39*I20)+(I40*SUM($I$21:$I$22))+(I41*SUM($I$23:$I$24))+(I42*SUM($I$25:$I$26))+(I43*$I$27)+(I44*$I$28)</f>
        <v>0</v>
      </c>
      <c r="J45" s="300"/>
    </row>
    <row r="46" spans="1:12" s="60" customFormat="1" ht="15" x14ac:dyDescent="0.25">
      <c r="D46" s="58"/>
      <c r="E46" s="58"/>
      <c r="F46" s="58"/>
      <c r="G46" s="58"/>
      <c r="H46" s="58"/>
      <c r="I46" s="58"/>
      <c r="J46" s="58"/>
    </row>
    <row r="47" spans="1:12" s="26" customFormat="1" ht="15" customHeight="1" x14ac:dyDescent="0.25">
      <c r="A47" s="294" t="s">
        <v>86</v>
      </c>
      <c r="B47" s="295"/>
      <c r="C47" s="295"/>
      <c r="D47" s="295"/>
      <c r="E47" s="295"/>
      <c r="F47" s="295"/>
      <c r="G47" s="295"/>
      <c r="H47" s="295"/>
      <c r="I47" s="292">
        <f>I35*1.06+I45</f>
        <v>0</v>
      </c>
      <c r="J47" s="293"/>
      <c r="K47" s="60"/>
      <c r="L47" s="57"/>
    </row>
    <row r="48" spans="1:12" ht="15" x14ac:dyDescent="0.25"/>
    <row r="49" spans="1:12" ht="15" customHeight="1" x14ac:dyDescent="0.25">
      <c r="A49" s="286" t="s">
        <v>87</v>
      </c>
      <c r="B49" s="287"/>
      <c r="C49" s="287"/>
      <c r="D49" s="287"/>
      <c r="E49" s="287"/>
      <c r="F49" s="287"/>
      <c r="G49" s="287"/>
      <c r="H49" s="288"/>
      <c r="I49" s="312"/>
      <c r="J49" s="313"/>
    </row>
    <row r="50" spans="1:12" ht="15" customHeight="1" x14ac:dyDescent="0.25">
      <c r="A50" s="289" t="s">
        <v>88</v>
      </c>
      <c r="B50" s="290"/>
      <c r="C50" s="290"/>
      <c r="D50" s="290"/>
      <c r="E50" s="290"/>
      <c r="F50" s="290"/>
      <c r="G50" s="290"/>
      <c r="H50" s="291"/>
      <c r="I50" s="299">
        <f>I35*I$49</f>
        <v>0</v>
      </c>
      <c r="J50" s="300"/>
    </row>
    <row r="51" spans="1:12" ht="15" x14ac:dyDescent="0.25">
      <c r="D51"/>
      <c r="E51"/>
      <c r="F51"/>
      <c r="G51"/>
      <c r="H51"/>
      <c r="I51"/>
      <c r="J51"/>
      <c r="K51"/>
      <c r="L51"/>
    </row>
    <row r="52" spans="1:12" ht="15.75" customHeight="1" x14ac:dyDescent="0.25">
      <c r="A52" s="307" t="s">
        <v>89</v>
      </c>
      <c r="B52" s="308"/>
      <c r="C52" s="308"/>
      <c r="D52" s="308"/>
      <c r="E52" s="308"/>
      <c r="F52" s="308"/>
      <c r="G52" s="308"/>
      <c r="H52" s="308"/>
      <c r="I52" s="323">
        <f>SUMIF(L4:L34,"_3.",J4:J34)+SUMIF(L4:L34,"_4.",J4:J34)</f>
        <v>0</v>
      </c>
      <c r="J52" s="324"/>
    </row>
    <row r="53" spans="1:12" ht="15" x14ac:dyDescent="0.25">
      <c r="A53" s="309" t="s">
        <v>94</v>
      </c>
      <c r="B53" s="309"/>
      <c r="C53" s="309"/>
      <c r="D53" s="309"/>
      <c r="E53" s="309"/>
      <c r="F53" s="309"/>
      <c r="G53" s="309"/>
      <c r="H53" s="309"/>
      <c r="I53" s="325"/>
      <c r="J53" s="313"/>
    </row>
    <row r="54" spans="1:12" ht="15" x14ac:dyDescent="0.25">
      <c r="A54" s="296" t="s">
        <v>91</v>
      </c>
      <c r="B54" s="297"/>
      <c r="C54" s="297"/>
      <c r="D54" s="297"/>
      <c r="E54" s="297"/>
      <c r="F54" s="297"/>
      <c r="G54" s="297"/>
      <c r="H54" s="298"/>
      <c r="I54" s="326">
        <f>I52*I53</f>
        <v>0</v>
      </c>
      <c r="J54" s="300"/>
    </row>
    <row r="55" spans="1:12" ht="27" customHeight="1" thickBot="1" x14ac:dyDescent="0.3">
      <c r="D55"/>
      <c r="E55"/>
      <c r="F55"/>
      <c r="G55"/>
      <c r="H55"/>
      <c r="I55"/>
      <c r="J55"/>
    </row>
    <row r="56" spans="1:12" ht="27" customHeight="1" thickBot="1" x14ac:dyDescent="0.3">
      <c r="A56" s="281" t="s">
        <v>92</v>
      </c>
      <c r="B56" s="282"/>
      <c r="C56" s="282"/>
      <c r="D56" s="282"/>
      <c r="E56" s="282"/>
      <c r="F56" s="282"/>
      <c r="G56" s="282"/>
      <c r="H56" s="283"/>
      <c r="I56" s="284">
        <f>I47+I50+I52+I54</f>
        <v>0</v>
      </c>
      <c r="J56" s="285"/>
    </row>
  </sheetData>
  <sheetProtection algorithmName="SHA-512" hashValue="vryeFZoF7ByXk50JPzyXoKZnRUd3dXGZArl3UoseLmPoWs//mlev0OZgKlnjuYTPqQqAYsKJDrSl5nu6hp6Ydg==" saltValue="zBlFCNqW3aULQGvH9VSGEw==" spinCount="100000" sheet="1" sort="0" autoFilter="0" pivotTables="0"/>
  <dataConsolidate link="1"/>
  <mergeCells count="36">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H2:H3"/>
    <mergeCell ref="A38:H38"/>
    <mergeCell ref="I38:J38"/>
    <mergeCell ref="A39:H39"/>
    <mergeCell ref="I39:J39"/>
    <mergeCell ref="A40:H40"/>
    <mergeCell ref="I40:J40"/>
    <mergeCell ref="A41:H41"/>
    <mergeCell ref="I41:J41"/>
    <mergeCell ref="A42:H42"/>
    <mergeCell ref="I42:J42"/>
    <mergeCell ref="A43:H43"/>
    <mergeCell ref="I43:J43"/>
    <mergeCell ref="A44:H44"/>
    <mergeCell ref="I44:J44"/>
  </mergeCells>
  <conditionalFormatting sqref="H4:H34 C4:F34">
    <cfRule type="cellIs" dxfId="50" priority="74" operator="equal">
      <formula>"N/A"</formula>
    </cfRule>
  </conditionalFormatting>
  <dataValidations count="3">
    <dataValidation type="list" allowBlank="1" showInputMessage="1" showErrorMessage="1" sqref="A4:A34" xr:uid="{DA819C6D-42C1-4B4F-B566-40BE600E59E2}">
      <formula1>typeofequipment</formula1>
    </dataValidation>
    <dataValidation type="list" allowBlank="1" showInputMessage="1" showErrorMessage="1" sqref="B4:B34" xr:uid="{00000000-0002-0000-0400-000001000000}">
      <formula1>INDIRECT(SUBSTITUTE(A4,"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4E5EAB4B-05A2-419C-935C-D1906E6B8946}">
      <formula1>200</formula1>
      <formula2>38000</formula2>
    </dataValidation>
  </dataValidations>
  <pageMargins left="0.7" right="0.7" top="0.75" bottom="0.75" header="0.3" footer="0.3"/>
  <pageSetup scale="36" fitToHeight="0" orientation="landscape" r:id="rId1"/>
  <ignoredErrors>
    <ignoredError sqref="L32:L33 L4:L30" unlockedFormula="1"/>
  </ignoredErrors>
  <extLst>
    <ext xmlns:x14="http://schemas.microsoft.com/office/spreadsheetml/2009/9/main" uri="{78C0D931-6437-407d-A8EE-F0AAD7539E65}">
      <x14:conditionalFormattings>
        <x14:conditionalFormatting xmlns:xm="http://schemas.microsoft.com/office/excel/2006/main">
          <x14:cfRule type="expression" priority="5061" id="{C0BEC08C-A30E-499B-9987-F9F5FDCEE0D6}">
            <xm:f>OR(A1='Specified CCE Model Price List'!#REF!,A1='Specified CCE Model Price List'!#REF!,A1='Specified CCE Model Price List'!#REF!,A1='Specified CCE Model Price List'!#REF!,A1='Specified CCE Model Price List'!#REF!)</xm:f>
            <x14:dxf>
              <font>
                <color theme="1"/>
              </font>
              <fill>
                <patternFill>
                  <bgColor theme="1" tint="0.499984740745262"/>
                </patternFill>
              </fill>
            </x14:dxf>
          </x14:cfRule>
          <xm:sqref>G1:G3</xm:sqref>
        </x14:conditionalFormatting>
        <x14:conditionalFormatting xmlns:xm="http://schemas.microsoft.com/office/excel/2006/main">
          <x14:cfRule type="cellIs" priority="5062" operator="equal" id="{2CD378A7-AB76-4A70-B60A-29003498FB52}">
            <xm:f>'Specified CCE Model Price List'!#REF!</xm:f>
            <x14:dxf>
              <fill>
                <patternFill>
                  <bgColor rgb="FFFFFF00"/>
                </patternFill>
              </fill>
            </x14:dxf>
          </x14:cfRule>
          <x14:cfRule type="cellIs" priority="5063" operator="equal" id="{0D52424A-BD2B-4020-B9B7-A5213667D9E6}">
            <xm:f>'Specified CCE Model Price List'!#REF!</xm:f>
            <x14:dxf>
              <font>
                <color theme="0"/>
              </font>
              <fill>
                <patternFill>
                  <bgColor rgb="FF7030A0"/>
                </patternFill>
              </fill>
            </x14:dxf>
          </x14:cfRule>
          <x14:cfRule type="cellIs" priority="5064" operator="equal" id="{FBC23021-D2C0-4443-87C9-7BFE8826939B}">
            <xm:f>'Specified CCE Model Price List'!#REF!</xm:f>
            <x14:dxf>
              <font>
                <color theme="0"/>
              </font>
              <fill>
                <patternFill>
                  <bgColor theme="9" tint="-0.24994659260841701"/>
                </patternFill>
              </fill>
            </x14:dxf>
          </x14:cfRule>
          <x14:cfRule type="cellIs" priority="5065" operator="equal" id="{14AC591E-82C9-4D80-9185-DB37BDD02C51}">
            <xm:f>'Specified CCE Model Price List'!#REF!</xm:f>
            <x14:dxf>
              <font>
                <color theme="0"/>
              </font>
              <fill>
                <patternFill>
                  <bgColor theme="4" tint="-0.24994659260841701"/>
                </patternFill>
              </fill>
            </x14:dxf>
          </x14:cfRule>
          <x14:cfRule type="cellIs" priority="5066" operator="equal" id="{68776573-9622-4F36-8AC2-F07DB516568B}">
            <xm:f>'Specified CCE Model Price List'!#REF!</xm:f>
            <x14:dxf>
              <fill>
                <patternFill>
                  <bgColor rgb="FFFF99FF"/>
                </patternFill>
              </fill>
            </x14:dxf>
          </x14:cfRule>
          <x14:cfRule type="cellIs" priority="5067" operator="equal" id="{592D3FEC-86A2-49B5-8072-5BA728A350DF}">
            <xm:f>'Specified CCE Model Price List'!#REF!</xm:f>
            <x14:dxf>
              <font>
                <color theme="0"/>
              </font>
              <fill>
                <patternFill>
                  <bgColor rgb="FF9900CC"/>
                </patternFill>
              </fill>
            </x14:dxf>
          </x14:cfRule>
          <x14:cfRule type="cellIs" priority="5068" operator="equal" id="{B9E4FFEA-8CBB-497E-B49A-4572FF542A63}">
            <xm:f>'Specified CCE Model Price List'!#REF!</xm:f>
            <x14:dxf>
              <fill>
                <patternFill>
                  <bgColor rgb="FFFFC000"/>
                </patternFill>
              </fill>
            </x14:dxf>
          </x14:cfRule>
          <x14:cfRule type="cellIs" priority="5069" operator="equal" id="{73899991-E141-4A21-AA6F-ABF5FA433E61}">
            <xm:f>'Specified CCE Model Price List'!#REF!</xm:f>
            <x14:dxf>
              <font>
                <color theme="1"/>
              </font>
              <fill>
                <patternFill>
                  <bgColor rgb="FFCCCCFF"/>
                </patternFill>
              </fill>
            </x14:dxf>
          </x14:cfRule>
          <x14:cfRule type="cellIs" priority="5070" operator="equal" id="{CF4C666A-6421-42EA-ABCA-DCD11677A836}">
            <xm:f>'Specified CCE Model Price List'!#REF!</xm:f>
            <x14:dxf>
              <font>
                <color theme="1"/>
              </font>
              <fill>
                <patternFill>
                  <bgColor rgb="FFCCCCFF"/>
                </patternFill>
              </fill>
            </x14:dxf>
          </x14:cfRule>
          <x14:cfRule type="cellIs" priority="5071" operator="equal" id="{0AF5456E-1BE2-4AF4-834E-F2B91FAE6924}">
            <xm:f>'Specified CCE Model Price List'!#REF!</xm:f>
            <x14:dxf>
              <font>
                <color theme="1"/>
              </font>
              <fill>
                <patternFill>
                  <bgColor theme="5" tint="0.59996337778862885"/>
                </patternFill>
              </fill>
            </x14:dxf>
          </x14:cfRule>
          <x14:cfRule type="cellIs" priority="5072" operator="equal" id="{E5D79548-C026-4E68-82A2-C969CAAD670F}">
            <xm:f>'Specified CCE Model Price List'!#REF!</xm:f>
            <x14:dxf>
              <font>
                <color theme="1"/>
              </font>
              <fill>
                <patternFill>
                  <bgColor theme="5" tint="0.79998168889431442"/>
                </patternFill>
              </fill>
            </x14:dxf>
          </x14:cfRule>
          <x14:cfRule type="cellIs" priority="5073" operator="equal" id="{A9CA0DAF-7D50-4A8B-B336-4F5CED05C70A}">
            <xm:f>'Specified CCE Model Price List'!#REF!</xm:f>
            <x14:dxf>
              <font>
                <color theme="1"/>
              </font>
              <fill>
                <patternFill>
                  <bgColor theme="9" tint="0.59996337778862885"/>
                </patternFill>
              </fill>
            </x14:dxf>
          </x14:cfRule>
          <x14:cfRule type="cellIs" priority="5074" operator="equal" id="{10D53CCA-AFCF-4553-931F-4ABDFE07F80B}">
            <xm:f>'Specified CCE Model Price List'!#REF!</xm:f>
            <x14:dxf>
              <font>
                <color theme="1"/>
              </font>
              <fill>
                <patternFill>
                  <bgColor theme="9" tint="0.79998168889431442"/>
                </patternFill>
              </fill>
            </x14:dxf>
          </x14:cfRule>
          <x14:cfRule type="cellIs" priority="5075" operator="equal" id="{03F8123E-B345-43B4-837E-481BFC86BA36}">
            <xm:f>'Specified CCE Model Price List'!#REF!</xm:f>
            <x14:dxf>
              <font>
                <color theme="0"/>
              </font>
              <fill>
                <patternFill>
                  <bgColor theme="1" tint="0.24994659260841701"/>
                </patternFill>
              </fill>
            </x14:dxf>
          </x14:cfRule>
          <x14:cfRule type="cellIs" priority="5076" operator="equal" id="{9099B3B0-2A85-4C6F-B507-E98EFF354D4F}">
            <xm:f>'Specified CCE Model Price List'!#REF!</xm:f>
            <x14:dxf>
              <font>
                <color theme="0"/>
              </font>
              <fill>
                <patternFill>
                  <bgColor theme="0" tint="-0.499984740745262"/>
                </patternFill>
              </fill>
            </x14:dxf>
          </x14:cfRule>
          <x14:cfRule type="cellIs" priority="5077" operator="equal" id="{7FAAD732-B0F8-4CF8-A31C-8CF922FF76F1}">
            <xm:f>'Specified CCE Model Price List'!#REF!</xm:f>
            <x14:dxf>
              <font>
                <color theme="1"/>
              </font>
              <fill>
                <patternFill>
                  <bgColor theme="0" tint="-0.14996795556505021"/>
                </patternFill>
              </fill>
            </x14:dxf>
          </x14:cfRule>
          <x14:cfRule type="cellIs" priority="5078" operator="equal" id="{0D36A1C7-54CB-4B30-B849-8478A94A4620}">
            <xm:f>'Specified CCE Model Price List'!#REF!</xm:f>
            <x14:dxf>
              <font>
                <color theme="1"/>
              </font>
              <fill>
                <patternFill>
                  <bgColor theme="7" tint="0.79998168889431442"/>
                </patternFill>
              </fill>
            </x14:dxf>
          </x14:cfRule>
          <x14:cfRule type="cellIs" priority="5079" operator="equal" id="{E80B3E37-B8E2-4D00-88BE-494D87BD39E6}">
            <xm:f>'Specified CCE Model Price List'!#REF!</xm:f>
            <x14:dxf>
              <font>
                <color theme="0"/>
              </font>
              <fill>
                <patternFill>
                  <bgColor theme="4" tint="-0.24994659260841701"/>
                </patternFill>
              </fill>
            </x14:dxf>
          </x14:cfRule>
          <x14:cfRule type="cellIs" priority="5080" operator="equal" id="{01A7EB81-3E86-4071-AB03-C5658ECF7CFD}">
            <xm:f>'Specified CCE Model Price List'!#REF!</xm:f>
            <x14:dxf>
              <font>
                <color theme="1"/>
              </font>
              <fill>
                <patternFill>
                  <bgColor theme="4" tint="0.39994506668294322"/>
                </patternFill>
              </fill>
            </x14:dxf>
          </x14:cfRule>
          <x14:cfRule type="cellIs" priority="5081" operator="equal" id="{D5426A0E-DE67-4641-A1D4-2ED0890699CB}">
            <xm:f>'Specified CCE Model Price List'!#REF!</xm:f>
            <x14:dxf>
              <font>
                <color theme="1"/>
              </font>
              <fill>
                <patternFill>
                  <bgColor theme="4" tint="0.79998168889431442"/>
                </patternFill>
              </fill>
            </x14:dxf>
          </x14:cfRule>
          <xm:sqref>A1:A3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278"/>
  <sheetViews>
    <sheetView showGridLines="0" zoomScale="70" zoomScaleNormal="70" zoomScaleSheetLayoutView="25" workbookViewId="0">
      <pane xSplit="1" ySplit="3" topLeftCell="B4" activePane="bottomRight" state="frozen"/>
      <selection pane="topRight"/>
      <selection pane="bottomLeft"/>
      <selection pane="bottomRight" activeCell="D4" sqref="D4"/>
    </sheetView>
  </sheetViews>
  <sheetFormatPr defaultColWidth="9.140625" defaultRowHeight="15" outlineLevelCol="2" x14ac:dyDescent="0.25"/>
  <cols>
    <col min="1" max="1" width="5.42578125" customWidth="1"/>
    <col min="2" max="2" width="30.140625" customWidth="1"/>
    <col min="3" max="3" width="15.42578125" customWidth="1"/>
    <col min="4" max="5" width="18.42578125" style="25" customWidth="1"/>
    <col min="6" max="15" width="15.42578125" customWidth="1"/>
    <col min="16" max="16" width="9.140625" customWidth="1"/>
    <col min="17" max="26" width="10.42578125" customWidth="1"/>
    <col min="27" max="27" width="9.140625" customWidth="1"/>
    <col min="28" max="30" width="9.140625" hidden="1" customWidth="1" outlineLevel="2"/>
    <col min="31" max="34" width="9.140625" hidden="1" customWidth="1" outlineLevel="1"/>
    <col min="35" max="35" width="10.5703125" hidden="1" customWidth="1" outlineLevel="1"/>
    <col min="36" max="36" width="9.140625" collapsed="1"/>
  </cols>
  <sheetData>
    <row r="1" spans="1:36" ht="23.25" customHeight="1" thickBot="1" x14ac:dyDescent="0.3">
      <c r="A1" s="28" t="s">
        <v>95</v>
      </c>
      <c r="B1" s="27"/>
      <c r="C1" s="27"/>
      <c r="D1" s="27"/>
      <c r="E1" s="36"/>
      <c r="F1" s="36"/>
      <c r="G1" s="152"/>
      <c r="H1" s="36"/>
      <c r="I1" s="36"/>
      <c r="J1" s="36"/>
      <c r="K1" s="36"/>
      <c r="L1" s="36"/>
      <c r="M1" s="36"/>
      <c r="N1" s="36"/>
      <c r="O1" s="60"/>
      <c r="P1" s="60"/>
      <c r="Q1" s="60"/>
      <c r="R1" s="60"/>
      <c r="S1" s="60"/>
      <c r="T1" s="60"/>
      <c r="U1" s="60"/>
      <c r="V1" s="60"/>
      <c r="W1" s="60"/>
      <c r="X1" s="60"/>
      <c r="Y1" s="60"/>
      <c r="Z1" s="60"/>
    </row>
    <row r="2" spans="1:36" ht="89.25" customHeight="1" thickBot="1" x14ac:dyDescent="0.3">
      <c r="E2" s="38"/>
      <c r="F2" s="60"/>
      <c r="G2" s="60"/>
      <c r="H2" s="60"/>
      <c r="I2" s="60"/>
      <c r="J2" s="327" t="s">
        <v>96</v>
      </c>
      <c r="K2" s="328"/>
      <c r="L2" s="329" t="s">
        <v>97</v>
      </c>
      <c r="M2" s="330"/>
      <c r="N2" s="60"/>
      <c r="O2" s="60"/>
      <c r="P2" s="60"/>
      <c r="Q2" s="60"/>
      <c r="R2" s="60"/>
      <c r="S2" s="60"/>
      <c r="T2" s="60"/>
      <c r="U2" s="60"/>
      <c r="V2" s="60"/>
      <c r="W2" s="60"/>
      <c r="X2" s="60"/>
      <c r="Y2" s="60"/>
      <c r="Z2" s="60"/>
    </row>
    <row r="3" spans="1:36" s="8" customFormat="1" ht="40.5" customHeight="1" thickTop="1" x14ac:dyDescent="0.25">
      <c r="A3" s="5" t="s">
        <v>98</v>
      </c>
      <c r="B3" s="5" t="s">
        <v>99</v>
      </c>
      <c r="C3" s="5" t="s">
        <v>100</v>
      </c>
      <c r="D3" s="7" t="s">
        <v>51</v>
      </c>
      <c r="E3" s="7" t="s">
        <v>50</v>
      </c>
      <c r="F3" s="5" t="s">
        <v>52</v>
      </c>
      <c r="G3" s="5" t="s">
        <v>53</v>
      </c>
      <c r="H3" s="5" t="s">
        <v>101</v>
      </c>
      <c r="I3" s="127" t="s">
        <v>54</v>
      </c>
      <c r="J3" s="168" t="s">
        <v>102</v>
      </c>
      <c r="K3" s="169" t="s">
        <v>103</v>
      </c>
      <c r="L3" s="130" t="s">
        <v>104</v>
      </c>
      <c r="M3" s="138" t="s">
        <v>105</v>
      </c>
      <c r="N3" s="130" t="s">
        <v>106</v>
      </c>
      <c r="O3" s="5" t="s">
        <v>107</v>
      </c>
      <c r="P3" s="40"/>
      <c r="Q3" s="178"/>
      <c r="R3" s="40"/>
      <c r="S3" s="40"/>
      <c r="T3" s="40"/>
      <c r="U3" s="40"/>
      <c r="V3" s="40"/>
      <c r="W3" s="40"/>
      <c r="X3" s="40"/>
      <c r="Y3" s="40"/>
      <c r="Z3" s="40"/>
      <c r="AB3" s="23" t="s">
        <v>49</v>
      </c>
      <c r="AI3" s="8" t="s">
        <v>108</v>
      </c>
    </row>
    <row r="4" spans="1:36" s="142" customFormat="1" ht="40.5" customHeight="1" x14ac:dyDescent="0.25">
      <c r="A4" s="145">
        <v>1</v>
      </c>
      <c r="B4" s="14" t="s">
        <v>62</v>
      </c>
      <c r="C4" s="144" t="s">
        <v>109</v>
      </c>
      <c r="D4" s="150" t="s">
        <v>110</v>
      </c>
      <c r="E4" s="144" t="s">
        <v>111</v>
      </c>
      <c r="F4" s="146">
        <v>10000</v>
      </c>
      <c r="G4" s="140" t="s">
        <v>112</v>
      </c>
      <c r="H4" s="140" t="s">
        <v>112</v>
      </c>
      <c r="I4" s="148">
        <v>16405.458999999999</v>
      </c>
      <c r="J4" s="153">
        <v>11000</v>
      </c>
      <c r="K4" s="170">
        <v>15000</v>
      </c>
      <c r="L4" s="131" t="s">
        <v>113</v>
      </c>
      <c r="M4" s="133" t="s">
        <v>113</v>
      </c>
      <c r="N4" s="131">
        <f t="shared" ref="N4:N34" si="0">I4+J4</f>
        <v>27405.458999999999</v>
      </c>
      <c r="O4" s="4">
        <f t="shared" ref="O4:O34" si="1">I4+K4</f>
        <v>31405.458999999999</v>
      </c>
      <c r="P4" s="141"/>
      <c r="Q4" s="141"/>
      <c r="R4" s="141"/>
      <c r="S4" s="141"/>
      <c r="T4" s="141"/>
      <c r="U4" s="141"/>
      <c r="V4" s="141"/>
      <c r="W4" s="141"/>
      <c r="X4" s="141"/>
      <c r="Y4" s="141"/>
      <c r="Z4" s="141"/>
      <c r="AB4" s="149" t="s">
        <v>62</v>
      </c>
      <c r="AD4" s="3" t="str">
        <f>SUBSTITUTE(AB4," ","")</f>
        <v>_1.Cámarasdefrío</v>
      </c>
    </row>
    <row r="5" spans="1:36" s="142" customFormat="1" ht="40.5" customHeight="1" x14ac:dyDescent="0.25">
      <c r="A5" s="145">
        <f>A4+1</f>
        <v>2</v>
      </c>
      <c r="B5" s="14" t="s">
        <v>62</v>
      </c>
      <c r="C5" s="145" t="s">
        <v>109</v>
      </c>
      <c r="D5" s="150" t="s">
        <v>114</v>
      </c>
      <c r="E5" s="145" t="s">
        <v>115</v>
      </c>
      <c r="F5" s="146">
        <v>10000</v>
      </c>
      <c r="G5" s="140" t="s">
        <v>112</v>
      </c>
      <c r="H5" s="140" t="s">
        <v>112</v>
      </c>
      <c r="I5" s="148">
        <v>11900</v>
      </c>
      <c r="J5" s="153">
        <v>11000</v>
      </c>
      <c r="K5" s="154">
        <v>15000</v>
      </c>
      <c r="L5" s="131" t="s">
        <v>113</v>
      </c>
      <c r="M5" s="133" t="s">
        <v>113</v>
      </c>
      <c r="N5" s="131">
        <f t="shared" si="0"/>
        <v>22900</v>
      </c>
      <c r="O5" s="4">
        <f t="shared" si="1"/>
        <v>26900</v>
      </c>
      <c r="P5" s="141"/>
      <c r="Q5" s="141"/>
      <c r="R5" s="141"/>
      <c r="S5" s="141"/>
      <c r="T5" s="141"/>
      <c r="U5" s="141"/>
      <c r="V5" s="141"/>
      <c r="W5" s="141"/>
      <c r="X5" s="141"/>
      <c r="Y5" s="141"/>
      <c r="Z5" s="3"/>
      <c r="AB5" s="173" t="s">
        <v>63</v>
      </c>
      <c r="AD5" s="3" t="str">
        <f>SUBSTITUTE(AB5," ","")</f>
        <v>_2.Cámarasdefríoconcongelador</v>
      </c>
    </row>
    <row r="6" spans="1:36" s="142" customFormat="1" ht="40.5" customHeight="1" x14ac:dyDescent="0.25">
      <c r="A6" s="145">
        <f t="shared" ref="A6:A69" si="2">A5+1</f>
        <v>3</v>
      </c>
      <c r="B6" s="14" t="s">
        <v>62</v>
      </c>
      <c r="C6" s="145" t="s">
        <v>109</v>
      </c>
      <c r="D6" s="150" t="s">
        <v>116</v>
      </c>
      <c r="E6" s="145" t="s">
        <v>117</v>
      </c>
      <c r="F6" s="146">
        <v>10000</v>
      </c>
      <c r="G6" s="140" t="s">
        <v>112</v>
      </c>
      <c r="H6" s="140" t="s">
        <v>112</v>
      </c>
      <c r="I6" s="148">
        <v>17076.5</v>
      </c>
      <c r="J6" s="153">
        <v>11000</v>
      </c>
      <c r="K6" s="154">
        <v>15000</v>
      </c>
      <c r="L6" s="131" t="s">
        <v>113</v>
      </c>
      <c r="M6" s="133" t="s">
        <v>113</v>
      </c>
      <c r="N6" s="131">
        <f t="shared" si="0"/>
        <v>28076.5</v>
      </c>
      <c r="O6" s="4">
        <f t="shared" si="1"/>
        <v>32076.5</v>
      </c>
      <c r="P6" s="141"/>
      <c r="Q6" s="141"/>
      <c r="R6" s="141"/>
      <c r="S6" s="141"/>
      <c r="T6" s="141"/>
      <c r="U6" s="141"/>
      <c r="V6" s="141"/>
      <c r="W6" s="141"/>
      <c r="X6" s="141"/>
      <c r="Y6" s="141"/>
      <c r="Z6" s="3"/>
      <c r="AB6" s="173" t="s">
        <v>64</v>
      </c>
      <c r="AD6" s="3" t="str">
        <f>SUBSTITUTE(AB6," ","")</f>
        <v>_3.Arrendamientoacortoplazodecámarasdefrío</v>
      </c>
    </row>
    <row r="7" spans="1:36" s="142" customFormat="1" ht="40.5" customHeight="1" x14ac:dyDescent="0.25">
      <c r="A7" s="145">
        <f t="shared" si="2"/>
        <v>4</v>
      </c>
      <c r="B7" s="14" t="s">
        <v>62</v>
      </c>
      <c r="C7" s="145" t="s">
        <v>109</v>
      </c>
      <c r="D7" s="150" t="s">
        <v>118</v>
      </c>
      <c r="E7" s="145" t="s">
        <v>119</v>
      </c>
      <c r="F7" s="146">
        <v>10000</v>
      </c>
      <c r="G7" s="140" t="s">
        <v>112</v>
      </c>
      <c r="H7" s="140" t="s">
        <v>112</v>
      </c>
      <c r="I7" s="148">
        <v>19658.8</v>
      </c>
      <c r="J7" s="153">
        <v>11000</v>
      </c>
      <c r="K7" s="154">
        <v>15000</v>
      </c>
      <c r="L7" s="131" t="s">
        <v>113</v>
      </c>
      <c r="M7" s="133" t="s">
        <v>113</v>
      </c>
      <c r="N7" s="131">
        <f t="shared" si="0"/>
        <v>30658.799999999999</v>
      </c>
      <c r="O7" s="4">
        <f t="shared" si="1"/>
        <v>34658.800000000003</v>
      </c>
      <c r="P7" s="141"/>
      <c r="Q7" s="141"/>
      <c r="R7" s="141"/>
      <c r="S7" s="141"/>
      <c r="T7" s="141"/>
      <c r="U7" s="141"/>
      <c r="V7" s="141"/>
      <c r="W7" s="141"/>
      <c r="X7" s="141"/>
      <c r="Y7" s="141"/>
      <c r="Z7" s="141"/>
      <c r="AB7" s="149" t="s">
        <v>65</v>
      </c>
      <c r="AD7" s="3" t="str">
        <f>SUBSTITUTE(AB7," ","")</f>
        <v>_4.Arrendamientodecámarasdefríoocámaracongeladora</v>
      </c>
      <c r="AE7" s="3"/>
      <c r="AF7" s="3"/>
      <c r="AG7" s="3"/>
      <c r="AH7" s="3"/>
      <c r="AI7" s="3" t="s">
        <v>120</v>
      </c>
      <c r="AJ7" s="3"/>
    </row>
    <row r="8" spans="1:36" s="142" customFormat="1" ht="40.5" customHeight="1" thickBot="1" x14ac:dyDescent="0.3">
      <c r="A8" s="145">
        <f t="shared" si="2"/>
        <v>5</v>
      </c>
      <c r="B8" s="14" t="s">
        <v>62</v>
      </c>
      <c r="C8" s="145" t="s">
        <v>109</v>
      </c>
      <c r="D8" s="150" t="s">
        <v>121</v>
      </c>
      <c r="E8" s="145" t="s">
        <v>122</v>
      </c>
      <c r="F8" s="146">
        <v>10000</v>
      </c>
      <c r="G8" s="140" t="s">
        <v>112</v>
      </c>
      <c r="H8" s="140" t="s">
        <v>112</v>
      </c>
      <c r="I8" s="148">
        <v>15368.849999999999</v>
      </c>
      <c r="J8" s="153">
        <v>11000</v>
      </c>
      <c r="K8" s="154">
        <v>15000</v>
      </c>
      <c r="L8" s="131" t="s">
        <v>113</v>
      </c>
      <c r="M8" s="133" t="s">
        <v>113</v>
      </c>
      <c r="N8" s="131">
        <f t="shared" si="0"/>
        <v>26368.85</v>
      </c>
      <c r="O8" s="4">
        <f t="shared" si="1"/>
        <v>30368.85</v>
      </c>
      <c r="P8" s="141"/>
      <c r="Q8" s="141"/>
      <c r="R8" s="141"/>
      <c r="S8" s="141"/>
      <c r="T8" s="141"/>
      <c r="U8" s="141"/>
      <c r="V8" s="141"/>
      <c r="W8" s="141"/>
      <c r="X8" s="141"/>
      <c r="Y8" s="141"/>
      <c r="Z8" s="141"/>
      <c r="AB8" s="24" t="s">
        <v>66</v>
      </c>
      <c r="AC8" s="3"/>
      <c r="AD8" s="3" t="str">
        <f t="shared" ref="AD8:AD13" si="3">SUBSTITUTE(AB8," ","")</f>
        <v>_5.ILRconconexiónderedsincongelador</v>
      </c>
      <c r="AE8" s="3"/>
      <c r="AF8" s="3"/>
      <c r="AG8" s="3"/>
      <c r="AH8" s="3"/>
      <c r="AI8" s="3" t="s">
        <v>123</v>
      </c>
      <c r="AJ8" s="3"/>
    </row>
    <row r="9" spans="1:36" s="142" customFormat="1" ht="40.5" customHeight="1" thickBot="1" x14ac:dyDescent="0.3">
      <c r="A9" s="145">
        <f t="shared" si="2"/>
        <v>6</v>
      </c>
      <c r="B9" s="14" t="s">
        <v>62</v>
      </c>
      <c r="C9" s="145" t="s">
        <v>124</v>
      </c>
      <c r="D9" s="150" t="s">
        <v>110</v>
      </c>
      <c r="E9" s="145" t="s">
        <v>125</v>
      </c>
      <c r="F9" s="144">
        <v>30000</v>
      </c>
      <c r="G9" s="140" t="s">
        <v>112</v>
      </c>
      <c r="H9" s="140" t="s">
        <v>112</v>
      </c>
      <c r="I9" s="148">
        <v>23777.223399999999</v>
      </c>
      <c r="J9" s="153">
        <v>16500</v>
      </c>
      <c r="K9" s="154">
        <v>23000</v>
      </c>
      <c r="L9" s="131" t="s">
        <v>113</v>
      </c>
      <c r="M9" s="133" t="s">
        <v>113</v>
      </c>
      <c r="N9" s="131">
        <f t="shared" si="0"/>
        <v>40277.223400000003</v>
      </c>
      <c r="O9" s="4">
        <f t="shared" si="1"/>
        <v>46777.223400000003</v>
      </c>
      <c r="P9" s="141"/>
      <c r="Q9" s="141"/>
      <c r="R9" s="141"/>
      <c r="S9" s="141"/>
      <c r="T9" s="141"/>
      <c r="U9" s="141"/>
      <c r="V9" s="141"/>
      <c r="W9" s="141"/>
      <c r="X9" s="141"/>
      <c r="Y9" s="141"/>
      <c r="Z9" s="141"/>
      <c r="AB9" s="24" t="s">
        <v>67</v>
      </c>
      <c r="AC9" s="12"/>
      <c r="AD9" s="3" t="str">
        <f t="shared" si="3"/>
        <v>_6.ILRconconexiónderedycongelador</v>
      </c>
      <c r="AE9" s="3"/>
      <c r="AF9" s="3"/>
      <c r="AG9" s="3"/>
      <c r="AH9" s="3"/>
      <c r="AI9" s="3" t="s">
        <v>126</v>
      </c>
      <c r="AJ9" s="3"/>
    </row>
    <row r="10" spans="1:36" s="142" customFormat="1" ht="40.5" customHeight="1" thickBot="1" x14ac:dyDescent="0.3">
      <c r="A10" s="145">
        <f t="shared" si="2"/>
        <v>7</v>
      </c>
      <c r="B10" s="14" t="s">
        <v>62</v>
      </c>
      <c r="C10" s="145" t="s">
        <v>124</v>
      </c>
      <c r="D10" s="150" t="s">
        <v>114</v>
      </c>
      <c r="E10" s="145" t="s">
        <v>127</v>
      </c>
      <c r="F10" s="144">
        <v>30000</v>
      </c>
      <c r="G10" s="140" t="s">
        <v>112</v>
      </c>
      <c r="H10" s="140" t="s">
        <v>112</v>
      </c>
      <c r="I10" s="148">
        <v>18900</v>
      </c>
      <c r="J10" s="153">
        <v>16500</v>
      </c>
      <c r="K10" s="154">
        <v>23000</v>
      </c>
      <c r="L10" s="131" t="s">
        <v>113</v>
      </c>
      <c r="M10" s="133" t="s">
        <v>113</v>
      </c>
      <c r="N10" s="131">
        <f t="shared" si="0"/>
        <v>35400</v>
      </c>
      <c r="O10" s="4">
        <f t="shared" si="1"/>
        <v>41900</v>
      </c>
      <c r="P10" s="141"/>
      <c r="Q10" s="141"/>
      <c r="R10" s="141"/>
      <c r="S10" s="141"/>
      <c r="T10" s="141"/>
      <c r="U10" s="141"/>
      <c r="V10" s="141"/>
      <c r="W10" s="141"/>
      <c r="X10" s="141"/>
      <c r="Y10" s="141"/>
      <c r="Z10" s="141"/>
      <c r="AB10" s="24" t="s">
        <v>68</v>
      </c>
      <c r="AC10" s="12"/>
      <c r="AD10" s="3" t="str">
        <f t="shared" si="3"/>
        <v>_7.Congeladoresconconexióndered</v>
      </c>
      <c r="AE10" s="3"/>
      <c r="AF10" s="3"/>
      <c r="AG10" s="3"/>
      <c r="AH10" s="3"/>
      <c r="AI10" s="24"/>
      <c r="AJ10" s="3"/>
    </row>
    <row r="11" spans="1:36" s="142" customFormat="1" ht="40.5" customHeight="1" thickBot="1" x14ac:dyDescent="0.3">
      <c r="A11" s="145">
        <f t="shared" si="2"/>
        <v>8</v>
      </c>
      <c r="B11" s="14" t="s">
        <v>62</v>
      </c>
      <c r="C11" s="145" t="s">
        <v>124</v>
      </c>
      <c r="D11" s="150" t="s">
        <v>114</v>
      </c>
      <c r="E11" s="145" t="s">
        <v>128</v>
      </c>
      <c r="F11" s="144">
        <v>30000</v>
      </c>
      <c r="G11" s="140" t="s">
        <v>112</v>
      </c>
      <c r="H11" s="140" t="s">
        <v>112</v>
      </c>
      <c r="I11" s="148">
        <v>22600</v>
      </c>
      <c r="J11" s="153">
        <v>16500</v>
      </c>
      <c r="K11" s="154">
        <v>23000</v>
      </c>
      <c r="L11" s="131" t="s">
        <v>113</v>
      </c>
      <c r="M11" s="133" t="s">
        <v>113</v>
      </c>
      <c r="N11" s="131">
        <f t="shared" si="0"/>
        <v>39100</v>
      </c>
      <c r="O11" s="4">
        <f t="shared" si="1"/>
        <v>45600</v>
      </c>
      <c r="P11" s="141"/>
      <c r="Q11" s="141"/>
      <c r="R11" s="141"/>
      <c r="S11" s="141"/>
      <c r="T11" s="141"/>
      <c r="U11" s="141"/>
      <c r="V11" s="141"/>
      <c r="W11" s="141"/>
      <c r="X11" s="141"/>
      <c r="Y11" s="141"/>
      <c r="Z11" s="141"/>
      <c r="AB11" s="24" t="s">
        <v>69</v>
      </c>
      <c r="AC11" s="12"/>
      <c r="AD11" s="3" t="str">
        <f t="shared" si="3"/>
        <v>_8.RefrigeradoresSDDsinconexiónderedsincongelador</v>
      </c>
      <c r="AE11" s="3"/>
      <c r="AF11" s="3"/>
      <c r="AG11" s="3"/>
      <c r="AH11" s="3"/>
      <c r="AI11" s="24"/>
      <c r="AJ11" s="3"/>
    </row>
    <row r="12" spans="1:36" s="142" customFormat="1" ht="40.5" customHeight="1" thickBot="1" x14ac:dyDescent="0.3">
      <c r="A12" s="145">
        <f t="shared" si="2"/>
        <v>9</v>
      </c>
      <c r="B12" s="14" t="s">
        <v>62</v>
      </c>
      <c r="C12" s="145" t="s">
        <v>124</v>
      </c>
      <c r="D12" s="150" t="s">
        <v>116</v>
      </c>
      <c r="E12" s="145" t="s">
        <v>129</v>
      </c>
      <c r="F12" s="144">
        <v>30000</v>
      </c>
      <c r="G12" s="140" t="s">
        <v>112</v>
      </c>
      <c r="H12" s="140" t="s">
        <v>112</v>
      </c>
      <c r="I12" s="148">
        <v>23573.899999999998</v>
      </c>
      <c r="J12" s="153">
        <v>16500</v>
      </c>
      <c r="K12" s="154">
        <v>23000</v>
      </c>
      <c r="L12" s="131" t="s">
        <v>113</v>
      </c>
      <c r="M12" s="133" t="s">
        <v>113</v>
      </c>
      <c r="N12" s="131">
        <f t="shared" si="0"/>
        <v>40073.899999999994</v>
      </c>
      <c r="O12" s="4">
        <f t="shared" si="1"/>
        <v>46573.899999999994</v>
      </c>
      <c r="P12" s="141"/>
      <c r="Q12" s="141"/>
      <c r="R12" s="141"/>
      <c r="S12" s="141"/>
      <c r="T12" s="141"/>
      <c r="U12" s="141"/>
      <c r="V12" s="141"/>
      <c r="W12" s="141"/>
      <c r="X12" s="141"/>
      <c r="Y12" s="141"/>
      <c r="Z12" s="141"/>
      <c r="AB12" s="24" t="s">
        <v>70</v>
      </c>
      <c r="AC12" s="13"/>
      <c r="AD12" s="3" t="str">
        <f t="shared" si="3"/>
        <v>_9.RefrigeradoresSDDsinconexiónderedconcongelador</v>
      </c>
      <c r="AE12" s="3"/>
      <c r="AF12" s="3"/>
      <c r="AG12" s="3"/>
      <c r="AH12" s="3"/>
      <c r="AI12" s="24"/>
      <c r="AJ12" s="3"/>
    </row>
    <row r="13" spans="1:36" s="142" customFormat="1" ht="40.5" customHeight="1" x14ac:dyDescent="0.25">
      <c r="A13" s="145">
        <f t="shared" si="2"/>
        <v>10</v>
      </c>
      <c r="B13" s="14" t="s">
        <v>62</v>
      </c>
      <c r="C13" s="145" t="s">
        <v>124</v>
      </c>
      <c r="D13" s="150" t="s">
        <v>116</v>
      </c>
      <c r="E13" s="145" t="s">
        <v>130</v>
      </c>
      <c r="F13" s="144">
        <v>30000</v>
      </c>
      <c r="G13" s="140" t="s">
        <v>112</v>
      </c>
      <c r="H13" s="140" t="s">
        <v>112</v>
      </c>
      <c r="I13" s="148">
        <v>26120.5</v>
      </c>
      <c r="J13" s="153">
        <v>16500</v>
      </c>
      <c r="K13" s="154">
        <v>23000</v>
      </c>
      <c r="L13" s="131" t="s">
        <v>113</v>
      </c>
      <c r="M13" s="133" t="s">
        <v>113</v>
      </c>
      <c r="N13" s="131">
        <f t="shared" si="0"/>
        <v>42620.5</v>
      </c>
      <c r="O13" s="4">
        <f t="shared" si="1"/>
        <v>49120.5</v>
      </c>
      <c r="P13" s="141"/>
      <c r="Q13" s="141"/>
      <c r="R13" s="141"/>
      <c r="S13" s="141"/>
      <c r="T13" s="141"/>
      <c r="U13" s="141"/>
      <c r="V13" s="141"/>
      <c r="W13" s="141"/>
      <c r="X13" s="141"/>
      <c r="Y13" s="141"/>
      <c r="Z13" s="141"/>
      <c r="AB13" s="3" t="s">
        <v>71</v>
      </c>
      <c r="AC13" s="3"/>
      <c r="AD13" s="3" t="str">
        <f t="shared" si="3"/>
        <v>_10.CongeladorSDDsinconexióndered</v>
      </c>
      <c r="AE13" s="3"/>
      <c r="AF13" s="3"/>
      <c r="AG13" s="3"/>
      <c r="AH13" s="3"/>
      <c r="AI13" s="24"/>
      <c r="AJ13" s="3"/>
    </row>
    <row r="14" spans="1:36" s="142" customFormat="1" ht="40.5" customHeight="1" x14ac:dyDescent="0.25">
      <c r="A14" s="145">
        <f t="shared" si="2"/>
        <v>11</v>
      </c>
      <c r="B14" s="14" t="s">
        <v>62</v>
      </c>
      <c r="C14" s="145" t="s">
        <v>124</v>
      </c>
      <c r="D14" s="150" t="s">
        <v>118</v>
      </c>
      <c r="E14" s="145" t="s">
        <v>131</v>
      </c>
      <c r="F14" s="144">
        <v>30000</v>
      </c>
      <c r="G14" s="140" t="s">
        <v>112</v>
      </c>
      <c r="H14" s="140" t="s">
        <v>112</v>
      </c>
      <c r="I14" s="148">
        <v>26072.899999999998</v>
      </c>
      <c r="J14" s="153">
        <v>16500</v>
      </c>
      <c r="K14" s="154">
        <v>23000</v>
      </c>
      <c r="L14" s="131" t="s">
        <v>113</v>
      </c>
      <c r="M14" s="133" t="s">
        <v>113</v>
      </c>
      <c r="N14" s="131">
        <f t="shared" si="0"/>
        <v>42572.899999999994</v>
      </c>
      <c r="O14" s="4">
        <f t="shared" si="1"/>
        <v>49072.899999999994</v>
      </c>
      <c r="P14" s="141"/>
      <c r="Q14" s="141"/>
      <c r="R14" s="141"/>
      <c r="S14" s="141"/>
      <c r="T14" s="141"/>
      <c r="U14" s="141"/>
      <c r="V14" s="141"/>
      <c r="W14" s="141"/>
      <c r="X14" s="141"/>
      <c r="Y14" s="141"/>
      <c r="Z14" s="141"/>
      <c r="AB14" s="24" t="s">
        <v>428</v>
      </c>
      <c r="AC14" s="3"/>
      <c r="AD14" s="3" t="str">
        <f t="shared" ref="AD14:AD21" si="4">SUBSTITUTE(AB14," ","")</f>
        <v>_11.Registradordetemperatura_30DTR</v>
      </c>
      <c r="AE14" s="3"/>
      <c r="AF14" s="3"/>
      <c r="AG14" s="3"/>
      <c r="AH14" s="3"/>
      <c r="AI14" s="24"/>
      <c r="AJ14" s="3"/>
    </row>
    <row r="15" spans="1:36" s="142" customFormat="1" ht="40.5" customHeight="1" x14ac:dyDescent="0.25">
      <c r="A15" s="145">
        <f t="shared" si="2"/>
        <v>12</v>
      </c>
      <c r="B15" s="14" t="s">
        <v>62</v>
      </c>
      <c r="C15" s="145" t="s">
        <v>124</v>
      </c>
      <c r="D15" s="150" t="s">
        <v>118</v>
      </c>
      <c r="E15" s="145" t="s">
        <v>132</v>
      </c>
      <c r="F15" s="144">
        <v>30000</v>
      </c>
      <c r="G15" s="140" t="s">
        <v>112</v>
      </c>
      <c r="H15" s="140" t="s">
        <v>112</v>
      </c>
      <c r="I15" s="148">
        <v>26775</v>
      </c>
      <c r="J15" s="153">
        <v>16500</v>
      </c>
      <c r="K15" s="154">
        <v>23000</v>
      </c>
      <c r="L15" s="131" t="s">
        <v>113</v>
      </c>
      <c r="M15" s="133" t="s">
        <v>113</v>
      </c>
      <c r="N15" s="131">
        <f t="shared" si="0"/>
        <v>43275</v>
      </c>
      <c r="O15" s="4">
        <f t="shared" si="1"/>
        <v>49775</v>
      </c>
      <c r="P15" s="141"/>
      <c r="Q15" s="141"/>
      <c r="R15" s="141"/>
      <c r="S15" s="141"/>
      <c r="T15" s="141"/>
      <c r="U15" s="141"/>
      <c r="V15" s="141"/>
      <c r="W15" s="141"/>
      <c r="X15" s="141"/>
      <c r="Y15" s="141"/>
      <c r="Z15" s="141"/>
      <c r="AB15" s="24" t="s">
        <v>429</v>
      </c>
      <c r="AC15" s="3"/>
      <c r="AD15" s="3" t="str">
        <f t="shared" si="4"/>
        <v>_12.Dispositivodemonitoreoremotodetemperatura_RTMD</v>
      </c>
      <c r="AE15" s="3"/>
      <c r="AF15" s="3"/>
      <c r="AG15" s="3"/>
      <c r="AH15" s="3"/>
      <c r="AI15" s="3"/>
      <c r="AJ15" s="3"/>
    </row>
    <row r="16" spans="1:36" s="142" customFormat="1" ht="40.5" customHeight="1" x14ac:dyDescent="0.25">
      <c r="A16" s="145">
        <f t="shared" si="2"/>
        <v>13</v>
      </c>
      <c r="B16" s="14" t="s">
        <v>62</v>
      </c>
      <c r="C16" s="145" t="s">
        <v>124</v>
      </c>
      <c r="D16" s="150" t="s">
        <v>121</v>
      </c>
      <c r="E16" s="145" t="s">
        <v>133</v>
      </c>
      <c r="F16" s="144">
        <v>30000</v>
      </c>
      <c r="G16" s="140" t="s">
        <v>112</v>
      </c>
      <c r="H16" s="140" t="s">
        <v>112</v>
      </c>
      <c r="I16" s="148">
        <v>22225.629999999997</v>
      </c>
      <c r="J16" s="153">
        <v>16500</v>
      </c>
      <c r="K16" s="154">
        <v>23000</v>
      </c>
      <c r="L16" s="131" t="s">
        <v>113</v>
      </c>
      <c r="M16" s="133" t="s">
        <v>113</v>
      </c>
      <c r="N16" s="131">
        <f t="shared" si="0"/>
        <v>38725.629999999997</v>
      </c>
      <c r="O16" s="4">
        <f t="shared" si="1"/>
        <v>45225.63</v>
      </c>
      <c r="P16" s="141"/>
      <c r="Q16" s="141"/>
      <c r="R16" s="141"/>
      <c r="S16" s="141"/>
      <c r="T16" s="141"/>
      <c r="U16" s="141"/>
      <c r="V16" s="141"/>
      <c r="W16" s="141"/>
      <c r="X16" s="141"/>
      <c r="Y16" s="141"/>
      <c r="Z16" s="141"/>
      <c r="AB16" s="24" t="s">
        <v>72</v>
      </c>
      <c r="AC16" s="3"/>
      <c r="AD16" s="3" t="str">
        <f t="shared" ref="AD16" si="5">SUBSTITUTE(AB16," ","")</f>
        <v>_13.Portavacunasestándar</v>
      </c>
      <c r="AE16" s="3"/>
      <c r="AF16" s="3"/>
      <c r="AG16" s="3"/>
      <c r="AH16" s="3"/>
      <c r="AI16" s="3"/>
      <c r="AJ16" s="3"/>
    </row>
    <row r="17" spans="1:36" s="142" customFormat="1" ht="40.5" customHeight="1" x14ac:dyDescent="0.25">
      <c r="A17" s="145">
        <f t="shared" si="2"/>
        <v>14</v>
      </c>
      <c r="B17" s="14" t="s">
        <v>62</v>
      </c>
      <c r="C17" s="145" t="s">
        <v>124</v>
      </c>
      <c r="D17" s="150" t="s">
        <v>121</v>
      </c>
      <c r="E17" s="145" t="s">
        <v>134</v>
      </c>
      <c r="F17" s="144">
        <v>30000</v>
      </c>
      <c r="G17" s="140" t="s">
        <v>112</v>
      </c>
      <c r="H17" s="140" t="s">
        <v>112</v>
      </c>
      <c r="I17" s="148">
        <v>25318.44</v>
      </c>
      <c r="J17" s="153">
        <v>16500</v>
      </c>
      <c r="K17" s="154">
        <v>23000</v>
      </c>
      <c r="L17" s="131" t="s">
        <v>113</v>
      </c>
      <c r="M17" s="133" t="s">
        <v>113</v>
      </c>
      <c r="N17" s="131">
        <f t="shared" si="0"/>
        <v>41818.44</v>
      </c>
      <c r="O17" s="4">
        <f t="shared" si="1"/>
        <v>48318.44</v>
      </c>
      <c r="P17" s="141"/>
      <c r="Q17" s="141"/>
      <c r="R17" s="141"/>
      <c r="S17" s="141"/>
      <c r="T17" s="141"/>
      <c r="U17" s="141"/>
      <c r="V17" s="141"/>
      <c r="W17" s="141"/>
      <c r="X17" s="141"/>
      <c r="Y17" s="141"/>
      <c r="Z17" s="141"/>
      <c r="AB17" s="24" t="s">
        <v>73</v>
      </c>
      <c r="AC17" s="3"/>
      <c r="AD17" s="3" t="str">
        <f t="shared" si="4"/>
        <v>_14.Portavacunasconcontroldecongelamiento</v>
      </c>
      <c r="AE17" s="3"/>
      <c r="AF17" s="3"/>
      <c r="AG17" s="3"/>
      <c r="AH17" s="3"/>
      <c r="AI17" s="24"/>
      <c r="AJ17" s="3"/>
    </row>
    <row r="18" spans="1:36" s="142" customFormat="1" ht="40.5" customHeight="1" x14ac:dyDescent="0.25">
      <c r="A18" s="145">
        <f t="shared" si="2"/>
        <v>15</v>
      </c>
      <c r="B18" s="14" t="s">
        <v>62</v>
      </c>
      <c r="C18" s="145" t="s">
        <v>135</v>
      </c>
      <c r="D18" s="150" t="s">
        <v>110</v>
      </c>
      <c r="E18" s="145" t="s">
        <v>136</v>
      </c>
      <c r="F18" s="144">
        <v>40000</v>
      </c>
      <c r="G18" s="140" t="s">
        <v>112</v>
      </c>
      <c r="H18" s="140" t="s">
        <v>112</v>
      </c>
      <c r="I18" s="148">
        <v>25132.633399999999</v>
      </c>
      <c r="J18" s="153">
        <v>18500</v>
      </c>
      <c r="K18" s="154">
        <v>26000</v>
      </c>
      <c r="L18" s="131" t="s">
        <v>113</v>
      </c>
      <c r="M18" s="133" t="s">
        <v>113</v>
      </c>
      <c r="N18" s="131">
        <f t="shared" si="0"/>
        <v>43632.633399999999</v>
      </c>
      <c r="O18" s="4">
        <f t="shared" si="1"/>
        <v>51132.633399999999</v>
      </c>
      <c r="P18" s="141"/>
      <c r="Q18" s="141"/>
      <c r="R18" s="141"/>
      <c r="S18" s="141"/>
      <c r="T18" s="141"/>
      <c r="U18" s="141"/>
      <c r="V18" s="141"/>
      <c r="W18" s="141"/>
      <c r="X18" s="141"/>
      <c r="Y18" s="141"/>
      <c r="Z18" s="141"/>
      <c r="AA18" s="3"/>
      <c r="AB18" s="24" t="s">
        <v>74</v>
      </c>
      <c r="AC18" s="3"/>
      <c r="AD18" s="3" t="str">
        <f t="shared" ref="AD18" si="6">SUBSTITUTE(AB18," ","")</f>
        <v>_15.Cajasfrigoríficasestándarparavacunas</v>
      </c>
      <c r="AE18" s="3"/>
      <c r="AF18" s="3"/>
      <c r="AG18" s="3"/>
      <c r="AH18" s="3"/>
      <c r="AI18" s="24"/>
      <c r="AJ18" s="3"/>
    </row>
    <row r="19" spans="1:36" s="142" customFormat="1" ht="40.5" customHeight="1" x14ac:dyDescent="0.25">
      <c r="A19" s="145">
        <f t="shared" si="2"/>
        <v>16</v>
      </c>
      <c r="B19" s="14" t="s">
        <v>62</v>
      </c>
      <c r="C19" s="145" t="s">
        <v>135</v>
      </c>
      <c r="D19" s="150" t="s">
        <v>114</v>
      </c>
      <c r="E19" s="145" t="s">
        <v>137</v>
      </c>
      <c r="F19" s="144">
        <v>40000</v>
      </c>
      <c r="G19" s="140" t="s">
        <v>112</v>
      </c>
      <c r="H19" s="140" t="s">
        <v>112</v>
      </c>
      <c r="I19" s="148">
        <v>21100</v>
      </c>
      <c r="J19" s="153">
        <v>18500</v>
      </c>
      <c r="K19" s="154">
        <v>26000</v>
      </c>
      <c r="L19" s="131" t="s">
        <v>113</v>
      </c>
      <c r="M19" s="133" t="s">
        <v>113</v>
      </c>
      <c r="N19" s="131">
        <f t="shared" si="0"/>
        <v>39600</v>
      </c>
      <c r="O19" s="4">
        <f t="shared" si="1"/>
        <v>47100</v>
      </c>
      <c r="P19" s="141"/>
      <c r="Q19" s="141"/>
      <c r="R19" s="141"/>
      <c r="S19" s="141"/>
      <c r="T19" s="141"/>
      <c r="U19" s="141"/>
      <c r="V19" s="141"/>
      <c r="W19" s="141"/>
      <c r="X19" s="141"/>
      <c r="Y19" s="141"/>
      <c r="Z19" s="141"/>
      <c r="AB19" s="24" t="s">
        <v>75</v>
      </c>
      <c r="AC19" s="3"/>
      <c r="AD19" s="3" t="str">
        <f t="shared" si="4"/>
        <v>_16.Cajasfrigoríficasconcontroldecongelamiento</v>
      </c>
      <c r="AE19" s="3"/>
      <c r="AF19" s="3"/>
      <c r="AG19" s="3"/>
      <c r="AH19" s="3"/>
      <c r="AI19" s="24"/>
      <c r="AJ19" s="3"/>
    </row>
    <row r="20" spans="1:36" s="142" customFormat="1" ht="40.5" customHeight="1" x14ac:dyDescent="0.25">
      <c r="A20" s="145">
        <f t="shared" si="2"/>
        <v>17</v>
      </c>
      <c r="B20" s="14" t="s">
        <v>62</v>
      </c>
      <c r="C20" s="145" t="s">
        <v>135</v>
      </c>
      <c r="D20" s="150" t="s">
        <v>114</v>
      </c>
      <c r="E20" s="145" t="s">
        <v>138</v>
      </c>
      <c r="F20" s="144">
        <v>40000</v>
      </c>
      <c r="G20" s="140" t="s">
        <v>112</v>
      </c>
      <c r="H20" s="140" t="s">
        <v>112</v>
      </c>
      <c r="I20" s="148">
        <v>23100</v>
      </c>
      <c r="J20" s="153">
        <v>18500</v>
      </c>
      <c r="K20" s="154">
        <v>26000</v>
      </c>
      <c r="L20" s="131" t="s">
        <v>113</v>
      </c>
      <c r="M20" s="133" t="s">
        <v>113</v>
      </c>
      <c r="N20" s="131">
        <f t="shared" si="0"/>
        <v>41600</v>
      </c>
      <c r="O20" s="4">
        <f t="shared" si="1"/>
        <v>49100</v>
      </c>
      <c r="P20" s="141"/>
      <c r="Q20" s="141"/>
      <c r="R20" s="141"/>
      <c r="S20" s="141"/>
      <c r="T20" s="141"/>
      <c r="U20" s="141"/>
      <c r="V20" s="141"/>
      <c r="W20" s="141"/>
      <c r="X20" s="141"/>
      <c r="Y20" s="141"/>
      <c r="Z20" s="141"/>
      <c r="AB20" s="3" t="s">
        <v>76</v>
      </c>
      <c r="AC20" s="3"/>
      <c r="AD20" s="3" t="str">
        <f t="shared" si="4"/>
        <v>_17.Reguladoresdevoltajeparaequipos</v>
      </c>
      <c r="AE20" s="3"/>
      <c r="AF20" s="3"/>
      <c r="AG20" s="3"/>
      <c r="AH20" s="3"/>
      <c r="AI20" s="24"/>
      <c r="AJ20" s="3"/>
    </row>
    <row r="21" spans="1:36" s="142" customFormat="1" ht="40.5" customHeight="1" x14ac:dyDescent="0.25">
      <c r="A21" s="145">
        <f t="shared" si="2"/>
        <v>18</v>
      </c>
      <c r="B21" s="14" t="s">
        <v>62</v>
      </c>
      <c r="C21" s="145" t="s">
        <v>135</v>
      </c>
      <c r="D21" s="150" t="s">
        <v>116</v>
      </c>
      <c r="E21" s="145" t="s">
        <v>139</v>
      </c>
      <c r="F21" s="144">
        <v>40000</v>
      </c>
      <c r="G21" s="140" t="s">
        <v>112</v>
      </c>
      <c r="H21" s="140" t="s">
        <v>112</v>
      </c>
      <c r="I21" s="148">
        <v>26596.5</v>
      </c>
      <c r="J21" s="153">
        <v>18500</v>
      </c>
      <c r="K21" s="154">
        <v>26000</v>
      </c>
      <c r="L21" s="131" t="s">
        <v>113</v>
      </c>
      <c r="M21" s="133" t="s">
        <v>113</v>
      </c>
      <c r="N21" s="131">
        <f t="shared" si="0"/>
        <v>45096.5</v>
      </c>
      <c r="O21" s="4">
        <f t="shared" si="1"/>
        <v>52596.5</v>
      </c>
      <c r="P21" s="141"/>
      <c r="Q21" s="141"/>
      <c r="R21" s="141"/>
      <c r="S21" s="141"/>
      <c r="T21" s="141"/>
      <c r="U21" s="141"/>
      <c r="V21" s="141"/>
      <c r="W21" s="141"/>
      <c r="X21" s="141"/>
      <c r="Y21" s="141"/>
      <c r="Z21" s="141"/>
      <c r="AB21" s="191" t="s">
        <v>77</v>
      </c>
      <c r="AD21" s="3" t="str">
        <f t="shared" si="4"/>
        <v>_18.Bolsasdehielo</v>
      </c>
      <c r="AF21" s="3"/>
      <c r="AG21" s="3"/>
      <c r="AH21" s="3"/>
      <c r="AI21" s="3"/>
      <c r="AJ21" s="3"/>
    </row>
    <row r="22" spans="1:36" s="142" customFormat="1" ht="40.5" customHeight="1" x14ac:dyDescent="0.25">
      <c r="A22" s="145">
        <f t="shared" si="2"/>
        <v>19</v>
      </c>
      <c r="B22" s="14" t="s">
        <v>62</v>
      </c>
      <c r="C22" s="145" t="s">
        <v>135</v>
      </c>
      <c r="D22" s="150" t="s">
        <v>116</v>
      </c>
      <c r="E22" s="145" t="s">
        <v>140</v>
      </c>
      <c r="F22" s="144">
        <v>40000</v>
      </c>
      <c r="G22" s="140" t="s">
        <v>112</v>
      </c>
      <c r="H22" s="140" t="s">
        <v>112</v>
      </c>
      <c r="I22" s="148">
        <v>30404.5</v>
      </c>
      <c r="J22" s="153">
        <v>18500</v>
      </c>
      <c r="K22" s="154">
        <v>26000</v>
      </c>
      <c r="L22" s="131" t="s">
        <v>113</v>
      </c>
      <c r="M22" s="133" t="s">
        <v>113</v>
      </c>
      <c r="N22" s="131">
        <f t="shared" si="0"/>
        <v>48904.5</v>
      </c>
      <c r="O22" s="4">
        <f t="shared" si="1"/>
        <v>56404.5</v>
      </c>
      <c r="P22" s="141"/>
      <c r="Q22" s="141"/>
      <c r="R22" s="141"/>
      <c r="S22" s="141"/>
      <c r="T22" s="141"/>
      <c r="U22" s="141"/>
      <c r="V22" s="141"/>
      <c r="W22" s="141"/>
      <c r="X22" s="141"/>
      <c r="Y22" s="141"/>
      <c r="Z22" s="141"/>
      <c r="AB22" s="24" t="s">
        <v>78</v>
      </c>
      <c r="AC22" s="3"/>
      <c r="AD22" s="3" t="str">
        <f t="shared" ref="AD22:AD27" si="7">SUBSTITUTE(AB22," ","")</f>
        <v>_19.PiezasparanuevosequiposILRsincongelador</v>
      </c>
      <c r="AE22" s="3"/>
      <c r="AF22" s="3"/>
      <c r="AG22" s="3"/>
      <c r="AH22" s="3"/>
      <c r="AI22" s="24"/>
      <c r="AJ22" s="3"/>
    </row>
    <row r="23" spans="1:36" s="142" customFormat="1" ht="40.5" customHeight="1" x14ac:dyDescent="0.25">
      <c r="A23" s="145">
        <f t="shared" si="2"/>
        <v>20</v>
      </c>
      <c r="B23" s="14" t="s">
        <v>62</v>
      </c>
      <c r="C23" s="145" t="s">
        <v>135</v>
      </c>
      <c r="D23" s="150" t="s">
        <v>118</v>
      </c>
      <c r="E23" s="145" t="s">
        <v>141</v>
      </c>
      <c r="F23" s="144">
        <v>40000</v>
      </c>
      <c r="G23" s="140" t="s">
        <v>112</v>
      </c>
      <c r="H23" s="140" t="s">
        <v>112</v>
      </c>
      <c r="I23" s="148">
        <v>27988.799999999999</v>
      </c>
      <c r="J23" s="153">
        <v>18500</v>
      </c>
      <c r="K23" s="154">
        <v>26000</v>
      </c>
      <c r="L23" s="131" t="s">
        <v>113</v>
      </c>
      <c r="M23" s="133" t="s">
        <v>113</v>
      </c>
      <c r="N23" s="131">
        <f t="shared" si="0"/>
        <v>46488.800000000003</v>
      </c>
      <c r="O23" s="4">
        <f t="shared" si="1"/>
        <v>53988.800000000003</v>
      </c>
      <c r="P23" s="141"/>
      <c r="Q23" s="141"/>
      <c r="R23" s="141"/>
      <c r="S23" s="141"/>
      <c r="T23" s="141"/>
      <c r="U23" s="141"/>
      <c r="V23" s="141"/>
      <c r="W23" s="141"/>
      <c r="X23" s="141"/>
      <c r="Y23" s="141"/>
      <c r="Z23" s="141"/>
      <c r="AB23" s="3" t="s">
        <v>79</v>
      </c>
      <c r="AC23" s="3"/>
      <c r="AD23" s="3" t="str">
        <f t="shared" si="7"/>
        <v>_20.PiezasparanuevosequiposILRconcongelador</v>
      </c>
      <c r="AE23" s="3"/>
      <c r="AF23" s="3"/>
      <c r="AG23" s="3"/>
      <c r="AH23" s="3"/>
      <c r="AI23" s="3"/>
      <c r="AJ23" s="3"/>
    </row>
    <row r="24" spans="1:36" s="142" customFormat="1" ht="40.5" customHeight="1" x14ac:dyDescent="0.25">
      <c r="A24" s="145">
        <f t="shared" si="2"/>
        <v>21</v>
      </c>
      <c r="B24" s="14" t="s">
        <v>62</v>
      </c>
      <c r="C24" s="145" t="s">
        <v>135</v>
      </c>
      <c r="D24" s="150" t="s">
        <v>118</v>
      </c>
      <c r="E24" s="145" t="s">
        <v>142</v>
      </c>
      <c r="F24" s="144">
        <v>40000</v>
      </c>
      <c r="G24" s="140" t="s">
        <v>112</v>
      </c>
      <c r="H24" s="140" t="s">
        <v>112</v>
      </c>
      <c r="I24" s="148">
        <v>28702.799999999999</v>
      </c>
      <c r="J24" s="153">
        <v>18500</v>
      </c>
      <c r="K24" s="154">
        <v>26000</v>
      </c>
      <c r="L24" s="131" t="s">
        <v>113</v>
      </c>
      <c r="M24" s="133" t="s">
        <v>113</v>
      </c>
      <c r="N24" s="131">
        <f t="shared" si="0"/>
        <v>47202.8</v>
      </c>
      <c r="O24" s="4">
        <f t="shared" si="1"/>
        <v>54702.8</v>
      </c>
      <c r="P24" s="141"/>
      <c r="Q24" s="141"/>
      <c r="R24" s="141"/>
      <c r="S24" s="141"/>
      <c r="T24" s="141"/>
      <c r="U24" s="141"/>
      <c r="V24" s="141"/>
      <c r="W24" s="141"/>
      <c r="X24" s="141"/>
      <c r="Y24" s="141"/>
      <c r="Z24" s="141"/>
      <c r="AB24" s="3" t="s">
        <v>80</v>
      </c>
      <c r="AC24" s="3"/>
      <c r="AD24" s="3" t="str">
        <f t="shared" si="7"/>
        <v>_21.Piezasparanuevoscongeladores</v>
      </c>
      <c r="AE24" s="3"/>
    </row>
    <row r="25" spans="1:36" s="142" customFormat="1" ht="40.5" customHeight="1" x14ac:dyDescent="0.25">
      <c r="A25" s="145">
        <f t="shared" si="2"/>
        <v>22</v>
      </c>
      <c r="B25" s="14" t="s">
        <v>62</v>
      </c>
      <c r="C25" s="145" t="s">
        <v>135</v>
      </c>
      <c r="D25" s="150" t="s">
        <v>121</v>
      </c>
      <c r="E25" s="145" t="s">
        <v>143</v>
      </c>
      <c r="F25" s="144">
        <v>40000</v>
      </c>
      <c r="G25" s="140" t="s">
        <v>112</v>
      </c>
      <c r="H25" s="140" t="s">
        <v>112</v>
      </c>
      <c r="I25" s="148">
        <v>25007.85</v>
      </c>
      <c r="J25" s="153">
        <v>18500</v>
      </c>
      <c r="K25" s="154">
        <v>26000</v>
      </c>
      <c r="L25" s="131" t="s">
        <v>113</v>
      </c>
      <c r="M25" s="133" t="s">
        <v>113</v>
      </c>
      <c r="N25" s="131">
        <f t="shared" si="0"/>
        <v>43507.85</v>
      </c>
      <c r="O25" s="4">
        <f t="shared" si="1"/>
        <v>51007.85</v>
      </c>
      <c r="P25" s="141"/>
      <c r="Q25" s="141"/>
      <c r="R25" s="141"/>
      <c r="S25" s="141"/>
      <c r="T25" s="141"/>
      <c r="U25" s="141"/>
      <c r="V25" s="141"/>
      <c r="W25" s="141"/>
      <c r="X25" s="141"/>
      <c r="Y25" s="141"/>
      <c r="Z25" s="141"/>
      <c r="AB25" s="3" t="s">
        <v>81</v>
      </c>
      <c r="AC25" s="3"/>
      <c r="AD25" s="3" t="str">
        <f t="shared" si="7"/>
        <v>_22.PiezasparanuevosequiposSDDsincongelador</v>
      </c>
    </row>
    <row r="26" spans="1:36" s="142" customFormat="1" ht="40.5" customHeight="1" x14ac:dyDescent="0.25">
      <c r="A26" s="145">
        <f t="shared" si="2"/>
        <v>23</v>
      </c>
      <c r="B26" s="14" t="s">
        <v>62</v>
      </c>
      <c r="C26" s="145" t="s">
        <v>135</v>
      </c>
      <c r="D26" s="150" t="s">
        <v>121</v>
      </c>
      <c r="E26" s="145" t="s">
        <v>144</v>
      </c>
      <c r="F26" s="144">
        <v>40000</v>
      </c>
      <c r="G26" s="140" t="s">
        <v>112</v>
      </c>
      <c r="H26" s="140" t="s">
        <v>112</v>
      </c>
      <c r="I26" s="148">
        <v>28492.17</v>
      </c>
      <c r="J26" s="153">
        <v>18500</v>
      </c>
      <c r="K26" s="154">
        <v>26000</v>
      </c>
      <c r="L26" s="131" t="s">
        <v>113</v>
      </c>
      <c r="M26" s="133" t="s">
        <v>113</v>
      </c>
      <c r="N26" s="131">
        <f t="shared" si="0"/>
        <v>46992.17</v>
      </c>
      <c r="O26" s="4">
        <f t="shared" si="1"/>
        <v>54492.17</v>
      </c>
      <c r="P26" s="141"/>
      <c r="Q26" s="141"/>
      <c r="R26" s="141"/>
      <c r="S26" s="141"/>
      <c r="T26" s="141"/>
      <c r="U26" s="141"/>
      <c r="V26" s="141"/>
      <c r="W26" s="141"/>
      <c r="X26" s="141"/>
      <c r="Y26" s="141"/>
      <c r="Z26" s="141"/>
      <c r="AB26" s="3" t="s">
        <v>82</v>
      </c>
      <c r="AC26" s="3"/>
      <c r="AD26" s="3" t="str">
        <f t="shared" si="7"/>
        <v>_23.PiezasparanuevosequiposSDDconcongelador</v>
      </c>
    </row>
    <row r="27" spans="1:36" s="142" customFormat="1" ht="40.5" customHeight="1" x14ac:dyDescent="0.25">
      <c r="A27" s="145">
        <f t="shared" si="2"/>
        <v>24</v>
      </c>
      <c r="B27" s="14" t="s">
        <v>63</v>
      </c>
      <c r="C27" s="145" t="s">
        <v>135</v>
      </c>
      <c r="D27" s="150" t="s">
        <v>114</v>
      </c>
      <c r="E27" s="145" t="s">
        <v>137</v>
      </c>
      <c r="F27" s="144">
        <v>25000</v>
      </c>
      <c r="G27" s="144">
        <v>15000</v>
      </c>
      <c r="H27" s="140" t="s">
        <v>112</v>
      </c>
      <c r="I27" s="148">
        <v>27500</v>
      </c>
      <c r="J27" s="153">
        <v>26000</v>
      </c>
      <c r="K27" s="154">
        <v>38000</v>
      </c>
      <c r="L27" s="131" t="s">
        <v>113</v>
      </c>
      <c r="M27" s="133" t="s">
        <v>113</v>
      </c>
      <c r="N27" s="131">
        <f t="shared" si="0"/>
        <v>53500</v>
      </c>
      <c r="O27" s="4">
        <f t="shared" si="1"/>
        <v>65500</v>
      </c>
      <c r="P27" s="141"/>
      <c r="Q27" s="141"/>
      <c r="R27" s="141"/>
      <c r="S27" s="141"/>
      <c r="T27" s="141"/>
      <c r="U27" s="141"/>
      <c r="V27" s="141"/>
      <c r="W27" s="141"/>
      <c r="X27" s="141"/>
      <c r="Y27" s="141"/>
      <c r="Z27" s="141"/>
      <c r="AB27" s="3" t="s">
        <v>83</v>
      </c>
      <c r="AC27" s="3"/>
      <c r="AD27" s="3" t="str">
        <f t="shared" si="7"/>
        <v>_24.PiezasparanuevoscongeladoresSDD</v>
      </c>
    </row>
    <row r="28" spans="1:36" s="142" customFormat="1" ht="40.5" customHeight="1" x14ac:dyDescent="0.25">
      <c r="A28" s="145">
        <f t="shared" si="2"/>
        <v>25</v>
      </c>
      <c r="B28" s="14" t="s">
        <v>63</v>
      </c>
      <c r="C28" s="145" t="s">
        <v>135</v>
      </c>
      <c r="D28" s="150" t="s">
        <v>114</v>
      </c>
      <c r="E28" s="145" t="s">
        <v>138</v>
      </c>
      <c r="F28" s="144">
        <v>25000</v>
      </c>
      <c r="G28" s="144">
        <v>15000</v>
      </c>
      <c r="H28" s="140" t="s">
        <v>112</v>
      </c>
      <c r="I28" s="148">
        <v>36500</v>
      </c>
      <c r="J28" s="153">
        <v>26000</v>
      </c>
      <c r="K28" s="154">
        <v>38000</v>
      </c>
      <c r="L28" s="131" t="s">
        <v>113</v>
      </c>
      <c r="M28" s="133" t="s">
        <v>113</v>
      </c>
      <c r="N28" s="131">
        <f t="shared" si="0"/>
        <v>62500</v>
      </c>
      <c r="O28" s="4">
        <f t="shared" si="1"/>
        <v>74500</v>
      </c>
      <c r="P28" s="141"/>
      <c r="Q28" s="141"/>
      <c r="R28" s="141"/>
      <c r="S28" s="141"/>
      <c r="T28" s="141"/>
      <c r="U28" s="141"/>
      <c r="V28" s="141"/>
      <c r="W28" s="141"/>
      <c r="X28" s="141"/>
      <c r="Y28" s="141"/>
      <c r="Z28" s="141"/>
      <c r="AB28" s="143"/>
    </row>
    <row r="29" spans="1:36" s="142" customFormat="1" ht="40.5" customHeight="1" x14ac:dyDescent="0.25">
      <c r="A29" s="145">
        <f t="shared" si="2"/>
        <v>26</v>
      </c>
      <c r="B29" s="14" t="s">
        <v>63</v>
      </c>
      <c r="C29" s="145" t="s">
        <v>135</v>
      </c>
      <c r="D29" s="150" t="s">
        <v>116</v>
      </c>
      <c r="E29" s="145" t="s">
        <v>139</v>
      </c>
      <c r="F29" s="144">
        <v>25000</v>
      </c>
      <c r="G29" s="144">
        <v>15000</v>
      </c>
      <c r="H29" s="140" t="s">
        <v>112</v>
      </c>
      <c r="I29" s="148">
        <v>34596</v>
      </c>
      <c r="J29" s="153">
        <v>26000</v>
      </c>
      <c r="K29" s="154">
        <v>38000</v>
      </c>
      <c r="L29" s="131" t="s">
        <v>113</v>
      </c>
      <c r="M29" s="133" t="s">
        <v>113</v>
      </c>
      <c r="N29" s="131">
        <f t="shared" si="0"/>
        <v>60596</v>
      </c>
      <c r="O29" s="4">
        <f t="shared" si="1"/>
        <v>72596</v>
      </c>
      <c r="P29" s="141"/>
      <c r="Q29" s="141"/>
      <c r="R29" s="141"/>
      <c r="S29" s="141"/>
      <c r="T29" s="141"/>
      <c r="U29" s="141"/>
      <c r="V29" s="141"/>
      <c r="W29" s="141"/>
      <c r="X29" s="141"/>
      <c r="Y29" s="141"/>
      <c r="Z29" s="141"/>
      <c r="AB29" s="143"/>
    </row>
    <row r="30" spans="1:36" s="142" customFormat="1" ht="40.5" customHeight="1" x14ac:dyDescent="0.25">
      <c r="A30" s="145">
        <f t="shared" si="2"/>
        <v>27</v>
      </c>
      <c r="B30" s="14" t="s">
        <v>63</v>
      </c>
      <c r="C30" s="145" t="s">
        <v>135</v>
      </c>
      <c r="D30" s="150" t="s">
        <v>116</v>
      </c>
      <c r="E30" s="145" t="s">
        <v>140</v>
      </c>
      <c r="F30" s="144">
        <v>25000</v>
      </c>
      <c r="G30" s="144">
        <v>15000</v>
      </c>
      <c r="H30" s="140" t="s">
        <v>112</v>
      </c>
      <c r="I30" s="148">
        <v>43099</v>
      </c>
      <c r="J30" s="153">
        <v>26000</v>
      </c>
      <c r="K30" s="154">
        <v>38000</v>
      </c>
      <c r="L30" s="131" t="s">
        <v>113</v>
      </c>
      <c r="M30" s="133" t="s">
        <v>113</v>
      </c>
      <c r="N30" s="131">
        <f t="shared" si="0"/>
        <v>69099</v>
      </c>
      <c r="O30" s="4">
        <f t="shared" si="1"/>
        <v>81099</v>
      </c>
      <c r="P30" s="141"/>
      <c r="Q30" s="141"/>
      <c r="R30" s="141"/>
      <c r="S30" s="141"/>
      <c r="T30" s="141"/>
      <c r="U30" s="141"/>
      <c r="V30" s="141"/>
      <c r="W30" s="141"/>
      <c r="X30" s="141"/>
      <c r="Y30" s="141"/>
      <c r="Z30" s="141"/>
      <c r="AB30" s="143"/>
    </row>
    <row r="31" spans="1:36" s="142" customFormat="1" ht="40.5" customHeight="1" x14ac:dyDescent="0.25">
      <c r="A31" s="145">
        <f t="shared" si="2"/>
        <v>28</v>
      </c>
      <c r="B31" s="14" t="s">
        <v>63</v>
      </c>
      <c r="C31" s="145" t="s">
        <v>135</v>
      </c>
      <c r="D31" s="150" t="s">
        <v>118</v>
      </c>
      <c r="E31" s="145" t="s">
        <v>141</v>
      </c>
      <c r="F31" s="144">
        <v>25000</v>
      </c>
      <c r="G31" s="144">
        <v>15000</v>
      </c>
      <c r="H31" s="140" t="s">
        <v>112</v>
      </c>
      <c r="I31" s="148">
        <v>45439</v>
      </c>
      <c r="J31" s="153">
        <v>26000</v>
      </c>
      <c r="K31" s="154">
        <v>38000</v>
      </c>
      <c r="L31" s="131" t="s">
        <v>113</v>
      </c>
      <c r="M31" s="133" t="s">
        <v>113</v>
      </c>
      <c r="N31" s="131">
        <f t="shared" si="0"/>
        <v>71439</v>
      </c>
      <c r="O31" s="4">
        <f t="shared" si="1"/>
        <v>83439</v>
      </c>
      <c r="P31" s="141"/>
      <c r="Q31" s="141"/>
      <c r="R31" s="141"/>
      <c r="S31" s="141"/>
      <c r="T31" s="141"/>
      <c r="U31" s="141"/>
      <c r="V31" s="141"/>
      <c r="W31" s="141"/>
      <c r="X31" s="141"/>
      <c r="Y31" s="141"/>
      <c r="Z31" s="141"/>
      <c r="AB31" s="143"/>
    </row>
    <row r="32" spans="1:36" s="142" customFormat="1" ht="40.5" customHeight="1" x14ac:dyDescent="0.25">
      <c r="A32" s="145">
        <f t="shared" si="2"/>
        <v>29</v>
      </c>
      <c r="B32" s="14" t="s">
        <v>63</v>
      </c>
      <c r="C32" s="145" t="s">
        <v>135</v>
      </c>
      <c r="D32" s="150" t="s">
        <v>118</v>
      </c>
      <c r="E32" s="145" t="s">
        <v>142</v>
      </c>
      <c r="F32" s="144">
        <v>25000</v>
      </c>
      <c r="G32" s="144">
        <v>15000</v>
      </c>
      <c r="H32" s="140" t="s">
        <v>112</v>
      </c>
      <c r="I32" s="148">
        <v>48339</v>
      </c>
      <c r="J32" s="153">
        <v>26000</v>
      </c>
      <c r="K32" s="154">
        <v>38000</v>
      </c>
      <c r="L32" s="131" t="s">
        <v>113</v>
      </c>
      <c r="M32" s="133" t="s">
        <v>113</v>
      </c>
      <c r="N32" s="131">
        <f t="shared" si="0"/>
        <v>74339</v>
      </c>
      <c r="O32" s="4">
        <f t="shared" si="1"/>
        <v>86339</v>
      </c>
      <c r="P32" s="141"/>
      <c r="Q32" s="141"/>
      <c r="R32" s="141"/>
      <c r="S32" s="141"/>
      <c r="T32" s="141"/>
      <c r="U32" s="141"/>
      <c r="V32" s="141"/>
      <c r="W32" s="141"/>
      <c r="X32" s="141"/>
      <c r="Y32" s="141"/>
      <c r="Z32" s="141"/>
      <c r="AB32" s="143"/>
    </row>
    <row r="33" spans="1:30" s="142" customFormat="1" ht="40.5" customHeight="1" x14ac:dyDescent="0.25">
      <c r="A33" s="145">
        <f t="shared" si="2"/>
        <v>30</v>
      </c>
      <c r="B33" s="14" t="s">
        <v>63</v>
      </c>
      <c r="C33" s="145" t="s">
        <v>135</v>
      </c>
      <c r="D33" s="150" t="s">
        <v>121</v>
      </c>
      <c r="E33" s="145" t="s">
        <v>143</v>
      </c>
      <c r="F33" s="144">
        <v>25000</v>
      </c>
      <c r="G33" s="144">
        <v>15000</v>
      </c>
      <c r="H33" s="140" t="s">
        <v>112</v>
      </c>
      <c r="I33" s="148">
        <v>38626</v>
      </c>
      <c r="J33" s="153">
        <v>26000</v>
      </c>
      <c r="K33" s="154">
        <v>38000</v>
      </c>
      <c r="L33" s="131" t="s">
        <v>113</v>
      </c>
      <c r="M33" s="133" t="s">
        <v>113</v>
      </c>
      <c r="N33" s="131">
        <f t="shared" si="0"/>
        <v>64626</v>
      </c>
      <c r="O33" s="4">
        <f t="shared" si="1"/>
        <v>76626</v>
      </c>
      <c r="P33" s="141"/>
      <c r="Q33" s="141"/>
      <c r="R33" s="141"/>
      <c r="S33" s="141"/>
      <c r="T33" s="141"/>
      <c r="U33" s="141"/>
      <c r="V33" s="141"/>
      <c r="W33" s="141"/>
      <c r="X33" s="141"/>
      <c r="Y33" s="141"/>
      <c r="Z33" s="141"/>
      <c r="AB33" s="143"/>
    </row>
    <row r="34" spans="1:30" s="142" customFormat="1" ht="40.5" customHeight="1" x14ac:dyDescent="0.25">
      <c r="A34" s="145">
        <f t="shared" si="2"/>
        <v>31</v>
      </c>
      <c r="B34" s="14" t="s">
        <v>63</v>
      </c>
      <c r="C34" s="145" t="s">
        <v>135</v>
      </c>
      <c r="D34" s="150" t="s">
        <v>121</v>
      </c>
      <c r="E34" s="145" t="s">
        <v>144</v>
      </c>
      <c r="F34" s="144">
        <v>25000</v>
      </c>
      <c r="G34" s="144">
        <v>15000</v>
      </c>
      <c r="H34" s="140" t="s">
        <v>112</v>
      </c>
      <c r="I34" s="148">
        <v>45680</v>
      </c>
      <c r="J34" s="153">
        <v>26000</v>
      </c>
      <c r="K34" s="154">
        <v>38000</v>
      </c>
      <c r="L34" s="131" t="s">
        <v>113</v>
      </c>
      <c r="M34" s="133" t="s">
        <v>113</v>
      </c>
      <c r="N34" s="131">
        <f t="shared" si="0"/>
        <v>71680</v>
      </c>
      <c r="O34" s="4">
        <f t="shared" si="1"/>
        <v>83680</v>
      </c>
      <c r="P34" s="141"/>
      <c r="Q34" s="141"/>
      <c r="R34" s="141"/>
      <c r="S34" s="141"/>
      <c r="T34" s="141"/>
      <c r="U34" s="141"/>
      <c r="V34" s="141"/>
      <c r="W34" s="141"/>
      <c r="X34" s="141"/>
      <c r="Y34" s="141"/>
      <c r="Z34" s="141"/>
      <c r="AB34" s="143"/>
    </row>
    <row r="35" spans="1:30" s="142" customFormat="1" ht="40.5" customHeight="1" x14ac:dyDescent="0.25">
      <c r="A35" s="145">
        <f t="shared" si="2"/>
        <v>32</v>
      </c>
      <c r="B35" s="14" t="s">
        <v>64</v>
      </c>
      <c r="C35" s="145" t="s">
        <v>109</v>
      </c>
      <c r="D35" s="150" t="s">
        <v>112</v>
      </c>
      <c r="E35" s="145" t="s">
        <v>109</v>
      </c>
      <c r="F35" s="144">
        <v>10000</v>
      </c>
      <c r="G35" s="140" t="s">
        <v>112</v>
      </c>
      <c r="H35" s="140" t="s">
        <v>112</v>
      </c>
      <c r="I35" s="148">
        <v>5500</v>
      </c>
      <c r="J35" s="153" t="s">
        <v>113</v>
      </c>
      <c r="K35" s="154" t="s">
        <v>113</v>
      </c>
      <c r="L35" s="131" t="s">
        <v>113</v>
      </c>
      <c r="M35" s="133" t="s">
        <v>113</v>
      </c>
      <c r="N35" s="131">
        <f t="shared" ref="N35" si="8">I35</f>
        <v>5500</v>
      </c>
      <c r="O35" s="131">
        <f t="shared" ref="O35" si="9">I35</f>
        <v>5500</v>
      </c>
      <c r="P35" s="141"/>
      <c r="Q35" s="141"/>
      <c r="R35" s="141"/>
      <c r="S35" s="141"/>
      <c r="T35" s="141"/>
      <c r="U35" s="141"/>
      <c r="V35" s="141"/>
      <c r="W35" s="141"/>
      <c r="X35" s="141"/>
      <c r="Y35" s="141"/>
      <c r="Z35" s="141"/>
      <c r="AB35" s="143"/>
    </row>
    <row r="36" spans="1:30" s="142" customFormat="1" ht="40.5" customHeight="1" x14ac:dyDescent="0.25">
      <c r="A36" s="145">
        <f t="shared" si="2"/>
        <v>33</v>
      </c>
      <c r="B36" s="14" t="s">
        <v>64</v>
      </c>
      <c r="C36" s="145" t="s">
        <v>145</v>
      </c>
      <c r="D36" s="150" t="s">
        <v>112</v>
      </c>
      <c r="E36" s="145" t="s">
        <v>145</v>
      </c>
      <c r="F36" s="144">
        <v>20000</v>
      </c>
      <c r="G36" s="140" t="s">
        <v>112</v>
      </c>
      <c r="H36" s="140" t="s">
        <v>112</v>
      </c>
      <c r="I36" s="148">
        <v>8500</v>
      </c>
      <c r="J36" s="153" t="s">
        <v>113</v>
      </c>
      <c r="K36" s="154" t="s">
        <v>113</v>
      </c>
      <c r="L36" s="131" t="s">
        <v>113</v>
      </c>
      <c r="M36" s="133" t="s">
        <v>113</v>
      </c>
      <c r="N36" s="131">
        <f t="shared" ref="N36:N38" si="10">I36</f>
        <v>8500</v>
      </c>
      <c r="O36" s="131">
        <f t="shared" ref="O36:O38" si="11">I36</f>
        <v>8500</v>
      </c>
      <c r="P36" s="141"/>
      <c r="Q36" s="141"/>
      <c r="R36" s="141"/>
      <c r="S36" s="141"/>
      <c r="T36" s="141"/>
      <c r="U36" s="141"/>
      <c r="V36" s="141"/>
      <c r="W36" s="141"/>
      <c r="X36" s="141"/>
      <c r="Y36" s="141"/>
      <c r="Z36" s="141"/>
      <c r="AB36" s="143"/>
    </row>
    <row r="37" spans="1:30" s="142" customFormat="1" ht="40.5" customHeight="1" x14ac:dyDescent="0.25">
      <c r="A37" s="145">
        <f t="shared" si="2"/>
        <v>34</v>
      </c>
      <c r="B37" s="14" t="s">
        <v>64</v>
      </c>
      <c r="C37" s="145" t="s">
        <v>124</v>
      </c>
      <c r="D37" s="150" t="s">
        <v>112</v>
      </c>
      <c r="E37" s="145" t="s">
        <v>124</v>
      </c>
      <c r="F37" s="144">
        <v>30000</v>
      </c>
      <c r="G37" s="140" t="s">
        <v>112</v>
      </c>
      <c r="H37" s="140" t="s">
        <v>112</v>
      </c>
      <c r="I37" s="148">
        <v>8500</v>
      </c>
      <c r="J37" s="171" t="s">
        <v>113</v>
      </c>
      <c r="K37" s="172" t="s">
        <v>113</v>
      </c>
      <c r="L37" s="131" t="s">
        <v>113</v>
      </c>
      <c r="M37" s="133" t="s">
        <v>113</v>
      </c>
      <c r="N37" s="131">
        <f t="shared" si="10"/>
        <v>8500</v>
      </c>
      <c r="O37" s="131">
        <f t="shared" si="11"/>
        <v>8500</v>
      </c>
      <c r="P37" s="141"/>
      <c r="Q37" s="141"/>
      <c r="R37" s="141"/>
      <c r="S37" s="141"/>
      <c r="T37" s="141"/>
      <c r="U37" s="141"/>
      <c r="V37" s="141"/>
      <c r="W37" s="141"/>
      <c r="X37" s="141"/>
      <c r="Y37" s="141"/>
      <c r="Z37" s="141"/>
      <c r="AB37" s="143"/>
    </row>
    <row r="38" spans="1:30" s="142" customFormat="1" ht="40.5" customHeight="1" x14ac:dyDescent="0.25">
      <c r="A38" s="145">
        <f t="shared" si="2"/>
        <v>35</v>
      </c>
      <c r="B38" s="14" t="s">
        <v>64</v>
      </c>
      <c r="C38" s="145" t="s">
        <v>135</v>
      </c>
      <c r="D38" s="150" t="s">
        <v>112</v>
      </c>
      <c r="E38" s="145" t="s">
        <v>135</v>
      </c>
      <c r="F38" s="144">
        <v>40000</v>
      </c>
      <c r="G38" s="140" t="s">
        <v>112</v>
      </c>
      <c r="H38" s="140" t="s">
        <v>112</v>
      </c>
      <c r="I38" s="148">
        <v>9500</v>
      </c>
      <c r="J38" s="171" t="s">
        <v>113</v>
      </c>
      <c r="K38" s="172" t="s">
        <v>113</v>
      </c>
      <c r="L38" s="131" t="s">
        <v>113</v>
      </c>
      <c r="M38" s="133" t="s">
        <v>113</v>
      </c>
      <c r="N38" s="131">
        <f t="shared" si="10"/>
        <v>9500</v>
      </c>
      <c r="O38" s="131">
        <f t="shared" si="11"/>
        <v>9500</v>
      </c>
      <c r="P38" s="141"/>
      <c r="Q38" s="141"/>
      <c r="R38" s="141"/>
      <c r="S38" s="141"/>
      <c r="T38" s="141"/>
      <c r="U38" s="141"/>
      <c r="V38" s="141"/>
      <c r="W38" s="141"/>
      <c r="X38" s="141"/>
      <c r="Y38" s="141"/>
      <c r="Z38" s="141"/>
      <c r="AB38" s="143"/>
    </row>
    <row r="39" spans="1:30" s="142" customFormat="1" ht="40.5" customHeight="1" x14ac:dyDescent="0.25">
      <c r="A39" s="145">
        <f t="shared" si="2"/>
        <v>36</v>
      </c>
      <c r="B39" s="14" t="s">
        <v>146</v>
      </c>
      <c r="C39" s="145" t="s">
        <v>109</v>
      </c>
      <c r="D39" s="150" t="s">
        <v>112</v>
      </c>
      <c r="E39" s="145" t="s">
        <v>147</v>
      </c>
      <c r="F39" s="144">
        <v>10000</v>
      </c>
      <c r="G39" s="144" t="s">
        <v>112</v>
      </c>
      <c r="H39" s="140" t="s">
        <v>112</v>
      </c>
      <c r="I39" s="148">
        <v>16550</v>
      </c>
      <c r="J39" s="171" t="s">
        <v>113</v>
      </c>
      <c r="K39" s="172" t="s">
        <v>113</v>
      </c>
      <c r="L39" s="131" t="s">
        <v>113</v>
      </c>
      <c r="M39" s="133" t="s">
        <v>113</v>
      </c>
      <c r="N39" s="131">
        <f>I39</f>
        <v>16550</v>
      </c>
      <c r="O39" s="131">
        <f>I39</f>
        <v>16550</v>
      </c>
      <c r="P39" s="141"/>
      <c r="Q39" s="141"/>
      <c r="R39" s="141"/>
      <c r="S39" s="141"/>
      <c r="T39" s="141"/>
      <c r="U39" s="141"/>
      <c r="V39" s="141"/>
      <c r="W39" s="141"/>
      <c r="X39" s="141"/>
      <c r="Y39" s="141"/>
      <c r="Z39" s="141"/>
      <c r="AB39" s="143"/>
    </row>
    <row r="40" spans="1:30" s="142" customFormat="1" ht="40.5" customHeight="1" x14ac:dyDescent="0.25">
      <c r="A40" s="145">
        <f t="shared" si="2"/>
        <v>37</v>
      </c>
      <c r="B40" s="14" t="s">
        <v>146</v>
      </c>
      <c r="C40" s="145" t="s">
        <v>145</v>
      </c>
      <c r="D40" s="150" t="s">
        <v>112</v>
      </c>
      <c r="E40" s="145" t="s">
        <v>148</v>
      </c>
      <c r="F40" s="144">
        <v>20000</v>
      </c>
      <c r="G40" s="144" t="s">
        <v>112</v>
      </c>
      <c r="H40" s="140" t="s">
        <v>112</v>
      </c>
      <c r="I40" s="148">
        <v>26605.25</v>
      </c>
      <c r="J40" s="171" t="s">
        <v>113</v>
      </c>
      <c r="K40" s="172" t="s">
        <v>113</v>
      </c>
      <c r="L40" s="131" t="s">
        <v>113</v>
      </c>
      <c r="M40" s="133" t="s">
        <v>113</v>
      </c>
      <c r="N40" s="131">
        <f t="shared" ref="N40:N42" si="12">I40</f>
        <v>26605.25</v>
      </c>
      <c r="O40" s="131">
        <f t="shared" ref="O40:O42" si="13">I40</f>
        <v>26605.25</v>
      </c>
      <c r="P40" s="141"/>
      <c r="Q40" s="141"/>
      <c r="R40" s="141"/>
      <c r="S40" s="141"/>
      <c r="T40" s="141"/>
      <c r="U40" s="141"/>
      <c r="V40" s="141"/>
      <c r="W40" s="141"/>
      <c r="X40" s="141"/>
      <c r="Y40" s="141"/>
      <c r="Z40" s="141"/>
      <c r="AB40" s="143"/>
    </row>
    <row r="41" spans="1:30" s="142" customFormat="1" ht="40.5" customHeight="1" x14ac:dyDescent="0.25">
      <c r="A41" s="145">
        <f t="shared" si="2"/>
        <v>38</v>
      </c>
      <c r="B41" s="14" t="s">
        <v>146</v>
      </c>
      <c r="C41" s="145" t="s">
        <v>124</v>
      </c>
      <c r="D41" s="150" t="s">
        <v>112</v>
      </c>
      <c r="E41" s="145" t="s">
        <v>149</v>
      </c>
      <c r="F41" s="144">
        <v>30000</v>
      </c>
      <c r="G41" s="144" t="s">
        <v>112</v>
      </c>
      <c r="H41" s="140" t="s">
        <v>112</v>
      </c>
      <c r="I41" s="148">
        <v>25318.44</v>
      </c>
      <c r="J41" s="171" t="s">
        <v>113</v>
      </c>
      <c r="K41" s="172" t="s">
        <v>113</v>
      </c>
      <c r="L41" s="131" t="s">
        <v>113</v>
      </c>
      <c r="M41" s="133" t="s">
        <v>113</v>
      </c>
      <c r="N41" s="131">
        <f t="shared" si="12"/>
        <v>25318.44</v>
      </c>
      <c r="O41" s="131">
        <f t="shared" si="13"/>
        <v>25318.44</v>
      </c>
      <c r="P41" s="141"/>
      <c r="Q41" s="141"/>
      <c r="R41" s="141"/>
      <c r="S41" s="141"/>
      <c r="T41" s="141"/>
      <c r="U41" s="141"/>
      <c r="V41" s="141"/>
      <c r="W41" s="141"/>
      <c r="X41" s="141"/>
      <c r="Y41" s="141"/>
      <c r="Z41" s="141"/>
    </row>
    <row r="42" spans="1:30" s="142" customFormat="1" ht="40.5" customHeight="1" x14ac:dyDescent="0.25">
      <c r="A42" s="145">
        <f t="shared" si="2"/>
        <v>39</v>
      </c>
      <c r="B42" s="14" t="s">
        <v>146</v>
      </c>
      <c r="C42" s="145" t="s">
        <v>135</v>
      </c>
      <c r="D42" s="150" t="s">
        <v>112</v>
      </c>
      <c r="E42" s="145" t="s">
        <v>150</v>
      </c>
      <c r="F42" s="144">
        <v>40000</v>
      </c>
      <c r="G42" s="144" t="s">
        <v>112</v>
      </c>
      <c r="H42" s="140" t="s">
        <v>112</v>
      </c>
      <c r="I42" s="148">
        <v>28492.17</v>
      </c>
      <c r="J42" s="171" t="s">
        <v>113</v>
      </c>
      <c r="K42" s="172" t="s">
        <v>113</v>
      </c>
      <c r="L42" s="131" t="s">
        <v>113</v>
      </c>
      <c r="M42" s="133" t="s">
        <v>113</v>
      </c>
      <c r="N42" s="131">
        <f t="shared" si="12"/>
        <v>28492.17</v>
      </c>
      <c r="O42" s="131">
        <f t="shared" si="13"/>
        <v>28492.17</v>
      </c>
      <c r="P42" s="141"/>
      <c r="Q42" s="141"/>
      <c r="R42" s="141"/>
      <c r="S42" s="141"/>
      <c r="T42" s="141"/>
      <c r="U42" s="141"/>
      <c r="V42" s="141"/>
      <c r="W42" s="141"/>
      <c r="X42" s="141"/>
      <c r="Y42" s="141"/>
      <c r="Z42" s="141"/>
    </row>
    <row r="43" spans="1:30" s="3" customFormat="1" ht="27" customHeight="1" thickBot="1" x14ac:dyDescent="0.3">
      <c r="A43" s="145">
        <f t="shared" si="2"/>
        <v>40</v>
      </c>
      <c r="B43" s="14" t="s">
        <v>66</v>
      </c>
      <c r="C43" s="73" t="s">
        <v>151</v>
      </c>
      <c r="D43" s="74" t="s">
        <v>152</v>
      </c>
      <c r="E43" s="74" t="s">
        <v>153</v>
      </c>
      <c r="F43" s="34">
        <v>27</v>
      </c>
      <c r="G43" s="34" t="s">
        <v>112</v>
      </c>
      <c r="H43" s="34">
        <v>3.2166666666666668</v>
      </c>
      <c r="I43" s="128">
        <v>1250</v>
      </c>
      <c r="J43" s="132">
        <v>400</v>
      </c>
      <c r="K43" s="133">
        <v>1350</v>
      </c>
      <c r="L43" s="131" t="s">
        <v>113</v>
      </c>
      <c r="M43" s="133" t="s">
        <v>113</v>
      </c>
      <c r="N43" s="131">
        <f t="shared" ref="N43:N76" si="14">I43+J43</f>
        <v>1650</v>
      </c>
      <c r="O43" s="4">
        <f t="shared" ref="O43:O76" si="15">I43+K43</f>
        <v>2600</v>
      </c>
      <c r="P43" s="39"/>
      <c r="Q43" s="39"/>
      <c r="R43" s="39"/>
      <c r="S43" s="39"/>
      <c r="T43" s="39"/>
      <c r="U43" s="39"/>
      <c r="V43" s="39"/>
      <c r="W43" s="39"/>
      <c r="X43" s="39"/>
      <c r="Y43" s="39"/>
      <c r="Z43" s="39"/>
      <c r="AB43" s="142"/>
      <c r="AC43" s="142"/>
      <c r="AD43" s="142"/>
    </row>
    <row r="44" spans="1:30" s="3" customFormat="1" ht="27" customHeight="1" thickBot="1" x14ac:dyDescent="0.3">
      <c r="A44" s="145">
        <f t="shared" si="2"/>
        <v>41</v>
      </c>
      <c r="B44" s="14" t="s">
        <v>66</v>
      </c>
      <c r="C44" s="73" t="s">
        <v>151</v>
      </c>
      <c r="D44" s="74" t="s">
        <v>154</v>
      </c>
      <c r="E44" s="84" t="s">
        <v>155</v>
      </c>
      <c r="F44" s="34">
        <v>27.5</v>
      </c>
      <c r="G44" s="34" t="s">
        <v>112</v>
      </c>
      <c r="H44" s="34">
        <f>53/24</f>
        <v>2.2083333333333335</v>
      </c>
      <c r="I44" s="128">
        <v>800</v>
      </c>
      <c r="J44" s="132">
        <v>400</v>
      </c>
      <c r="K44" s="133">
        <v>1350</v>
      </c>
      <c r="L44" s="131" t="s">
        <v>113</v>
      </c>
      <c r="M44" s="133" t="s">
        <v>113</v>
      </c>
      <c r="N44" s="131">
        <f t="shared" si="14"/>
        <v>1200</v>
      </c>
      <c r="O44" s="4">
        <f t="shared" si="15"/>
        <v>2150</v>
      </c>
      <c r="P44" s="39"/>
      <c r="Q44" s="331" t="s">
        <v>156</v>
      </c>
      <c r="R44" s="332"/>
      <c r="S44" s="332"/>
      <c r="T44" s="332"/>
      <c r="U44" s="332"/>
      <c r="V44" s="332"/>
      <c r="W44" s="332"/>
      <c r="X44" s="332"/>
      <c r="Y44" s="332"/>
      <c r="Z44" s="333"/>
      <c r="AA44" s="12"/>
      <c r="AB44" s="142"/>
      <c r="AC44" s="142"/>
      <c r="AD44" s="142"/>
    </row>
    <row r="45" spans="1:30" s="3" customFormat="1" ht="27" customHeight="1" thickBot="1" x14ac:dyDescent="0.3">
      <c r="A45" s="145">
        <f t="shared" si="2"/>
        <v>42</v>
      </c>
      <c r="B45" s="14" t="s">
        <v>66</v>
      </c>
      <c r="C45" s="73" t="s">
        <v>157</v>
      </c>
      <c r="D45" s="74" t="s">
        <v>158</v>
      </c>
      <c r="E45" s="84" t="s">
        <v>159</v>
      </c>
      <c r="F45" s="34">
        <v>36.5</v>
      </c>
      <c r="G45" s="34" t="s">
        <v>112</v>
      </c>
      <c r="H45" s="34">
        <f>(121+54/60)/24</f>
        <v>5.0791666666666666</v>
      </c>
      <c r="I45" s="128">
        <v>3229.5454545454545</v>
      </c>
      <c r="J45" s="132">
        <v>400</v>
      </c>
      <c r="K45" s="133">
        <v>1350</v>
      </c>
      <c r="L45" s="131" t="s">
        <v>113</v>
      </c>
      <c r="M45" s="133" t="s">
        <v>113</v>
      </c>
      <c r="N45" s="131">
        <f t="shared" si="14"/>
        <v>3629.5454545454545</v>
      </c>
      <c r="O45" s="4">
        <f t="shared" si="15"/>
        <v>4579.545454545454</v>
      </c>
      <c r="P45" s="39"/>
      <c r="Q45" s="334" t="s">
        <v>160</v>
      </c>
      <c r="R45" s="335"/>
      <c r="S45" s="335"/>
      <c r="T45" s="335"/>
      <c r="U45" s="335"/>
      <c r="V45" s="335"/>
      <c r="W45" s="335"/>
      <c r="X45" s="335"/>
      <c r="Y45" s="335"/>
      <c r="Z45" s="336"/>
      <c r="AA45" s="12"/>
    </row>
    <row r="46" spans="1:30" s="3" customFormat="1" ht="27" customHeight="1" thickBot="1" x14ac:dyDescent="0.3">
      <c r="A46" s="145">
        <f t="shared" si="2"/>
        <v>43</v>
      </c>
      <c r="B46" s="14" t="s">
        <v>66</v>
      </c>
      <c r="C46" s="73" t="s">
        <v>157</v>
      </c>
      <c r="D46" s="74" t="s">
        <v>154</v>
      </c>
      <c r="E46" s="74" t="s">
        <v>161</v>
      </c>
      <c r="F46" s="34">
        <v>46.8</v>
      </c>
      <c r="G46" s="34" t="s">
        <v>112</v>
      </c>
      <c r="H46" s="34">
        <v>7.583333333333333</v>
      </c>
      <c r="I46" s="128">
        <v>1642</v>
      </c>
      <c r="J46" s="132">
        <v>400</v>
      </c>
      <c r="K46" s="133">
        <v>1350</v>
      </c>
      <c r="L46" s="131" t="s">
        <v>113</v>
      </c>
      <c r="M46" s="133" t="s">
        <v>113</v>
      </c>
      <c r="N46" s="131">
        <f t="shared" si="14"/>
        <v>2042</v>
      </c>
      <c r="O46" s="4">
        <f t="shared" si="15"/>
        <v>2992</v>
      </c>
      <c r="P46" s="39"/>
      <c r="Q46" s="337" t="s">
        <v>162</v>
      </c>
      <c r="R46" s="338"/>
      <c r="S46" s="338"/>
      <c r="T46" s="338"/>
      <c r="U46" s="338"/>
      <c r="V46" s="338"/>
      <c r="W46" s="338"/>
      <c r="X46" s="338"/>
      <c r="Y46" s="338"/>
      <c r="Z46" s="339"/>
      <c r="AA46" s="12"/>
    </row>
    <row r="47" spans="1:30" s="3" customFormat="1" ht="27" customHeight="1" thickBot="1" x14ac:dyDescent="0.3">
      <c r="A47" s="145">
        <f t="shared" si="2"/>
        <v>44</v>
      </c>
      <c r="B47" s="14" t="s">
        <v>66</v>
      </c>
      <c r="C47" s="73" t="s">
        <v>157</v>
      </c>
      <c r="D47" s="74" t="s">
        <v>163</v>
      </c>
      <c r="E47" s="74" t="s">
        <v>164</v>
      </c>
      <c r="F47" s="34">
        <v>50</v>
      </c>
      <c r="G47" s="34" t="s">
        <v>112</v>
      </c>
      <c r="H47" s="34">
        <v>5.625</v>
      </c>
      <c r="I47" s="128">
        <v>1400</v>
      </c>
      <c r="J47" s="132">
        <v>400</v>
      </c>
      <c r="K47" s="133">
        <v>1350</v>
      </c>
      <c r="L47" s="131" t="s">
        <v>113</v>
      </c>
      <c r="M47" s="133" t="s">
        <v>113</v>
      </c>
      <c r="N47" s="131">
        <f t="shared" si="14"/>
        <v>1800</v>
      </c>
      <c r="O47" s="4">
        <f t="shared" si="15"/>
        <v>2750</v>
      </c>
      <c r="P47" s="39"/>
      <c r="Q47" s="334" t="s">
        <v>165</v>
      </c>
      <c r="R47" s="335"/>
      <c r="S47" s="335"/>
      <c r="T47" s="335"/>
      <c r="U47" s="335"/>
      <c r="V47" s="335"/>
      <c r="W47" s="335"/>
      <c r="X47" s="335"/>
      <c r="Y47" s="335"/>
      <c r="Z47" s="336"/>
      <c r="AA47" s="12"/>
    </row>
    <row r="48" spans="1:30" s="3" customFormat="1" ht="27" customHeight="1" thickBot="1" x14ac:dyDescent="0.3">
      <c r="A48" s="145">
        <f t="shared" si="2"/>
        <v>45</v>
      </c>
      <c r="B48" s="14" t="s">
        <v>66</v>
      </c>
      <c r="C48" s="73" t="s">
        <v>157</v>
      </c>
      <c r="D48" s="74" t="s">
        <v>154</v>
      </c>
      <c r="E48" s="74" t="s">
        <v>166</v>
      </c>
      <c r="F48" s="34">
        <v>51</v>
      </c>
      <c r="G48" s="34" t="s">
        <v>112</v>
      </c>
      <c r="H48" s="34">
        <v>2.2916666666666665</v>
      </c>
      <c r="I48" s="128">
        <v>999</v>
      </c>
      <c r="J48" s="132">
        <v>400</v>
      </c>
      <c r="K48" s="133">
        <v>1350</v>
      </c>
      <c r="L48" s="131" t="s">
        <v>113</v>
      </c>
      <c r="M48" s="133" t="s">
        <v>113</v>
      </c>
      <c r="N48" s="131">
        <f t="shared" si="14"/>
        <v>1399</v>
      </c>
      <c r="O48" s="4">
        <f t="shared" si="15"/>
        <v>2349</v>
      </c>
      <c r="P48" s="39"/>
      <c r="Q48" s="340" t="s">
        <v>167</v>
      </c>
      <c r="R48" s="341"/>
      <c r="S48" s="341"/>
      <c r="T48" s="341"/>
      <c r="U48" s="341"/>
      <c r="V48" s="341"/>
      <c r="W48" s="341"/>
      <c r="X48" s="341"/>
      <c r="Y48" s="341"/>
      <c r="Z48" s="189"/>
    </row>
    <row r="49" spans="1:26" s="3" customFormat="1" ht="27" customHeight="1" x14ac:dyDescent="0.25">
      <c r="A49" s="145">
        <f t="shared" si="2"/>
        <v>46</v>
      </c>
      <c r="B49" s="14" t="s">
        <v>66</v>
      </c>
      <c r="C49" s="73" t="s">
        <v>168</v>
      </c>
      <c r="D49" s="74" t="s">
        <v>169</v>
      </c>
      <c r="E49" s="74" t="s">
        <v>170</v>
      </c>
      <c r="F49" s="34">
        <v>60</v>
      </c>
      <c r="G49" s="34" t="s">
        <v>112</v>
      </c>
      <c r="H49" s="34">
        <v>2.25</v>
      </c>
      <c r="I49" s="128">
        <v>911.36363636363637</v>
      </c>
      <c r="J49" s="132">
        <v>400</v>
      </c>
      <c r="K49" s="133">
        <v>1350</v>
      </c>
      <c r="L49" s="131" t="s">
        <v>113</v>
      </c>
      <c r="M49" s="133" t="s">
        <v>113</v>
      </c>
      <c r="N49" s="131">
        <f t="shared" si="14"/>
        <v>1311.3636363636365</v>
      </c>
      <c r="O49" s="4">
        <f t="shared" si="15"/>
        <v>2261.3636363636365</v>
      </c>
      <c r="P49" s="39"/>
      <c r="Q49" s="11" t="s">
        <v>171</v>
      </c>
      <c r="R49" s="72"/>
      <c r="S49" s="72"/>
      <c r="T49" s="72"/>
      <c r="U49" s="72"/>
      <c r="V49" s="72"/>
      <c r="W49" s="72"/>
      <c r="X49" s="72"/>
      <c r="Y49" s="72"/>
      <c r="Z49" s="11"/>
    </row>
    <row r="50" spans="1:26" s="3" customFormat="1" ht="27" customHeight="1" x14ac:dyDescent="0.25">
      <c r="A50" s="145">
        <f t="shared" si="2"/>
        <v>47</v>
      </c>
      <c r="B50" s="14" t="s">
        <v>66</v>
      </c>
      <c r="C50" s="73" t="s">
        <v>168</v>
      </c>
      <c r="D50" s="74" t="s">
        <v>114</v>
      </c>
      <c r="E50" s="74" t="s">
        <v>172</v>
      </c>
      <c r="F50" s="34">
        <v>61</v>
      </c>
      <c r="G50" s="34" t="s">
        <v>112</v>
      </c>
      <c r="H50" s="34">
        <v>1.325</v>
      </c>
      <c r="I50" s="128">
        <v>718</v>
      </c>
      <c r="J50" s="132">
        <v>400</v>
      </c>
      <c r="K50" s="133">
        <v>1350</v>
      </c>
      <c r="L50" s="131" t="s">
        <v>113</v>
      </c>
      <c r="M50" s="133" t="s">
        <v>113</v>
      </c>
      <c r="N50" s="131">
        <f t="shared" si="14"/>
        <v>1118</v>
      </c>
      <c r="O50" s="4">
        <f t="shared" si="15"/>
        <v>2068</v>
      </c>
      <c r="P50" s="39"/>
      <c r="Q50" s="342" t="s">
        <v>173</v>
      </c>
      <c r="R50" s="342"/>
      <c r="S50" s="342"/>
      <c r="T50" s="342"/>
      <c r="U50" s="342"/>
      <c r="V50" s="342"/>
      <c r="W50" s="342"/>
      <c r="X50" s="342"/>
      <c r="Y50" s="342"/>
      <c r="Z50" s="342"/>
    </row>
    <row r="51" spans="1:26" s="3" customFormat="1" ht="27" customHeight="1" x14ac:dyDescent="0.25">
      <c r="A51" s="145">
        <f t="shared" si="2"/>
        <v>48</v>
      </c>
      <c r="B51" s="14" t="s">
        <v>66</v>
      </c>
      <c r="C51" s="73" t="s">
        <v>168</v>
      </c>
      <c r="D51" s="74" t="s">
        <v>154</v>
      </c>
      <c r="E51" s="74" t="s">
        <v>174</v>
      </c>
      <c r="F51" s="34">
        <v>72.5</v>
      </c>
      <c r="G51" s="34" t="s">
        <v>112</v>
      </c>
      <c r="H51" s="34">
        <v>3.375</v>
      </c>
      <c r="I51" s="128">
        <v>1030</v>
      </c>
      <c r="J51" s="132">
        <v>400</v>
      </c>
      <c r="K51" s="133">
        <v>1350</v>
      </c>
      <c r="L51" s="131" t="s">
        <v>113</v>
      </c>
      <c r="M51" s="133" t="s">
        <v>113</v>
      </c>
      <c r="N51" s="131">
        <f t="shared" si="14"/>
        <v>1430</v>
      </c>
      <c r="O51" s="4">
        <f t="shared" si="15"/>
        <v>2380</v>
      </c>
      <c r="P51" s="39"/>
      <c r="Q51" s="39"/>
      <c r="R51" s="39"/>
      <c r="S51" s="39"/>
      <c r="T51" s="39"/>
      <c r="U51" s="39"/>
      <c r="V51" s="39"/>
      <c r="W51" s="39"/>
      <c r="X51" s="39"/>
      <c r="Y51" s="39"/>
      <c r="Z51" s="39"/>
    </row>
    <row r="52" spans="1:26" s="3" customFormat="1" ht="27" customHeight="1" x14ac:dyDescent="0.25">
      <c r="A52" s="145">
        <f t="shared" si="2"/>
        <v>49</v>
      </c>
      <c r="B52" s="14" t="s">
        <v>66</v>
      </c>
      <c r="C52" s="73" t="s">
        <v>168</v>
      </c>
      <c r="D52" s="74" t="s">
        <v>152</v>
      </c>
      <c r="E52" s="84" t="s">
        <v>175</v>
      </c>
      <c r="F52" s="34">
        <v>77</v>
      </c>
      <c r="G52" s="34" t="s">
        <v>112</v>
      </c>
      <c r="H52" s="34">
        <f>(105+17/60)/24</f>
        <v>4.3868055555555552</v>
      </c>
      <c r="I52" s="128">
        <v>1990</v>
      </c>
      <c r="J52" s="132">
        <v>400</v>
      </c>
      <c r="K52" s="133">
        <v>1350</v>
      </c>
      <c r="L52" s="131" t="s">
        <v>113</v>
      </c>
      <c r="M52" s="133" t="s">
        <v>113</v>
      </c>
      <c r="N52" s="131">
        <f t="shared" si="14"/>
        <v>2390</v>
      </c>
      <c r="O52" s="4">
        <f t="shared" si="15"/>
        <v>3340</v>
      </c>
      <c r="P52" s="39"/>
    </row>
    <row r="53" spans="1:26" s="3" customFormat="1" ht="27" customHeight="1" x14ac:dyDescent="0.25">
      <c r="A53" s="145">
        <f t="shared" si="2"/>
        <v>50</v>
      </c>
      <c r="B53" s="14" t="s">
        <v>66</v>
      </c>
      <c r="C53" s="73" t="s">
        <v>168</v>
      </c>
      <c r="D53" s="74" t="s">
        <v>158</v>
      </c>
      <c r="E53" s="84" t="s">
        <v>176</v>
      </c>
      <c r="F53" s="34">
        <v>80.5</v>
      </c>
      <c r="G53" s="34" t="s">
        <v>112</v>
      </c>
      <c r="H53" s="34">
        <f>(72+9/60)/24</f>
        <v>3.0062500000000001</v>
      </c>
      <c r="I53" s="128">
        <v>3481.818181818182</v>
      </c>
      <c r="J53" s="132">
        <v>400</v>
      </c>
      <c r="K53" s="133">
        <v>1350</v>
      </c>
      <c r="L53" s="131" t="s">
        <v>113</v>
      </c>
      <c r="M53" s="133" t="s">
        <v>113</v>
      </c>
      <c r="N53" s="131">
        <f t="shared" si="14"/>
        <v>3881.818181818182</v>
      </c>
      <c r="O53" s="4">
        <f t="shared" si="15"/>
        <v>4831.818181818182</v>
      </c>
      <c r="P53" s="39"/>
    </row>
    <row r="54" spans="1:26" s="3" customFormat="1" ht="27" customHeight="1" x14ac:dyDescent="0.25">
      <c r="A54" s="145">
        <f t="shared" si="2"/>
        <v>51</v>
      </c>
      <c r="B54" s="14" t="s">
        <v>66</v>
      </c>
      <c r="C54" s="73" t="s">
        <v>177</v>
      </c>
      <c r="D54" s="74" t="s">
        <v>169</v>
      </c>
      <c r="E54" s="84" t="s">
        <v>178</v>
      </c>
      <c r="F54" s="34">
        <v>98</v>
      </c>
      <c r="G54" s="34" t="s">
        <v>112</v>
      </c>
      <c r="H54" s="34">
        <f>54.5/24</f>
        <v>2.2708333333333335</v>
      </c>
      <c r="I54" s="128">
        <v>1085.2272727272727</v>
      </c>
      <c r="J54" s="132">
        <v>400</v>
      </c>
      <c r="K54" s="133">
        <v>1350</v>
      </c>
      <c r="L54" s="131" t="s">
        <v>113</v>
      </c>
      <c r="M54" s="133" t="s">
        <v>113</v>
      </c>
      <c r="N54" s="131">
        <f t="shared" si="14"/>
        <v>1485.2272727272727</v>
      </c>
      <c r="O54" s="4">
        <f t="shared" si="15"/>
        <v>2435.227272727273</v>
      </c>
      <c r="P54" s="39"/>
    </row>
    <row r="55" spans="1:26" s="3" customFormat="1" ht="27" customHeight="1" x14ac:dyDescent="0.25">
      <c r="A55" s="145">
        <f t="shared" si="2"/>
        <v>52</v>
      </c>
      <c r="B55" s="14" t="s">
        <v>66</v>
      </c>
      <c r="C55" s="73" t="s">
        <v>177</v>
      </c>
      <c r="D55" s="74" t="s">
        <v>154</v>
      </c>
      <c r="E55" s="74" t="s">
        <v>179</v>
      </c>
      <c r="F55" s="34">
        <v>98.5</v>
      </c>
      <c r="G55" s="34" t="s">
        <v>112</v>
      </c>
      <c r="H55" s="34">
        <v>2.4819444444444447</v>
      </c>
      <c r="I55" s="128">
        <v>1074</v>
      </c>
      <c r="J55" s="132">
        <v>400</v>
      </c>
      <c r="K55" s="133">
        <v>1350</v>
      </c>
      <c r="L55" s="131" t="s">
        <v>113</v>
      </c>
      <c r="M55" s="133" t="s">
        <v>113</v>
      </c>
      <c r="N55" s="131">
        <f t="shared" si="14"/>
        <v>1474</v>
      </c>
      <c r="O55" s="4">
        <f t="shared" si="15"/>
        <v>2424</v>
      </c>
      <c r="P55" s="39"/>
    </row>
    <row r="56" spans="1:26" s="3" customFormat="1" ht="27" customHeight="1" x14ac:dyDescent="0.25">
      <c r="A56" s="145">
        <f t="shared" si="2"/>
        <v>53</v>
      </c>
      <c r="B56" s="14" t="s">
        <v>66</v>
      </c>
      <c r="C56" s="73" t="s">
        <v>177</v>
      </c>
      <c r="D56" s="74" t="s">
        <v>152</v>
      </c>
      <c r="E56" s="74" t="s">
        <v>180</v>
      </c>
      <c r="F56" s="34">
        <v>99</v>
      </c>
      <c r="G56" s="34" t="s">
        <v>112</v>
      </c>
      <c r="H56" s="34">
        <v>4.7374999999999998</v>
      </c>
      <c r="I56" s="128">
        <v>1950</v>
      </c>
      <c r="J56" s="132">
        <v>400</v>
      </c>
      <c r="K56" s="133">
        <v>1350</v>
      </c>
      <c r="L56" s="131" t="s">
        <v>113</v>
      </c>
      <c r="M56" s="133" t="s">
        <v>113</v>
      </c>
      <c r="N56" s="131">
        <f t="shared" si="14"/>
        <v>2350</v>
      </c>
      <c r="O56" s="4">
        <f t="shared" si="15"/>
        <v>3300</v>
      </c>
      <c r="P56" s="39"/>
    </row>
    <row r="57" spans="1:26" s="3" customFormat="1" ht="27" customHeight="1" x14ac:dyDescent="0.25">
      <c r="A57" s="145">
        <f t="shared" si="2"/>
        <v>54</v>
      </c>
      <c r="B57" s="14" t="s">
        <v>66</v>
      </c>
      <c r="C57" s="73" t="s">
        <v>177</v>
      </c>
      <c r="D57" s="74" t="s">
        <v>154</v>
      </c>
      <c r="E57" s="74" t="s">
        <v>181</v>
      </c>
      <c r="F57" s="34">
        <v>99</v>
      </c>
      <c r="G57" s="34" t="s">
        <v>112</v>
      </c>
      <c r="H57" s="34">
        <v>12.512500000000001</v>
      </c>
      <c r="I57" s="128">
        <v>2355</v>
      </c>
      <c r="J57" s="132">
        <v>400</v>
      </c>
      <c r="K57" s="133">
        <v>1350</v>
      </c>
      <c r="L57" s="131" t="s">
        <v>113</v>
      </c>
      <c r="M57" s="133" t="s">
        <v>113</v>
      </c>
      <c r="N57" s="131">
        <f t="shared" si="14"/>
        <v>2755</v>
      </c>
      <c r="O57" s="4">
        <f t="shared" si="15"/>
        <v>3705</v>
      </c>
      <c r="P57" s="39"/>
    </row>
    <row r="58" spans="1:26" s="3" customFormat="1" ht="27" customHeight="1" x14ac:dyDescent="0.25">
      <c r="A58" s="145">
        <f t="shared" si="2"/>
        <v>55</v>
      </c>
      <c r="B58" s="14" t="s">
        <v>66</v>
      </c>
      <c r="C58" s="73" t="s">
        <v>177</v>
      </c>
      <c r="D58" s="74" t="s">
        <v>114</v>
      </c>
      <c r="E58" s="74" t="s">
        <v>182</v>
      </c>
      <c r="F58" s="34">
        <v>100</v>
      </c>
      <c r="G58" s="34" t="s">
        <v>112</v>
      </c>
      <c r="H58" s="34">
        <f>(128+48/60)/24</f>
        <v>5.3666666666666671</v>
      </c>
      <c r="I58" s="128">
        <v>1700</v>
      </c>
      <c r="J58" s="132">
        <v>400</v>
      </c>
      <c r="K58" s="133">
        <v>1350</v>
      </c>
      <c r="L58" s="131" t="s">
        <v>113</v>
      </c>
      <c r="M58" s="133" t="s">
        <v>113</v>
      </c>
      <c r="N58" s="131">
        <f t="shared" si="14"/>
        <v>2100</v>
      </c>
      <c r="O58" s="4">
        <f t="shared" si="15"/>
        <v>3050</v>
      </c>
      <c r="P58" s="39"/>
    </row>
    <row r="59" spans="1:26" s="3" customFormat="1" ht="27" customHeight="1" x14ac:dyDescent="0.25">
      <c r="A59" s="145">
        <f t="shared" si="2"/>
        <v>56</v>
      </c>
      <c r="B59" s="14" t="s">
        <v>66</v>
      </c>
      <c r="C59" s="73" t="s">
        <v>183</v>
      </c>
      <c r="D59" s="74" t="s">
        <v>114</v>
      </c>
      <c r="E59" s="74" t="s">
        <v>184</v>
      </c>
      <c r="F59" s="34">
        <v>122</v>
      </c>
      <c r="G59" s="34" t="s">
        <v>112</v>
      </c>
      <c r="H59" s="34">
        <v>1.2604166666666667</v>
      </c>
      <c r="I59" s="128">
        <v>918</v>
      </c>
      <c r="J59" s="132">
        <v>400</v>
      </c>
      <c r="K59" s="133">
        <v>1350</v>
      </c>
      <c r="L59" s="131" t="s">
        <v>113</v>
      </c>
      <c r="M59" s="133" t="s">
        <v>113</v>
      </c>
      <c r="N59" s="131">
        <f t="shared" si="14"/>
        <v>1318</v>
      </c>
      <c r="O59" s="4">
        <f t="shared" si="15"/>
        <v>2268</v>
      </c>
      <c r="P59" s="39"/>
    </row>
    <row r="60" spans="1:26" s="3" customFormat="1" ht="27" customHeight="1" x14ac:dyDescent="0.25">
      <c r="A60" s="145">
        <f t="shared" si="2"/>
        <v>57</v>
      </c>
      <c r="B60" s="14" t="s">
        <v>66</v>
      </c>
      <c r="C60" s="73" t="s">
        <v>183</v>
      </c>
      <c r="D60" s="74" t="s">
        <v>169</v>
      </c>
      <c r="E60" s="74" t="s">
        <v>185</v>
      </c>
      <c r="F60" s="34">
        <v>127</v>
      </c>
      <c r="G60" s="34" t="s">
        <v>112</v>
      </c>
      <c r="H60" s="34">
        <v>2.2791666666666668</v>
      </c>
      <c r="I60" s="128">
        <v>1201.1363636363637</v>
      </c>
      <c r="J60" s="132">
        <v>400</v>
      </c>
      <c r="K60" s="133">
        <v>1350</v>
      </c>
      <c r="L60" s="131" t="s">
        <v>113</v>
      </c>
      <c r="M60" s="133" t="s">
        <v>113</v>
      </c>
      <c r="N60" s="131">
        <f>I60+J60</f>
        <v>1601.1363636363637</v>
      </c>
      <c r="O60" s="4">
        <f>I60+K60</f>
        <v>2551.136363636364</v>
      </c>
      <c r="P60" s="39"/>
      <c r="Q60" s="181"/>
      <c r="R60" s="181"/>
      <c r="S60" s="181"/>
      <c r="T60" s="181"/>
      <c r="U60" s="181"/>
      <c r="V60" s="181"/>
      <c r="W60" s="181"/>
      <c r="X60" s="181"/>
      <c r="Y60" s="181"/>
      <c r="Z60" s="181"/>
    </row>
    <row r="61" spans="1:26" s="3" customFormat="1" ht="27" customHeight="1" x14ac:dyDescent="0.25">
      <c r="A61" s="145">
        <f t="shared" si="2"/>
        <v>58</v>
      </c>
      <c r="B61" s="14" t="s">
        <v>66</v>
      </c>
      <c r="C61" s="73" t="s">
        <v>183</v>
      </c>
      <c r="D61" s="74" t="s">
        <v>152</v>
      </c>
      <c r="E61" s="74" t="s">
        <v>186</v>
      </c>
      <c r="F61" s="34">
        <v>128</v>
      </c>
      <c r="G61" s="34" t="s">
        <v>112</v>
      </c>
      <c r="H61" s="34">
        <v>5.3416666666666659</v>
      </c>
      <c r="I61" s="128">
        <v>2300</v>
      </c>
      <c r="J61" s="132">
        <v>400</v>
      </c>
      <c r="K61" s="133">
        <v>1350</v>
      </c>
      <c r="L61" s="131" t="s">
        <v>113</v>
      </c>
      <c r="M61" s="133" t="s">
        <v>113</v>
      </c>
      <c r="N61" s="131">
        <f t="shared" si="14"/>
        <v>2700</v>
      </c>
      <c r="O61" s="4">
        <f t="shared" si="15"/>
        <v>3650</v>
      </c>
      <c r="P61" s="39"/>
      <c r="Q61" s="181"/>
      <c r="R61" s="181"/>
      <c r="S61" s="181"/>
      <c r="T61" s="181"/>
      <c r="U61" s="181"/>
      <c r="V61" s="181"/>
      <c r="W61" s="181"/>
      <c r="X61" s="181"/>
      <c r="Y61" s="181"/>
      <c r="Z61" s="181"/>
    </row>
    <row r="62" spans="1:26" s="3" customFormat="1" ht="27" customHeight="1" x14ac:dyDescent="0.25">
      <c r="A62" s="145">
        <f t="shared" si="2"/>
        <v>59</v>
      </c>
      <c r="B62" s="14" t="s">
        <v>66</v>
      </c>
      <c r="C62" s="73" t="s">
        <v>183</v>
      </c>
      <c r="D62" s="74" t="s">
        <v>169</v>
      </c>
      <c r="E62" s="74" t="s">
        <v>187</v>
      </c>
      <c r="F62" s="34">
        <v>145</v>
      </c>
      <c r="G62" s="34" t="s">
        <v>112</v>
      </c>
      <c r="H62" s="34">
        <v>2.2916666666666665</v>
      </c>
      <c r="I62" s="128">
        <v>1293.1818181818182</v>
      </c>
      <c r="J62" s="132">
        <v>400</v>
      </c>
      <c r="K62" s="133">
        <v>1350</v>
      </c>
      <c r="L62" s="131" t="s">
        <v>113</v>
      </c>
      <c r="M62" s="133" t="s">
        <v>113</v>
      </c>
      <c r="N62" s="131">
        <f t="shared" si="14"/>
        <v>1693.1818181818182</v>
      </c>
      <c r="O62" s="4">
        <f t="shared" si="15"/>
        <v>2643.181818181818</v>
      </c>
      <c r="P62" s="39"/>
      <c r="Q62" s="39"/>
      <c r="R62" s="39"/>
      <c r="S62" s="39"/>
      <c r="T62" s="39"/>
      <c r="U62" s="39"/>
      <c r="V62" s="39"/>
      <c r="W62" s="39"/>
      <c r="X62" s="39"/>
      <c r="Y62" s="39"/>
      <c r="Z62" s="39"/>
    </row>
    <row r="63" spans="1:26" s="3" customFormat="1" ht="27" customHeight="1" x14ac:dyDescent="0.25">
      <c r="A63" s="145">
        <f t="shared" si="2"/>
        <v>60</v>
      </c>
      <c r="B63" s="14" t="s">
        <v>66</v>
      </c>
      <c r="C63" s="73" t="s">
        <v>183</v>
      </c>
      <c r="D63" s="74" t="s">
        <v>114</v>
      </c>
      <c r="E63" s="74" t="s">
        <v>188</v>
      </c>
      <c r="F63" s="34">
        <v>200</v>
      </c>
      <c r="G63" s="34" t="s">
        <v>112</v>
      </c>
      <c r="H63" s="34">
        <f>(87+(14/60))/24</f>
        <v>3.6347222222222224</v>
      </c>
      <c r="I63" s="128">
        <v>1800</v>
      </c>
      <c r="J63" s="132">
        <v>400</v>
      </c>
      <c r="K63" s="133">
        <v>1350</v>
      </c>
      <c r="L63" s="131" t="s">
        <v>113</v>
      </c>
      <c r="M63" s="133" t="s">
        <v>113</v>
      </c>
      <c r="N63" s="131">
        <f>I63+J63</f>
        <v>2200</v>
      </c>
      <c r="O63" s="4">
        <f>I63+K63</f>
        <v>3150</v>
      </c>
      <c r="P63" s="39"/>
      <c r="Q63" s="39"/>
      <c r="R63" s="39"/>
      <c r="S63" s="39"/>
      <c r="T63" s="39"/>
      <c r="U63" s="39"/>
      <c r="V63" s="39"/>
      <c r="W63" s="39"/>
      <c r="X63" s="39"/>
      <c r="Y63" s="39"/>
      <c r="Z63" s="39"/>
    </row>
    <row r="64" spans="1:26" s="3" customFormat="1" ht="27" customHeight="1" x14ac:dyDescent="0.25">
      <c r="A64" s="145">
        <f t="shared" si="2"/>
        <v>61</v>
      </c>
      <c r="B64" s="14" t="s">
        <v>66</v>
      </c>
      <c r="C64" s="73" t="s">
        <v>183</v>
      </c>
      <c r="D64" s="74" t="s">
        <v>189</v>
      </c>
      <c r="E64" s="74" t="s">
        <v>190</v>
      </c>
      <c r="F64" s="34">
        <v>203.2</v>
      </c>
      <c r="G64" s="34" t="s">
        <v>112</v>
      </c>
      <c r="H64" s="34">
        <v>3.9166666666666665</v>
      </c>
      <c r="I64" s="128">
        <v>3181.818181818182</v>
      </c>
      <c r="J64" s="132">
        <v>400</v>
      </c>
      <c r="K64" s="133">
        <v>1350</v>
      </c>
      <c r="L64" s="131" t="s">
        <v>113</v>
      </c>
      <c r="M64" s="133" t="s">
        <v>113</v>
      </c>
      <c r="N64" s="131">
        <f t="shared" si="14"/>
        <v>3581.818181818182</v>
      </c>
      <c r="O64" s="4">
        <f t="shared" si="15"/>
        <v>4531.818181818182</v>
      </c>
      <c r="P64" s="39"/>
    </row>
    <row r="65" spans="1:26" s="3" customFormat="1" ht="27" customHeight="1" x14ac:dyDescent="0.25">
      <c r="A65" s="145">
        <f t="shared" si="2"/>
        <v>62</v>
      </c>
      <c r="B65" s="14" t="s">
        <v>66</v>
      </c>
      <c r="C65" s="73" t="s">
        <v>183</v>
      </c>
      <c r="D65" s="74" t="s">
        <v>114</v>
      </c>
      <c r="E65" s="74" t="s">
        <v>191</v>
      </c>
      <c r="F65" s="34">
        <v>211</v>
      </c>
      <c r="G65" s="34" t="s">
        <v>112</v>
      </c>
      <c r="H65" s="34">
        <v>1.4416666666666667</v>
      </c>
      <c r="I65" s="128">
        <v>1068</v>
      </c>
      <c r="J65" s="132">
        <v>400</v>
      </c>
      <c r="K65" s="133">
        <v>1350</v>
      </c>
      <c r="L65" s="131" t="s">
        <v>113</v>
      </c>
      <c r="M65" s="133" t="s">
        <v>113</v>
      </c>
      <c r="N65" s="131">
        <f t="shared" si="14"/>
        <v>1468</v>
      </c>
      <c r="O65" s="4">
        <f t="shared" si="15"/>
        <v>2418</v>
      </c>
      <c r="P65" s="39"/>
      <c r="Q65" s="39"/>
      <c r="R65" s="39"/>
      <c r="S65" s="39"/>
      <c r="T65" s="39"/>
      <c r="U65" s="39"/>
      <c r="V65" s="39"/>
      <c r="W65" s="39"/>
      <c r="X65" s="39"/>
      <c r="Y65" s="39"/>
      <c r="Z65" s="39"/>
    </row>
    <row r="66" spans="1:26" s="3" customFormat="1" ht="27" customHeight="1" x14ac:dyDescent="0.25">
      <c r="A66" s="145">
        <f t="shared" si="2"/>
        <v>63</v>
      </c>
      <c r="B66" s="14" t="s">
        <v>66</v>
      </c>
      <c r="C66" s="73" t="s">
        <v>183</v>
      </c>
      <c r="D66" s="74" t="s">
        <v>154</v>
      </c>
      <c r="E66" s="74" t="s">
        <v>192</v>
      </c>
      <c r="F66" s="34">
        <v>225</v>
      </c>
      <c r="G66" s="34" t="s">
        <v>112</v>
      </c>
      <c r="H66" s="34">
        <v>2.2916666666666665</v>
      </c>
      <c r="I66" s="128">
        <v>1910</v>
      </c>
      <c r="J66" s="132">
        <v>400</v>
      </c>
      <c r="K66" s="133">
        <v>1350</v>
      </c>
      <c r="L66" s="131" t="s">
        <v>113</v>
      </c>
      <c r="M66" s="133" t="s">
        <v>113</v>
      </c>
      <c r="N66" s="131">
        <f t="shared" si="14"/>
        <v>2310</v>
      </c>
      <c r="O66" s="4">
        <f t="shared" si="15"/>
        <v>3260</v>
      </c>
      <c r="P66" s="39"/>
      <c r="Q66" s="39"/>
      <c r="R66" s="39"/>
      <c r="S66" s="39"/>
      <c r="T66" s="39"/>
      <c r="U66" s="39"/>
      <c r="V66" s="39"/>
      <c r="W66" s="39"/>
      <c r="X66" s="39"/>
      <c r="Y66" s="39"/>
      <c r="Z66" s="39"/>
    </row>
    <row r="67" spans="1:26" s="3" customFormat="1" ht="27" customHeight="1" x14ac:dyDescent="0.25">
      <c r="A67" s="145">
        <f t="shared" si="2"/>
        <v>64</v>
      </c>
      <c r="B67" s="14" t="s">
        <v>66</v>
      </c>
      <c r="C67" s="73" t="s">
        <v>183</v>
      </c>
      <c r="D67" s="74" t="s">
        <v>158</v>
      </c>
      <c r="E67" s="84" t="s">
        <v>193</v>
      </c>
      <c r="F67" s="34">
        <v>240</v>
      </c>
      <c r="G67" s="34" t="s">
        <v>112</v>
      </c>
      <c r="H67" s="34">
        <f>77.3/24</f>
        <v>3.2208333333333332</v>
      </c>
      <c r="I67" s="128">
        <v>4500</v>
      </c>
      <c r="J67" s="132">
        <v>400</v>
      </c>
      <c r="K67" s="133">
        <v>1350</v>
      </c>
      <c r="L67" s="131" t="s">
        <v>113</v>
      </c>
      <c r="M67" s="133" t="s">
        <v>113</v>
      </c>
      <c r="N67" s="131">
        <f t="shared" si="14"/>
        <v>4900</v>
      </c>
      <c r="O67" s="4">
        <f t="shared" si="15"/>
        <v>5850</v>
      </c>
      <c r="P67" s="39"/>
      <c r="Q67" s="39"/>
      <c r="R67" s="39"/>
      <c r="S67" s="39"/>
      <c r="T67" s="39"/>
      <c r="U67" s="39"/>
      <c r="V67" s="39"/>
      <c r="W67" s="39"/>
      <c r="X67" s="39"/>
      <c r="Y67" s="39"/>
      <c r="Z67" s="39"/>
    </row>
    <row r="68" spans="1:26" s="3" customFormat="1" ht="27" customHeight="1" x14ac:dyDescent="0.25">
      <c r="A68" s="145">
        <f t="shared" si="2"/>
        <v>65</v>
      </c>
      <c r="B68" s="14" t="s">
        <v>66</v>
      </c>
      <c r="C68" s="73" t="s">
        <v>183</v>
      </c>
      <c r="D68" s="74" t="s">
        <v>169</v>
      </c>
      <c r="E68" s="74" t="s">
        <v>194</v>
      </c>
      <c r="F68" s="34">
        <v>242</v>
      </c>
      <c r="G68" s="34" t="s">
        <v>112</v>
      </c>
      <c r="H68" s="34">
        <v>2.3029166666666669</v>
      </c>
      <c r="I68" s="128">
        <v>2039.7727272727273</v>
      </c>
      <c r="J68" s="132">
        <v>400</v>
      </c>
      <c r="K68" s="133">
        <v>1350</v>
      </c>
      <c r="L68" s="131" t="s">
        <v>113</v>
      </c>
      <c r="M68" s="133" t="s">
        <v>113</v>
      </c>
      <c r="N68" s="131">
        <f>I68+J68</f>
        <v>2439.772727272727</v>
      </c>
      <c r="O68" s="4">
        <f t="shared" ref="O68" si="16">I68+K68</f>
        <v>3389.772727272727</v>
      </c>
      <c r="P68" s="39"/>
      <c r="Q68" s="39"/>
      <c r="R68" s="39"/>
      <c r="S68" s="39"/>
      <c r="T68" s="39"/>
      <c r="U68" s="39"/>
      <c r="V68" s="39"/>
      <c r="W68" s="39"/>
      <c r="X68" s="39"/>
      <c r="Y68" s="39"/>
      <c r="Z68" s="39"/>
    </row>
    <row r="69" spans="1:26" s="3" customFormat="1" ht="27" customHeight="1" x14ac:dyDescent="0.25">
      <c r="A69" s="145">
        <f t="shared" si="2"/>
        <v>66</v>
      </c>
      <c r="B69" s="83" t="s">
        <v>67</v>
      </c>
      <c r="C69" s="73" t="s">
        <v>157</v>
      </c>
      <c r="D69" s="74" t="s">
        <v>114</v>
      </c>
      <c r="E69" s="84" t="s">
        <v>195</v>
      </c>
      <c r="F69" s="34">
        <v>30</v>
      </c>
      <c r="G69" s="34">
        <v>32</v>
      </c>
      <c r="H69" s="34">
        <f>63.8/24</f>
        <v>2.6583333333333332</v>
      </c>
      <c r="I69" s="128">
        <v>1650</v>
      </c>
      <c r="J69" s="132">
        <v>400</v>
      </c>
      <c r="K69" s="133">
        <v>1350</v>
      </c>
      <c r="L69" s="131" t="s">
        <v>113</v>
      </c>
      <c r="M69" s="133" t="s">
        <v>113</v>
      </c>
      <c r="N69" s="131">
        <f t="shared" si="14"/>
        <v>2050</v>
      </c>
      <c r="O69" s="4">
        <f t="shared" si="15"/>
        <v>3000</v>
      </c>
      <c r="P69" s="39"/>
      <c r="Q69" s="39"/>
      <c r="R69" s="39"/>
      <c r="S69" s="39"/>
      <c r="T69" s="39"/>
      <c r="U69" s="39"/>
      <c r="V69" s="39"/>
      <c r="W69" s="39"/>
      <c r="X69" s="39"/>
      <c r="Y69" s="39"/>
      <c r="Z69" s="39"/>
    </row>
    <row r="70" spans="1:26" s="3" customFormat="1" ht="27" customHeight="1" x14ac:dyDescent="0.25">
      <c r="A70" s="145">
        <f t="shared" ref="A70:A133" si="17">A69+1</f>
        <v>67</v>
      </c>
      <c r="B70" s="83" t="s">
        <v>67</v>
      </c>
      <c r="C70" s="73" t="s">
        <v>157</v>
      </c>
      <c r="D70" s="74" t="s">
        <v>154</v>
      </c>
      <c r="E70" s="84" t="s">
        <v>196</v>
      </c>
      <c r="F70" s="34">
        <v>58</v>
      </c>
      <c r="G70" s="34">
        <v>44</v>
      </c>
      <c r="H70" s="34">
        <f>(113+37/60)/24</f>
        <v>4.7340277777777775</v>
      </c>
      <c r="I70" s="128">
        <v>1410</v>
      </c>
      <c r="J70" s="132">
        <v>400</v>
      </c>
      <c r="K70" s="133">
        <v>1350</v>
      </c>
      <c r="L70" s="131" t="s">
        <v>113</v>
      </c>
      <c r="M70" s="133" t="s">
        <v>113</v>
      </c>
      <c r="N70" s="131">
        <f t="shared" si="14"/>
        <v>1810</v>
      </c>
      <c r="O70" s="4">
        <f t="shared" si="15"/>
        <v>2760</v>
      </c>
      <c r="P70" s="39"/>
      <c r="Q70" s="39"/>
      <c r="R70" s="39"/>
      <c r="S70" s="39"/>
      <c r="T70" s="39"/>
      <c r="U70" s="39"/>
      <c r="V70" s="39"/>
      <c r="W70" s="39"/>
      <c r="X70" s="39"/>
      <c r="Y70" s="39"/>
      <c r="Z70" s="39"/>
    </row>
    <row r="71" spans="1:26" s="3" customFormat="1" ht="27" customHeight="1" x14ac:dyDescent="0.25">
      <c r="A71" s="145">
        <f t="shared" si="17"/>
        <v>68</v>
      </c>
      <c r="B71" s="83" t="s">
        <v>67</v>
      </c>
      <c r="C71" s="73" t="s">
        <v>157</v>
      </c>
      <c r="D71" s="74" t="s">
        <v>169</v>
      </c>
      <c r="E71" s="74" t="s">
        <v>197</v>
      </c>
      <c r="F71" s="34">
        <v>52.5</v>
      </c>
      <c r="G71" s="34">
        <v>5.0999999999999996</v>
      </c>
      <c r="H71" s="34">
        <v>1.1822660098522166</v>
      </c>
      <c r="I71" s="128">
        <v>1360.2272727272727</v>
      </c>
      <c r="J71" s="132">
        <v>400</v>
      </c>
      <c r="K71" s="133">
        <v>1350</v>
      </c>
      <c r="L71" s="131" t="s">
        <v>113</v>
      </c>
      <c r="M71" s="133" t="s">
        <v>113</v>
      </c>
      <c r="N71" s="131">
        <f>I71+J71</f>
        <v>1760.2272727272727</v>
      </c>
      <c r="O71" s="4">
        <f>I71+K71</f>
        <v>2710.227272727273</v>
      </c>
      <c r="P71" s="39"/>
      <c r="Q71" s="39"/>
      <c r="R71" s="39"/>
      <c r="S71" s="39"/>
      <c r="T71" s="39"/>
      <c r="U71" s="39"/>
      <c r="V71" s="39"/>
      <c r="W71" s="39"/>
      <c r="X71" s="39"/>
      <c r="Y71" s="39"/>
      <c r="Z71" s="39"/>
    </row>
    <row r="72" spans="1:26" s="3" customFormat="1" ht="27" customHeight="1" x14ac:dyDescent="0.25">
      <c r="A72" s="145">
        <f t="shared" si="17"/>
        <v>69</v>
      </c>
      <c r="B72" s="83" t="s">
        <v>67</v>
      </c>
      <c r="C72" s="73" t="s">
        <v>168</v>
      </c>
      <c r="D72" s="74" t="s">
        <v>158</v>
      </c>
      <c r="E72" s="84" t="s">
        <v>198</v>
      </c>
      <c r="F72" s="34">
        <v>60</v>
      </c>
      <c r="G72" s="34">
        <v>42</v>
      </c>
      <c r="H72" s="34">
        <f>39.4/24</f>
        <v>1.6416666666666666</v>
      </c>
      <c r="I72" s="128">
        <v>3710.2272727272725</v>
      </c>
      <c r="J72" s="132">
        <v>400</v>
      </c>
      <c r="K72" s="133">
        <v>1350</v>
      </c>
      <c r="L72" s="131" t="s">
        <v>113</v>
      </c>
      <c r="M72" s="133" t="s">
        <v>113</v>
      </c>
      <c r="N72" s="131">
        <f t="shared" ref="N72" si="18">I72+J72</f>
        <v>4110.2272727272721</v>
      </c>
      <c r="O72" s="4">
        <f t="shared" ref="O72" si="19">I72+K72</f>
        <v>5060.2272727272721</v>
      </c>
      <c r="P72" s="39"/>
      <c r="Q72" s="39"/>
      <c r="R72" s="39"/>
      <c r="S72" s="39"/>
      <c r="T72" s="39"/>
      <c r="U72" s="39"/>
      <c r="V72" s="39"/>
      <c r="W72" s="39"/>
      <c r="X72" s="39"/>
      <c r="Y72" s="39"/>
      <c r="Z72" s="39"/>
    </row>
    <row r="73" spans="1:26" s="3" customFormat="1" ht="27" customHeight="1" x14ac:dyDescent="0.25">
      <c r="A73" s="145">
        <f t="shared" si="17"/>
        <v>70</v>
      </c>
      <c r="B73" s="15" t="s">
        <v>68</v>
      </c>
      <c r="C73" s="73" t="s">
        <v>177</v>
      </c>
      <c r="D73" s="74" t="s">
        <v>163</v>
      </c>
      <c r="E73" s="84" t="s">
        <v>199</v>
      </c>
      <c r="F73" s="34" t="s">
        <v>112</v>
      </c>
      <c r="G73" s="34">
        <v>96</v>
      </c>
      <c r="H73" s="34">
        <v>0.28055555555555556</v>
      </c>
      <c r="I73" s="128">
        <v>450</v>
      </c>
      <c r="J73" s="132">
        <v>400</v>
      </c>
      <c r="K73" s="133">
        <v>1350</v>
      </c>
      <c r="L73" s="131" t="s">
        <v>113</v>
      </c>
      <c r="M73" s="133" t="s">
        <v>113</v>
      </c>
      <c r="N73" s="131">
        <f t="shared" si="14"/>
        <v>850</v>
      </c>
      <c r="O73" s="4">
        <f t="shared" si="15"/>
        <v>1800</v>
      </c>
      <c r="P73" s="39"/>
      <c r="Q73" s="39"/>
      <c r="R73" s="39"/>
      <c r="S73" s="39"/>
      <c r="T73" s="39"/>
      <c r="U73" s="39"/>
      <c r="V73" s="39"/>
      <c r="W73" s="39"/>
      <c r="X73" s="39"/>
      <c r="Y73" s="39"/>
      <c r="Z73" s="39"/>
    </row>
    <row r="74" spans="1:26" s="3" customFormat="1" ht="27" customHeight="1" x14ac:dyDescent="0.25">
      <c r="A74" s="145">
        <f t="shared" si="17"/>
        <v>71</v>
      </c>
      <c r="B74" s="15" t="s">
        <v>68</v>
      </c>
      <c r="C74" s="73" t="s">
        <v>177</v>
      </c>
      <c r="D74" s="74" t="s">
        <v>169</v>
      </c>
      <c r="E74" s="84" t="s">
        <v>200</v>
      </c>
      <c r="F74" s="34" t="s">
        <v>112</v>
      </c>
      <c r="G74" s="34">
        <v>105</v>
      </c>
      <c r="H74" s="34">
        <v>0.11666666666666665</v>
      </c>
      <c r="I74" s="128">
        <v>553.40909090909088</v>
      </c>
      <c r="J74" s="132">
        <v>400</v>
      </c>
      <c r="K74" s="133">
        <v>1350</v>
      </c>
      <c r="L74" s="131" t="s">
        <v>113</v>
      </c>
      <c r="M74" s="133" t="s">
        <v>113</v>
      </c>
      <c r="N74" s="131">
        <f t="shared" si="14"/>
        <v>953.40909090909088</v>
      </c>
      <c r="O74" s="4">
        <f t="shared" si="15"/>
        <v>1903.409090909091</v>
      </c>
      <c r="P74" s="39"/>
      <c r="Q74" s="39"/>
      <c r="R74" s="39"/>
      <c r="S74" s="39"/>
      <c r="T74" s="39"/>
      <c r="U74" s="39"/>
      <c r="V74" s="39"/>
      <c r="W74" s="39"/>
      <c r="X74" s="39"/>
      <c r="Y74" s="39"/>
      <c r="Z74" s="39"/>
    </row>
    <row r="75" spans="1:26" s="3" customFormat="1" ht="27" customHeight="1" x14ac:dyDescent="0.25">
      <c r="A75" s="145">
        <f t="shared" si="17"/>
        <v>72</v>
      </c>
      <c r="B75" s="15" t="s">
        <v>68</v>
      </c>
      <c r="C75" s="73" t="s">
        <v>183</v>
      </c>
      <c r="D75" s="74" t="s">
        <v>114</v>
      </c>
      <c r="E75" s="84" t="s">
        <v>201</v>
      </c>
      <c r="F75" s="34" t="s">
        <v>112</v>
      </c>
      <c r="G75" s="34">
        <v>121</v>
      </c>
      <c r="H75" s="34">
        <v>0.10416666666666667</v>
      </c>
      <c r="I75" s="128">
        <v>533</v>
      </c>
      <c r="J75" s="132">
        <v>400</v>
      </c>
      <c r="K75" s="133">
        <v>1350</v>
      </c>
      <c r="L75" s="131" t="s">
        <v>113</v>
      </c>
      <c r="M75" s="133" t="s">
        <v>113</v>
      </c>
      <c r="N75" s="131">
        <f t="shared" si="14"/>
        <v>933</v>
      </c>
      <c r="O75" s="4">
        <f t="shared" si="15"/>
        <v>1883</v>
      </c>
      <c r="P75" s="39"/>
      <c r="Q75" s="39"/>
      <c r="R75" s="39"/>
      <c r="S75" s="39"/>
      <c r="T75" s="39"/>
      <c r="U75" s="39"/>
      <c r="V75" s="39"/>
      <c r="W75" s="39"/>
      <c r="X75" s="39"/>
      <c r="Y75" s="39"/>
      <c r="Z75" s="39"/>
    </row>
    <row r="76" spans="1:26" s="3" customFormat="1" ht="27" customHeight="1" x14ac:dyDescent="0.25">
      <c r="A76" s="145">
        <f t="shared" si="17"/>
        <v>73</v>
      </c>
      <c r="B76" s="15" t="s">
        <v>68</v>
      </c>
      <c r="C76" s="73" t="s">
        <v>183</v>
      </c>
      <c r="D76" s="74" t="s">
        <v>169</v>
      </c>
      <c r="E76" s="84" t="s">
        <v>202</v>
      </c>
      <c r="F76" s="34" t="s">
        <v>112</v>
      </c>
      <c r="G76" s="34">
        <v>171</v>
      </c>
      <c r="H76" s="34">
        <v>0.12083333333333333</v>
      </c>
      <c r="I76" s="128">
        <v>632.9545454545455</v>
      </c>
      <c r="J76" s="132">
        <v>400</v>
      </c>
      <c r="K76" s="133">
        <v>1350</v>
      </c>
      <c r="L76" s="131" t="s">
        <v>113</v>
      </c>
      <c r="M76" s="133" t="s">
        <v>113</v>
      </c>
      <c r="N76" s="131">
        <f t="shared" si="14"/>
        <v>1032.9545454545455</v>
      </c>
      <c r="O76" s="4">
        <f t="shared" si="15"/>
        <v>1982.9545454545455</v>
      </c>
      <c r="P76" s="39"/>
      <c r="Q76" s="39"/>
      <c r="R76" s="39"/>
      <c r="S76" s="39"/>
      <c r="T76" s="39"/>
      <c r="U76" s="39"/>
      <c r="V76" s="39"/>
      <c r="W76" s="39"/>
      <c r="X76" s="39"/>
      <c r="Y76" s="39"/>
      <c r="Z76" s="39"/>
    </row>
    <row r="77" spans="1:26" s="3" customFormat="1" ht="27" customHeight="1" x14ac:dyDescent="0.25">
      <c r="A77" s="145">
        <f t="shared" si="17"/>
        <v>74</v>
      </c>
      <c r="B77" s="15" t="s">
        <v>68</v>
      </c>
      <c r="C77" s="73" t="s">
        <v>183</v>
      </c>
      <c r="D77" s="74" t="s">
        <v>158</v>
      </c>
      <c r="E77" s="84" t="s">
        <v>203</v>
      </c>
      <c r="F77" s="34" t="s">
        <v>112</v>
      </c>
      <c r="G77" s="34">
        <v>204</v>
      </c>
      <c r="H77" s="34">
        <v>2.2152777777777777</v>
      </c>
      <c r="I77" s="128">
        <v>3381.818181818182</v>
      </c>
      <c r="J77" s="132">
        <v>400</v>
      </c>
      <c r="K77" s="133">
        <v>1350</v>
      </c>
      <c r="L77" s="131" t="s">
        <v>113</v>
      </c>
      <c r="M77" s="133" t="s">
        <v>113</v>
      </c>
      <c r="N77" s="131">
        <f t="shared" ref="N77:N109" si="20">I77+J77</f>
        <v>3781.818181818182</v>
      </c>
      <c r="O77" s="4">
        <f t="shared" ref="O77:O109" si="21">I77+K77</f>
        <v>4731.818181818182</v>
      </c>
      <c r="P77" s="39"/>
      <c r="Q77" s="39"/>
      <c r="R77" s="39"/>
      <c r="S77" s="39"/>
      <c r="T77" s="39"/>
      <c r="U77" s="39"/>
      <c r="V77" s="39"/>
      <c r="W77" s="39"/>
      <c r="X77" s="39"/>
      <c r="Y77" s="39"/>
      <c r="Z77" s="39"/>
    </row>
    <row r="78" spans="1:26" s="3" customFormat="1" ht="27" customHeight="1" x14ac:dyDescent="0.25">
      <c r="A78" s="145">
        <f t="shared" si="17"/>
        <v>75</v>
      </c>
      <c r="B78" s="15" t="s">
        <v>68</v>
      </c>
      <c r="C78" s="73" t="s">
        <v>183</v>
      </c>
      <c r="D78" s="74" t="s">
        <v>163</v>
      </c>
      <c r="E78" s="84" t="s">
        <v>204</v>
      </c>
      <c r="F78" s="34" t="s">
        <v>112</v>
      </c>
      <c r="G78" s="34">
        <v>240</v>
      </c>
      <c r="H78" s="34">
        <v>2.4416666666666669</v>
      </c>
      <c r="I78" s="128">
        <v>540</v>
      </c>
      <c r="J78" s="132">
        <v>400</v>
      </c>
      <c r="K78" s="133">
        <v>1350</v>
      </c>
      <c r="L78" s="131" t="s">
        <v>113</v>
      </c>
      <c r="M78" s="133" t="s">
        <v>113</v>
      </c>
      <c r="N78" s="131">
        <f t="shared" si="20"/>
        <v>940</v>
      </c>
      <c r="O78" s="4">
        <f t="shared" si="21"/>
        <v>1890</v>
      </c>
      <c r="P78" s="39"/>
      <c r="Q78" s="39"/>
      <c r="R78" s="39"/>
      <c r="S78" s="39"/>
      <c r="T78" s="39"/>
      <c r="U78" s="39"/>
      <c r="V78" s="39"/>
      <c r="W78" s="39"/>
      <c r="X78" s="39"/>
      <c r="Y78" s="39"/>
      <c r="Z78" s="39"/>
    </row>
    <row r="79" spans="1:26" s="3" customFormat="1" ht="27" customHeight="1" x14ac:dyDescent="0.25">
      <c r="A79" s="145">
        <f t="shared" si="17"/>
        <v>76</v>
      </c>
      <c r="B79" s="15" t="s">
        <v>68</v>
      </c>
      <c r="C79" s="73" t="s">
        <v>183</v>
      </c>
      <c r="D79" s="74" t="s">
        <v>169</v>
      </c>
      <c r="E79" s="84" t="s">
        <v>205</v>
      </c>
      <c r="F79" s="34" t="s">
        <v>112</v>
      </c>
      <c r="G79" s="34">
        <v>281</v>
      </c>
      <c r="H79" s="34">
        <v>0.16666666666666666</v>
      </c>
      <c r="I79" s="128">
        <v>729.5454545454545</v>
      </c>
      <c r="J79" s="132">
        <v>400</v>
      </c>
      <c r="K79" s="133">
        <v>1350</v>
      </c>
      <c r="L79" s="131" t="s">
        <v>113</v>
      </c>
      <c r="M79" s="133" t="s">
        <v>113</v>
      </c>
      <c r="N79" s="131">
        <f t="shared" si="20"/>
        <v>1129.5454545454545</v>
      </c>
      <c r="O79" s="4">
        <f t="shared" si="21"/>
        <v>2079.5454545454545</v>
      </c>
      <c r="P79" s="39"/>
      <c r="Q79" s="39"/>
      <c r="R79" s="39"/>
      <c r="S79" s="39"/>
      <c r="T79" s="39"/>
      <c r="U79" s="39"/>
      <c r="V79" s="39"/>
      <c r="W79" s="39"/>
      <c r="X79" s="39"/>
      <c r="Y79" s="39"/>
      <c r="Z79" s="39"/>
    </row>
    <row r="80" spans="1:26" s="3" customFormat="1" ht="27" customHeight="1" x14ac:dyDescent="0.25">
      <c r="A80" s="145">
        <f t="shared" si="17"/>
        <v>77</v>
      </c>
      <c r="B80" s="15" t="s">
        <v>68</v>
      </c>
      <c r="C80" s="73" t="s">
        <v>183</v>
      </c>
      <c r="D80" s="74" t="s">
        <v>114</v>
      </c>
      <c r="E80" s="84" t="s">
        <v>206</v>
      </c>
      <c r="F80" s="34" t="s">
        <v>112</v>
      </c>
      <c r="G80" s="34">
        <v>298</v>
      </c>
      <c r="H80" s="34">
        <v>0.17083333333333331</v>
      </c>
      <c r="I80" s="128">
        <v>628</v>
      </c>
      <c r="J80" s="132">
        <v>400</v>
      </c>
      <c r="K80" s="133">
        <v>1350</v>
      </c>
      <c r="L80" s="131" t="s">
        <v>113</v>
      </c>
      <c r="M80" s="133" t="s">
        <v>113</v>
      </c>
      <c r="N80" s="131">
        <f t="shared" si="20"/>
        <v>1028</v>
      </c>
      <c r="O80" s="4">
        <f t="shared" si="21"/>
        <v>1978</v>
      </c>
      <c r="P80" s="39"/>
      <c r="Q80" s="39"/>
      <c r="R80" s="39"/>
      <c r="S80" s="39"/>
      <c r="T80" s="39"/>
      <c r="U80" s="39"/>
      <c r="V80" s="39"/>
      <c r="W80" s="39"/>
      <c r="X80" s="39"/>
      <c r="Y80" s="39"/>
      <c r="Z80" s="39"/>
    </row>
    <row r="81" spans="1:26" s="3" customFormat="1" ht="27" customHeight="1" x14ac:dyDescent="0.25">
      <c r="A81" s="145">
        <f t="shared" si="17"/>
        <v>78</v>
      </c>
      <c r="B81" s="16" t="s">
        <v>69</v>
      </c>
      <c r="C81" s="73" t="s">
        <v>151</v>
      </c>
      <c r="D81" s="74" t="s">
        <v>207</v>
      </c>
      <c r="E81" s="84" t="s">
        <v>208</v>
      </c>
      <c r="F81" s="34">
        <v>15</v>
      </c>
      <c r="G81" s="34" t="s">
        <v>112</v>
      </c>
      <c r="H81" s="34">
        <v>4.2212500000000004</v>
      </c>
      <c r="I81" s="128">
        <v>2420</v>
      </c>
      <c r="J81" s="132">
        <v>650</v>
      </c>
      <c r="K81" s="133">
        <v>2150</v>
      </c>
      <c r="L81" s="131">
        <v>1250</v>
      </c>
      <c r="M81" s="133">
        <v>4000</v>
      </c>
      <c r="N81" s="131">
        <f t="shared" si="20"/>
        <v>3070</v>
      </c>
      <c r="O81" s="4">
        <f t="shared" si="21"/>
        <v>4570</v>
      </c>
      <c r="P81" s="39"/>
      <c r="Q81" s="39"/>
      <c r="R81" s="39"/>
      <c r="S81" s="39"/>
      <c r="T81" s="39"/>
      <c r="U81" s="39"/>
      <c r="V81" s="39"/>
      <c r="W81" s="39"/>
      <c r="X81" s="39"/>
      <c r="Y81" s="39"/>
      <c r="Z81" s="39"/>
    </row>
    <row r="82" spans="1:26" s="3" customFormat="1" ht="27" customHeight="1" x14ac:dyDescent="0.25">
      <c r="A82" s="145">
        <f t="shared" si="17"/>
        <v>79</v>
      </c>
      <c r="B82" s="16" t="s">
        <v>69</v>
      </c>
      <c r="C82" s="73" t="s">
        <v>151</v>
      </c>
      <c r="D82" s="74" t="s">
        <v>158</v>
      </c>
      <c r="E82" s="84" t="s">
        <v>209</v>
      </c>
      <c r="F82" s="34">
        <v>16</v>
      </c>
      <c r="G82" s="34" t="s">
        <v>112</v>
      </c>
      <c r="H82" s="34">
        <v>3.4083333333333332</v>
      </c>
      <c r="I82" s="128">
        <v>4905.681818181818</v>
      </c>
      <c r="J82" s="132">
        <v>650</v>
      </c>
      <c r="K82" s="133">
        <v>2150</v>
      </c>
      <c r="L82" s="131">
        <v>1250</v>
      </c>
      <c r="M82" s="133">
        <v>4000</v>
      </c>
      <c r="N82" s="131">
        <f t="shared" si="20"/>
        <v>5555.681818181818</v>
      </c>
      <c r="O82" s="4">
        <f t="shared" si="21"/>
        <v>7055.681818181818</v>
      </c>
      <c r="P82" s="39"/>
      <c r="Q82" s="39"/>
      <c r="R82" s="39"/>
      <c r="S82" s="39"/>
      <c r="T82" s="39"/>
      <c r="U82" s="39"/>
      <c r="V82" s="39"/>
      <c r="W82" s="39"/>
      <c r="X82" s="39"/>
      <c r="Y82" s="39"/>
      <c r="Z82" s="39"/>
    </row>
    <row r="83" spans="1:26" s="3" customFormat="1" ht="27" customHeight="1" x14ac:dyDescent="0.25">
      <c r="A83" s="145">
        <f t="shared" si="17"/>
        <v>80</v>
      </c>
      <c r="B83" s="16" t="s">
        <v>69</v>
      </c>
      <c r="C83" s="73" t="s">
        <v>151</v>
      </c>
      <c r="D83" s="74" t="s">
        <v>158</v>
      </c>
      <c r="E83" s="84" t="s">
        <v>210</v>
      </c>
      <c r="F83" s="34">
        <v>16</v>
      </c>
      <c r="G83" s="34" t="s">
        <v>112</v>
      </c>
      <c r="H83" s="34">
        <v>19.916666666666668</v>
      </c>
      <c r="I83" s="128">
        <v>5946.590909090909</v>
      </c>
      <c r="J83" s="132">
        <v>650</v>
      </c>
      <c r="K83" s="133">
        <v>2150</v>
      </c>
      <c r="L83" s="131">
        <v>1250</v>
      </c>
      <c r="M83" s="133">
        <v>4000</v>
      </c>
      <c r="N83" s="131">
        <f t="shared" si="20"/>
        <v>6596.590909090909</v>
      </c>
      <c r="O83" s="4">
        <f t="shared" si="21"/>
        <v>8096.590909090909</v>
      </c>
      <c r="P83" s="39"/>
      <c r="Q83" s="39"/>
      <c r="R83" s="39"/>
      <c r="S83" s="39"/>
      <c r="T83" s="39"/>
      <c r="U83" s="39"/>
      <c r="V83" s="39"/>
      <c r="W83" s="39"/>
      <c r="X83" s="39"/>
      <c r="Y83" s="39"/>
      <c r="Z83" s="39"/>
    </row>
    <row r="84" spans="1:26" s="3" customFormat="1" ht="27" customHeight="1" x14ac:dyDescent="0.25">
      <c r="A84" s="145">
        <f t="shared" si="17"/>
        <v>81</v>
      </c>
      <c r="B84" s="16" t="s">
        <v>69</v>
      </c>
      <c r="C84" s="73" t="s">
        <v>151</v>
      </c>
      <c r="D84" s="74" t="s">
        <v>114</v>
      </c>
      <c r="E84" s="84" t="s">
        <v>211</v>
      </c>
      <c r="F84" s="34">
        <v>22.5</v>
      </c>
      <c r="G84" s="34" t="s">
        <v>112</v>
      </c>
      <c r="H84" s="34">
        <v>4.875</v>
      </c>
      <c r="I84" s="128">
        <v>2400</v>
      </c>
      <c r="J84" s="132">
        <v>650</v>
      </c>
      <c r="K84" s="133">
        <v>2150</v>
      </c>
      <c r="L84" s="131">
        <v>1250</v>
      </c>
      <c r="M84" s="133">
        <v>4000</v>
      </c>
      <c r="N84" s="131">
        <f t="shared" si="20"/>
        <v>3050</v>
      </c>
      <c r="O84" s="4">
        <f t="shared" si="21"/>
        <v>4550</v>
      </c>
      <c r="P84" s="39"/>
      <c r="Q84" s="39"/>
      <c r="R84" s="39"/>
      <c r="S84" s="39"/>
      <c r="T84" s="39"/>
      <c r="U84" s="39"/>
      <c r="V84" s="39"/>
      <c r="W84" s="39"/>
      <c r="X84" s="39"/>
      <c r="Y84" s="39"/>
      <c r="Z84" s="39"/>
    </row>
    <row r="85" spans="1:26" s="3" customFormat="1" ht="27" customHeight="1" x14ac:dyDescent="0.25">
      <c r="A85" s="145">
        <f t="shared" si="17"/>
        <v>82</v>
      </c>
      <c r="B85" s="16" t="s">
        <v>69</v>
      </c>
      <c r="C85" s="73" t="s">
        <v>151</v>
      </c>
      <c r="D85" s="74" t="s">
        <v>189</v>
      </c>
      <c r="E85" s="84" t="s">
        <v>212</v>
      </c>
      <c r="F85" s="34">
        <v>25.5</v>
      </c>
      <c r="G85" s="34" t="s">
        <v>112</v>
      </c>
      <c r="H85" s="34">
        <v>3.0062500000000001</v>
      </c>
      <c r="I85" s="128">
        <v>2897.7272727272725</v>
      </c>
      <c r="J85" s="132">
        <v>650</v>
      </c>
      <c r="K85" s="133">
        <v>2150</v>
      </c>
      <c r="L85" s="131">
        <v>1250</v>
      </c>
      <c r="M85" s="133">
        <v>4000</v>
      </c>
      <c r="N85" s="131">
        <f t="shared" si="20"/>
        <v>3547.7272727272725</v>
      </c>
      <c r="O85" s="4">
        <f t="shared" si="21"/>
        <v>5047.7272727272721</v>
      </c>
      <c r="P85" s="39"/>
      <c r="Q85" s="39"/>
      <c r="R85" s="39"/>
      <c r="S85" s="39"/>
      <c r="T85" s="39"/>
      <c r="U85" s="39"/>
      <c r="V85" s="39"/>
      <c r="W85" s="39"/>
      <c r="X85" s="39"/>
      <c r="Y85" s="39"/>
      <c r="Z85" s="39"/>
    </row>
    <row r="86" spans="1:26" s="3" customFormat="1" ht="27" customHeight="1" x14ac:dyDescent="0.25">
      <c r="A86" s="145">
        <f t="shared" si="17"/>
        <v>83</v>
      </c>
      <c r="B86" s="16" t="s">
        <v>69</v>
      </c>
      <c r="C86" s="73" t="s">
        <v>151</v>
      </c>
      <c r="D86" s="74" t="s">
        <v>169</v>
      </c>
      <c r="E86" s="84" t="s">
        <v>213</v>
      </c>
      <c r="F86" s="34">
        <v>25.5</v>
      </c>
      <c r="G86" s="34" t="s">
        <v>112</v>
      </c>
      <c r="H86" s="34">
        <v>3.4041666666666668</v>
      </c>
      <c r="I86" s="128">
        <v>3034.090909090909</v>
      </c>
      <c r="J86" s="132">
        <v>650</v>
      </c>
      <c r="K86" s="133">
        <v>2150</v>
      </c>
      <c r="L86" s="131">
        <v>1250</v>
      </c>
      <c r="M86" s="133">
        <v>4000</v>
      </c>
      <c r="N86" s="131">
        <f t="shared" si="20"/>
        <v>3684.090909090909</v>
      </c>
      <c r="O86" s="4">
        <f t="shared" si="21"/>
        <v>5184.090909090909</v>
      </c>
      <c r="P86" s="39"/>
      <c r="Q86" s="39"/>
      <c r="R86" s="39"/>
      <c r="S86" s="39"/>
      <c r="T86" s="39"/>
      <c r="U86" s="39"/>
      <c r="V86" s="39"/>
      <c r="W86" s="39"/>
      <c r="X86" s="39"/>
      <c r="Y86" s="39"/>
      <c r="Z86" s="39"/>
    </row>
    <row r="87" spans="1:26" s="3" customFormat="1" ht="27" customHeight="1" x14ac:dyDescent="0.25">
      <c r="A87" s="145">
        <f t="shared" si="17"/>
        <v>84</v>
      </c>
      <c r="B87" s="16" t="s">
        <v>69</v>
      </c>
      <c r="C87" s="73" t="s">
        <v>151</v>
      </c>
      <c r="D87" s="74" t="s">
        <v>152</v>
      </c>
      <c r="E87" s="84" t="s">
        <v>214</v>
      </c>
      <c r="F87" s="34">
        <v>27</v>
      </c>
      <c r="G87" s="34" t="s">
        <v>112</v>
      </c>
      <c r="H87" s="34">
        <v>3.2118055555555554</v>
      </c>
      <c r="I87" s="128">
        <v>2920</v>
      </c>
      <c r="J87" s="132">
        <v>650</v>
      </c>
      <c r="K87" s="133">
        <v>2150</v>
      </c>
      <c r="L87" s="131">
        <v>1250</v>
      </c>
      <c r="M87" s="133">
        <v>4000</v>
      </c>
      <c r="N87" s="131">
        <f t="shared" ref="N87" si="22">I87+J87</f>
        <v>3570</v>
      </c>
      <c r="O87" s="4">
        <f t="shared" ref="O87" si="23">I87+K87</f>
        <v>5070</v>
      </c>
      <c r="P87" s="39"/>
      <c r="Q87" s="39"/>
      <c r="R87" s="39"/>
      <c r="S87" s="39"/>
      <c r="T87" s="39"/>
      <c r="U87" s="39"/>
      <c r="V87" s="39"/>
      <c r="W87" s="39"/>
      <c r="X87" s="39"/>
      <c r="Y87" s="39"/>
      <c r="Z87" s="39"/>
    </row>
    <row r="88" spans="1:26" s="3" customFormat="1" ht="27" customHeight="1" x14ac:dyDescent="0.25">
      <c r="A88" s="145">
        <f t="shared" si="17"/>
        <v>85</v>
      </c>
      <c r="B88" s="16" t="s">
        <v>69</v>
      </c>
      <c r="C88" s="73" t="s">
        <v>151</v>
      </c>
      <c r="D88" s="74" t="s">
        <v>154</v>
      </c>
      <c r="E88" s="74" t="s">
        <v>439</v>
      </c>
      <c r="F88" s="34">
        <v>27.5</v>
      </c>
      <c r="G88" s="34" t="s">
        <v>112</v>
      </c>
      <c r="H88" s="34">
        <v>3.9791666666666665</v>
      </c>
      <c r="I88" s="128">
        <v>2562</v>
      </c>
      <c r="J88" s="132">
        <v>650</v>
      </c>
      <c r="K88" s="133">
        <v>2150</v>
      </c>
      <c r="L88" s="131">
        <v>1250</v>
      </c>
      <c r="M88" s="133">
        <v>4000</v>
      </c>
      <c r="N88" s="131">
        <f t="shared" si="20"/>
        <v>3212</v>
      </c>
      <c r="O88" s="4">
        <f t="shared" si="21"/>
        <v>4712</v>
      </c>
      <c r="P88" s="39"/>
      <c r="Q88" s="39"/>
      <c r="R88" s="39"/>
      <c r="S88" s="39"/>
      <c r="T88" s="39"/>
      <c r="U88" s="39"/>
      <c r="V88" s="39"/>
      <c r="W88" s="39"/>
      <c r="X88" s="39"/>
      <c r="Y88" s="39"/>
      <c r="Z88" s="39"/>
    </row>
    <row r="89" spans="1:26" s="3" customFormat="1" ht="27" customHeight="1" x14ac:dyDescent="0.25">
      <c r="A89" s="145">
        <f t="shared" si="17"/>
        <v>86</v>
      </c>
      <c r="B89" s="16" t="s">
        <v>69</v>
      </c>
      <c r="C89" s="73" t="s">
        <v>157</v>
      </c>
      <c r="D89" s="74" t="s">
        <v>158</v>
      </c>
      <c r="E89" s="84" t="s">
        <v>215</v>
      </c>
      <c r="F89" s="34">
        <v>36</v>
      </c>
      <c r="G89" s="34" t="s">
        <v>112</v>
      </c>
      <c r="H89" s="34">
        <f>(81+54/60)/24</f>
        <v>3.4125000000000001</v>
      </c>
      <c r="I89" s="128">
        <v>5806.818181818182</v>
      </c>
      <c r="J89" s="132">
        <v>650</v>
      </c>
      <c r="K89" s="133">
        <v>2150</v>
      </c>
      <c r="L89" s="131">
        <v>1250</v>
      </c>
      <c r="M89" s="133">
        <v>4000</v>
      </c>
      <c r="N89" s="131">
        <f t="shared" si="20"/>
        <v>6456.818181818182</v>
      </c>
      <c r="O89" s="4">
        <f t="shared" si="21"/>
        <v>7956.818181818182</v>
      </c>
      <c r="P89" s="39"/>
      <c r="Q89" s="39"/>
      <c r="R89" s="39"/>
      <c r="S89" s="39"/>
      <c r="T89" s="39"/>
      <c r="U89" s="39"/>
      <c r="V89" s="39"/>
      <c r="W89" s="39"/>
      <c r="X89" s="39"/>
      <c r="Y89" s="39"/>
      <c r="Z89" s="39"/>
    </row>
    <row r="90" spans="1:26" s="3" customFormat="1" ht="27" customHeight="1" x14ac:dyDescent="0.25">
      <c r="A90" s="145">
        <f t="shared" si="17"/>
        <v>87</v>
      </c>
      <c r="B90" s="16" t="s">
        <v>69</v>
      </c>
      <c r="C90" s="73" t="s">
        <v>157</v>
      </c>
      <c r="D90" s="74" t="s">
        <v>154</v>
      </c>
      <c r="E90" s="84" t="s">
        <v>216</v>
      </c>
      <c r="F90" s="34">
        <v>46.5</v>
      </c>
      <c r="G90" s="34" t="s">
        <v>112</v>
      </c>
      <c r="H90" s="34">
        <v>5.6166666666666671</v>
      </c>
      <c r="I90" s="128">
        <v>3450</v>
      </c>
      <c r="J90" s="132">
        <v>650</v>
      </c>
      <c r="K90" s="133">
        <v>2150</v>
      </c>
      <c r="L90" s="131">
        <v>1250</v>
      </c>
      <c r="M90" s="133">
        <v>4000</v>
      </c>
      <c r="N90" s="131">
        <f t="shared" si="20"/>
        <v>4100</v>
      </c>
      <c r="O90" s="4">
        <f t="shared" si="21"/>
        <v>5600</v>
      </c>
      <c r="P90" s="39"/>
      <c r="Q90" s="39"/>
      <c r="R90" s="39"/>
      <c r="S90" s="39"/>
      <c r="T90" s="39"/>
      <c r="U90" s="39"/>
      <c r="V90" s="39"/>
      <c r="W90" s="39"/>
      <c r="X90" s="39"/>
      <c r="Y90" s="39"/>
      <c r="Z90" s="39"/>
    </row>
    <row r="91" spans="1:26" s="3" customFormat="1" ht="27" customHeight="1" x14ac:dyDescent="0.25">
      <c r="A91" s="145">
        <f t="shared" si="17"/>
        <v>88</v>
      </c>
      <c r="B91" s="16" t="s">
        <v>69</v>
      </c>
      <c r="C91" s="73" t="s">
        <v>157</v>
      </c>
      <c r="D91" s="74" t="s">
        <v>163</v>
      </c>
      <c r="E91" s="84" t="s">
        <v>217</v>
      </c>
      <c r="F91" s="34">
        <v>50</v>
      </c>
      <c r="G91" s="34" t="s">
        <v>112</v>
      </c>
      <c r="H91" s="34">
        <f>120/24</f>
        <v>5</v>
      </c>
      <c r="I91" s="128">
        <v>2600</v>
      </c>
      <c r="J91" s="132">
        <v>650</v>
      </c>
      <c r="K91" s="133">
        <v>2150</v>
      </c>
      <c r="L91" s="131">
        <v>1250</v>
      </c>
      <c r="M91" s="133">
        <v>4000</v>
      </c>
      <c r="N91" s="131">
        <f t="shared" si="20"/>
        <v>3250</v>
      </c>
      <c r="O91" s="4">
        <f t="shared" si="21"/>
        <v>4750</v>
      </c>
      <c r="P91" s="39"/>
      <c r="Q91" s="39"/>
      <c r="R91" s="39"/>
      <c r="S91" s="39"/>
      <c r="T91" s="39"/>
      <c r="U91" s="39"/>
      <c r="V91" s="39"/>
      <c r="W91" s="39"/>
      <c r="X91" s="39"/>
      <c r="Y91" s="39"/>
      <c r="Z91" s="39"/>
    </row>
    <row r="92" spans="1:26" s="3" customFormat="1" ht="27" customHeight="1" x14ac:dyDescent="0.25">
      <c r="A92" s="145">
        <f t="shared" si="17"/>
        <v>89</v>
      </c>
      <c r="B92" s="16" t="s">
        <v>69</v>
      </c>
      <c r="C92" s="73" t="s">
        <v>157</v>
      </c>
      <c r="D92" s="74" t="s">
        <v>189</v>
      </c>
      <c r="E92" s="84" t="s">
        <v>218</v>
      </c>
      <c r="F92" s="34">
        <v>52.5</v>
      </c>
      <c r="G92" s="34" t="s">
        <v>112</v>
      </c>
      <c r="H92" s="34">
        <v>3.1</v>
      </c>
      <c r="I92" s="128">
        <v>3125</v>
      </c>
      <c r="J92" s="132">
        <v>650</v>
      </c>
      <c r="K92" s="133">
        <v>2150</v>
      </c>
      <c r="L92" s="131">
        <v>1250</v>
      </c>
      <c r="M92" s="133">
        <v>4000</v>
      </c>
      <c r="N92" s="131">
        <f t="shared" si="20"/>
        <v>3775</v>
      </c>
      <c r="O92" s="4">
        <f t="shared" si="21"/>
        <v>5275</v>
      </c>
      <c r="P92" s="39"/>
      <c r="Q92" s="39"/>
      <c r="R92" s="39"/>
      <c r="S92" s="39"/>
      <c r="T92" s="39"/>
      <c r="U92" s="39"/>
      <c r="V92" s="39"/>
      <c r="W92" s="39"/>
      <c r="X92" s="39"/>
      <c r="Y92" s="39"/>
      <c r="Z92" s="39"/>
    </row>
    <row r="93" spans="1:26" s="3" customFormat="1" ht="27" customHeight="1" x14ac:dyDescent="0.25">
      <c r="A93" s="145">
        <f t="shared" si="17"/>
        <v>90</v>
      </c>
      <c r="B93" s="16" t="s">
        <v>69</v>
      </c>
      <c r="C93" s="73" t="s">
        <v>157</v>
      </c>
      <c r="D93" s="74" t="s">
        <v>207</v>
      </c>
      <c r="E93" s="84" t="s">
        <v>219</v>
      </c>
      <c r="F93" s="34">
        <v>54.5</v>
      </c>
      <c r="G93" s="34" t="s">
        <v>112</v>
      </c>
      <c r="H93" s="34">
        <v>3.4784722222222224</v>
      </c>
      <c r="I93" s="128">
        <v>3165</v>
      </c>
      <c r="J93" s="132">
        <v>650</v>
      </c>
      <c r="K93" s="133">
        <v>2150</v>
      </c>
      <c r="L93" s="131">
        <v>1250</v>
      </c>
      <c r="M93" s="133">
        <v>4000</v>
      </c>
      <c r="N93" s="131">
        <f t="shared" si="20"/>
        <v>3815</v>
      </c>
      <c r="O93" s="4">
        <f t="shared" si="21"/>
        <v>5315</v>
      </c>
      <c r="P93" s="39"/>
      <c r="Q93" s="39"/>
      <c r="R93" s="39"/>
      <c r="S93" s="39"/>
      <c r="T93" s="39"/>
      <c r="U93" s="39"/>
      <c r="V93" s="39"/>
      <c r="W93" s="39"/>
      <c r="X93" s="39"/>
      <c r="Y93" s="39"/>
      <c r="Z93" s="39"/>
    </row>
    <row r="94" spans="1:26" s="3" customFormat="1" ht="27" customHeight="1" x14ac:dyDescent="0.25">
      <c r="A94" s="145">
        <f t="shared" si="17"/>
        <v>91</v>
      </c>
      <c r="B94" s="16" t="s">
        <v>69</v>
      </c>
      <c r="C94" s="73" t="s">
        <v>157</v>
      </c>
      <c r="D94" s="74" t="s">
        <v>169</v>
      </c>
      <c r="E94" s="84" t="s">
        <v>220</v>
      </c>
      <c r="F94" s="34">
        <v>55.5</v>
      </c>
      <c r="G94" s="34" t="s">
        <v>112</v>
      </c>
      <c r="H94" s="34">
        <v>3.0166666666666671</v>
      </c>
      <c r="I94" s="128">
        <v>3362.5</v>
      </c>
      <c r="J94" s="132">
        <v>650</v>
      </c>
      <c r="K94" s="133">
        <v>2150</v>
      </c>
      <c r="L94" s="131">
        <v>1250</v>
      </c>
      <c r="M94" s="133">
        <v>4000</v>
      </c>
      <c r="N94" s="131">
        <f>I94+J94</f>
        <v>4012.5</v>
      </c>
      <c r="O94" s="4">
        <f>I94+K94</f>
        <v>5512.5</v>
      </c>
      <c r="P94" s="39"/>
      <c r="Q94" s="39"/>
      <c r="R94" s="39"/>
      <c r="S94" s="39"/>
      <c r="T94" s="39"/>
      <c r="U94" s="39"/>
      <c r="V94" s="39"/>
      <c r="W94" s="39"/>
      <c r="X94" s="39"/>
      <c r="Y94" s="39"/>
      <c r="Z94" s="39"/>
    </row>
    <row r="95" spans="1:26" s="3" customFormat="1" ht="27" customHeight="1" x14ac:dyDescent="0.25">
      <c r="A95" s="145">
        <f t="shared" si="17"/>
        <v>92</v>
      </c>
      <c r="B95" s="16" t="s">
        <v>69</v>
      </c>
      <c r="C95" s="73" t="s">
        <v>157</v>
      </c>
      <c r="D95" s="74" t="s">
        <v>114</v>
      </c>
      <c r="E95" s="84" t="s">
        <v>221</v>
      </c>
      <c r="F95" s="34">
        <v>59</v>
      </c>
      <c r="G95" s="34" t="s">
        <v>112</v>
      </c>
      <c r="H95" s="34">
        <v>4</v>
      </c>
      <c r="I95" s="128">
        <v>2650</v>
      </c>
      <c r="J95" s="132">
        <v>650</v>
      </c>
      <c r="K95" s="133">
        <v>2150</v>
      </c>
      <c r="L95" s="131">
        <v>1250</v>
      </c>
      <c r="M95" s="133">
        <v>4000</v>
      </c>
      <c r="N95" s="131">
        <f t="shared" si="20"/>
        <v>3300</v>
      </c>
      <c r="O95" s="4">
        <f t="shared" si="21"/>
        <v>4800</v>
      </c>
      <c r="P95" s="39"/>
      <c r="Q95" s="39"/>
      <c r="R95" s="39"/>
      <c r="S95" s="39"/>
      <c r="T95" s="39"/>
      <c r="U95" s="39"/>
      <c r="V95" s="39"/>
      <c r="W95" s="39"/>
      <c r="X95" s="39"/>
      <c r="Y95" s="39"/>
      <c r="Z95" s="39"/>
    </row>
    <row r="96" spans="1:26" s="3" customFormat="1" ht="27" customHeight="1" x14ac:dyDescent="0.25">
      <c r="A96" s="145">
        <f t="shared" si="17"/>
        <v>93</v>
      </c>
      <c r="B96" s="16" t="s">
        <v>69</v>
      </c>
      <c r="C96" s="73" t="s">
        <v>168</v>
      </c>
      <c r="D96" s="74" t="s">
        <v>114</v>
      </c>
      <c r="E96" s="84" t="s">
        <v>222</v>
      </c>
      <c r="F96" s="34">
        <v>75</v>
      </c>
      <c r="G96" s="34" t="s">
        <v>112</v>
      </c>
      <c r="H96" s="34">
        <f>(92+46/60)/24</f>
        <v>3.8652777777777776</v>
      </c>
      <c r="I96" s="128">
        <v>2700</v>
      </c>
      <c r="J96" s="132">
        <v>650</v>
      </c>
      <c r="K96" s="133">
        <v>2150</v>
      </c>
      <c r="L96" s="131">
        <v>1250</v>
      </c>
      <c r="M96" s="133">
        <v>4000</v>
      </c>
      <c r="N96" s="131">
        <f t="shared" si="20"/>
        <v>3350</v>
      </c>
      <c r="O96" s="4">
        <f t="shared" si="21"/>
        <v>4850</v>
      </c>
      <c r="P96" s="39"/>
      <c r="Q96" s="39"/>
      <c r="R96" s="39"/>
      <c r="S96" s="39"/>
      <c r="T96" s="39"/>
      <c r="U96" s="39"/>
      <c r="V96" s="39"/>
      <c r="W96" s="39"/>
      <c r="X96" s="39"/>
      <c r="Y96" s="39"/>
      <c r="Z96" s="39"/>
    </row>
    <row r="97" spans="1:35" s="3" customFormat="1" ht="27" customHeight="1" x14ac:dyDescent="0.25">
      <c r="A97" s="145">
        <f t="shared" si="17"/>
        <v>94</v>
      </c>
      <c r="B97" s="16" t="s">
        <v>69</v>
      </c>
      <c r="C97" s="73" t="s">
        <v>168</v>
      </c>
      <c r="D97" s="74" t="s">
        <v>189</v>
      </c>
      <c r="E97" s="84" t="s">
        <v>223</v>
      </c>
      <c r="F97" s="34">
        <v>88</v>
      </c>
      <c r="G97" s="34" t="s">
        <v>112</v>
      </c>
      <c r="H97" s="34">
        <v>3.2562500000000001</v>
      </c>
      <c r="I97" s="128">
        <v>4205</v>
      </c>
      <c r="J97" s="132">
        <v>650</v>
      </c>
      <c r="K97" s="133">
        <v>2150</v>
      </c>
      <c r="L97" s="131">
        <v>1250</v>
      </c>
      <c r="M97" s="133">
        <v>4000</v>
      </c>
      <c r="N97" s="131">
        <f t="shared" si="20"/>
        <v>4855</v>
      </c>
      <c r="O97" s="4">
        <f t="shared" si="21"/>
        <v>6355</v>
      </c>
      <c r="P97" s="39"/>
      <c r="Q97" s="39"/>
      <c r="R97" s="39"/>
      <c r="S97" s="39"/>
      <c r="T97" s="39"/>
      <c r="U97" s="39"/>
      <c r="V97" s="39"/>
      <c r="W97" s="39"/>
      <c r="X97" s="39"/>
      <c r="Y97" s="39"/>
      <c r="Z97" s="39"/>
    </row>
    <row r="98" spans="1:35" s="3" customFormat="1" ht="27" customHeight="1" x14ac:dyDescent="0.25">
      <c r="A98" s="145">
        <f t="shared" si="17"/>
        <v>95</v>
      </c>
      <c r="B98" s="16" t="s">
        <v>69</v>
      </c>
      <c r="C98" s="73" t="s">
        <v>168</v>
      </c>
      <c r="D98" s="74" t="s">
        <v>158</v>
      </c>
      <c r="E98" s="84" t="s">
        <v>224</v>
      </c>
      <c r="F98" s="34">
        <v>89</v>
      </c>
      <c r="G98" s="34" t="s">
        <v>112</v>
      </c>
      <c r="H98" s="34">
        <v>4.8616666666666672</v>
      </c>
      <c r="I98" s="128">
        <v>7092.045454545455</v>
      </c>
      <c r="J98" s="132">
        <v>650</v>
      </c>
      <c r="K98" s="133">
        <v>2150</v>
      </c>
      <c r="L98" s="131">
        <v>1250</v>
      </c>
      <c r="M98" s="133">
        <v>4000</v>
      </c>
      <c r="N98" s="131">
        <f t="shared" si="20"/>
        <v>7742.045454545455</v>
      </c>
      <c r="O98" s="4">
        <f t="shared" si="21"/>
        <v>9242.0454545454559</v>
      </c>
      <c r="P98" s="39"/>
    </row>
    <row r="99" spans="1:35" s="3" customFormat="1" ht="27" customHeight="1" x14ac:dyDescent="0.25">
      <c r="A99" s="145">
        <f t="shared" si="17"/>
        <v>96</v>
      </c>
      <c r="B99" s="16" t="s">
        <v>69</v>
      </c>
      <c r="C99" s="73" t="s">
        <v>177</v>
      </c>
      <c r="D99" s="74" t="s">
        <v>169</v>
      </c>
      <c r="E99" s="84" t="s">
        <v>225</v>
      </c>
      <c r="F99" s="34">
        <v>92</v>
      </c>
      <c r="G99" s="34" t="s">
        <v>112</v>
      </c>
      <c r="H99" s="34">
        <v>3.0208333333333335</v>
      </c>
      <c r="I99" s="128">
        <v>3669.318181818182</v>
      </c>
      <c r="J99" s="132">
        <v>650</v>
      </c>
      <c r="K99" s="133">
        <v>2150</v>
      </c>
      <c r="L99" s="131">
        <v>1250</v>
      </c>
      <c r="M99" s="133">
        <v>4000</v>
      </c>
      <c r="N99" s="131">
        <f t="shared" si="20"/>
        <v>4319.318181818182</v>
      </c>
      <c r="O99" s="4">
        <f t="shared" si="21"/>
        <v>5819.318181818182</v>
      </c>
      <c r="P99" s="39"/>
    </row>
    <row r="100" spans="1:35" s="3" customFormat="1" ht="27" customHeight="1" x14ac:dyDescent="0.25">
      <c r="A100" s="145">
        <f t="shared" si="17"/>
        <v>97</v>
      </c>
      <c r="B100" s="16" t="s">
        <v>69</v>
      </c>
      <c r="C100" s="73" t="s">
        <v>177</v>
      </c>
      <c r="D100" s="74" t="s">
        <v>154</v>
      </c>
      <c r="E100" s="84" t="s">
        <v>226</v>
      </c>
      <c r="F100" s="34">
        <v>99</v>
      </c>
      <c r="G100" s="34" t="s">
        <v>112</v>
      </c>
      <c r="H100" s="34">
        <v>7.3312499999999998</v>
      </c>
      <c r="I100" s="128">
        <v>4750</v>
      </c>
      <c r="J100" s="132">
        <v>650</v>
      </c>
      <c r="K100" s="133">
        <v>2150</v>
      </c>
      <c r="L100" s="131">
        <v>1250</v>
      </c>
      <c r="M100" s="133">
        <v>4000</v>
      </c>
      <c r="N100" s="131">
        <f t="shared" si="20"/>
        <v>5400</v>
      </c>
      <c r="O100" s="4">
        <f t="shared" si="21"/>
        <v>6900</v>
      </c>
      <c r="P100" s="39"/>
    </row>
    <row r="101" spans="1:35" s="3" customFormat="1" ht="27" customHeight="1" x14ac:dyDescent="0.25">
      <c r="A101" s="145">
        <f t="shared" si="17"/>
        <v>98</v>
      </c>
      <c r="B101" s="16" t="s">
        <v>69</v>
      </c>
      <c r="C101" s="73" t="s">
        <v>177</v>
      </c>
      <c r="D101" s="74" t="s">
        <v>152</v>
      </c>
      <c r="E101" s="84" t="s">
        <v>227</v>
      </c>
      <c r="F101" s="34">
        <v>99</v>
      </c>
      <c r="G101" s="34" t="s">
        <v>112</v>
      </c>
      <c r="H101" s="34">
        <v>7.0874999999999995</v>
      </c>
      <c r="I101" s="128">
        <v>4847</v>
      </c>
      <c r="J101" s="132">
        <v>650</v>
      </c>
      <c r="K101" s="133">
        <v>2150</v>
      </c>
      <c r="L101" s="131">
        <v>1250</v>
      </c>
      <c r="M101" s="133">
        <v>4000</v>
      </c>
      <c r="N101" s="131">
        <f t="shared" si="20"/>
        <v>5497</v>
      </c>
      <c r="O101" s="4">
        <f t="shared" si="21"/>
        <v>6997</v>
      </c>
      <c r="P101" s="39"/>
    </row>
    <row r="102" spans="1:35" s="3" customFormat="1" ht="27" customHeight="1" x14ac:dyDescent="0.25">
      <c r="A102" s="145">
        <f t="shared" si="17"/>
        <v>99</v>
      </c>
      <c r="B102" s="16" t="s">
        <v>69</v>
      </c>
      <c r="C102" s="73" t="s">
        <v>177</v>
      </c>
      <c r="D102" s="74" t="s">
        <v>114</v>
      </c>
      <c r="E102" s="84" t="s">
        <v>228</v>
      </c>
      <c r="F102" s="34">
        <v>100</v>
      </c>
      <c r="G102" s="34" t="s">
        <v>112</v>
      </c>
      <c r="H102" s="34">
        <f>((112+24/60))/24</f>
        <v>4.6833333333333336</v>
      </c>
      <c r="I102" s="128">
        <v>3620</v>
      </c>
      <c r="J102" s="132">
        <v>650</v>
      </c>
      <c r="K102" s="133">
        <v>2150</v>
      </c>
      <c r="L102" s="131">
        <v>1250</v>
      </c>
      <c r="M102" s="133">
        <v>4000</v>
      </c>
      <c r="N102" s="131">
        <f>I102+J102</f>
        <v>4270</v>
      </c>
      <c r="O102" s="4">
        <f>I102+K102</f>
        <v>5770</v>
      </c>
      <c r="P102" s="39"/>
    </row>
    <row r="103" spans="1:35" s="3" customFormat="1" ht="27" customHeight="1" x14ac:dyDescent="0.25">
      <c r="A103" s="145">
        <f t="shared" si="17"/>
        <v>100</v>
      </c>
      <c r="B103" s="16" t="s">
        <v>69</v>
      </c>
      <c r="C103" s="73" t="s">
        <v>177</v>
      </c>
      <c r="D103" s="74" t="s">
        <v>189</v>
      </c>
      <c r="E103" s="84" t="s">
        <v>229</v>
      </c>
      <c r="F103" s="34">
        <v>110</v>
      </c>
      <c r="G103" s="34" t="s">
        <v>112</v>
      </c>
      <c r="H103" s="34">
        <v>3.2562500000000001</v>
      </c>
      <c r="I103" s="128">
        <v>4204.545454545455</v>
      </c>
      <c r="J103" s="132">
        <v>650</v>
      </c>
      <c r="K103" s="133">
        <v>2150</v>
      </c>
      <c r="L103" s="131">
        <v>1250</v>
      </c>
      <c r="M103" s="133">
        <v>4000</v>
      </c>
      <c r="N103" s="131">
        <f t="shared" si="20"/>
        <v>4854.545454545455</v>
      </c>
      <c r="O103" s="4">
        <f t="shared" si="21"/>
        <v>6354.545454545455</v>
      </c>
      <c r="P103" s="39"/>
    </row>
    <row r="104" spans="1:35" s="3" customFormat="1" ht="27" customHeight="1" x14ac:dyDescent="0.25">
      <c r="A104" s="145">
        <f t="shared" si="17"/>
        <v>101</v>
      </c>
      <c r="B104" s="16" t="s">
        <v>69</v>
      </c>
      <c r="C104" s="73" t="s">
        <v>183</v>
      </c>
      <c r="D104" s="74" t="s">
        <v>152</v>
      </c>
      <c r="E104" s="84" t="s">
        <v>230</v>
      </c>
      <c r="F104" s="34">
        <v>128</v>
      </c>
      <c r="G104" s="34" t="s">
        <v>112</v>
      </c>
      <c r="H104" s="34">
        <v>4.4958333333333336</v>
      </c>
      <c r="I104" s="128">
        <v>5330</v>
      </c>
      <c r="J104" s="132">
        <v>650</v>
      </c>
      <c r="K104" s="133">
        <v>2150</v>
      </c>
      <c r="L104" s="131">
        <v>1250</v>
      </c>
      <c r="M104" s="133">
        <v>4000</v>
      </c>
      <c r="N104" s="131">
        <f t="shared" si="20"/>
        <v>5980</v>
      </c>
      <c r="O104" s="4">
        <f t="shared" si="21"/>
        <v>7480</v>
      </c>
      <c r="P104" s="39"/>
    </row>
    <row r="105" spans="1:35" s="3" customFormat="1" ht="27" customHeight="1" x14ac:dyDescent="0.25">
      <c r="A105" s="145">
        <f t="shared" si="17"/>
        <v>102</v>
      </c>
      <c r="B105" s="16" t="s">
        <v>69</v>
      </c>
      <c r="C105" s="73" t="s">
        <v>183</v>
      </c>
      <c r="D105" s="74" t="s">
        <v>189</v>
      </c>
      <c r="E105" s="84" t="s">
        <v>231</v>
      </c>
      <c r="F105" s="34">
        <v>132</v>
      </c>
      <c r="G105" s="34" t="s">
        <v>112</v>
      </c>
      <c r="H105" s="34">
        <v>3.3118055555555554</v>
      </c>
      <c r="I105" s="128">
        <v>4431.818181818182</v>
      </c>
      <c r="J105" s="132">
        <v>650</v>
      </c>
      <c r="K105" s="133">
        <v>2150</v>
      </c>
      <c r="L105" s="131">
        <v>1250</v>
      </c>
      <c r="M105" s="133">
        <v>4000</v>
      </c>
      <c r="N105" s="131">
        <f t="shared" si="20"/>
        <v>5081.818181818182</v>
      </c>
      <c r="O105" s="4">
        <f t="shared" si="21"/>
        <v>6581.818181818182</v>
      </c>
      <c r="P105" s="39"/>
    </row>
    <row r="106" spans="1:35" s="3" customFormat="1" ht="27" customHeight="1" x14ac:dyDescent="0.25">
      <c r="A106" s="145">
        <f t="shared" si="17"/>
        <v>103</v>
      </c>
      <c r="B106" s="16" t="s">
        <v>69</v>
      </c>
      <c r="C106" s="73" t="s">
        <v>183</v>
      </c>
      <c r="D106" s="74" t="s">
        <v>169</v>
      </c>
      <c r="E106" s="84" t="s">
        <v>232</v>
      </c>
      <c r="F106" s="34">
        <v>170</v>
      </c>
      <c r="G106" s="34" t="s">
        <v>112</v>
      </c>
      <c r="H106" s="34">
        <v>3.0583333333333336</v>
      </c>
      <c r="I106" s="128">
        <v>4702.272727272727</v>
      </c>
      <c r="J106" s="132">
        <v>650</v>
      </c>
      <c r="K106" s="133">
        <v>2150</v>
      </c>
      <c r="L106" s="131">
        <v>1250</v>
      </c>
      <c r="M106" s="133">
        <v>4000</v>
      </c>
      <c r="N106" s="131">
        <f t="shared" si="20"/>
        <v>5352.272727272727</v>
      </c>
      <c r="O106" s="4">
        <f t="shared" si="21"/>
        <v>6852.272727272727</v>
      </c>
      <c r="P106" s="39"/>
    </row>
    <row r="107" spans="1:35" s="3" customFormat="1" ht="27" customHeight="1" x14ac:dyDescent="0.25">
      <c r="A107" s="145">
        <f t="shared" si="17"/>
        <v>104</v>
      </c>
      <c r="B107" s="16" t="s">
        <v>69</v>
      </c>
      <c r="C107" s="73" t="s">
        <v>183</v>
      </c>
      <c r="D107" s="74" t="s">
        <v>114</v>
      </c>
      <c r="E107" s="84" t="s">
        <v>233</v>
      </c>
      <c r="F107" s="34">
        <v>200</v>
      </c>
      <c r="G107" s="34" t="s">
        <v>112</v>
      </c>
      <c r="H107" s="34">
        <f>(93+(23/60))/24</f>
        <v>3.8909722222222225</v>
      </c>
      <c r="I107" s="128">
        <v>4150</v>
      </c>
      <c r="J107" s="132">
        <v>650</v>
      </c>
      <c r="K107" s="133">
        <v>2150</v>
      </c>
      <c r="L107" s="131">
        <v>1250</v>
      </c>
      <c r="M107" s="133">
        <v>4000</v>
      </c>
      <c r="N107" s="131">
        <f t="shared" si="20"/>
        <v>4800</v>
      </c>
      <c r="O107" s="4">
        <f t="shared" si="21"/>
        <v>6300</v>
      </c>
      <c r="P107" s="39"/>
    </row>
    <row r="108" spans="1:35" s="3" customFormat="1" ht="27" customHeight="1" x14ac:dyDescent="0.25">
      <c r="A108" s="145">
        <f t="shared" si="17"/>
        <v>105</v>
      </c>
      <c r="B108" s="16" t="s">
        <v>69</v>
      </c>
      <c r="C108" s="73" t="s">
        <v>183</v>
      </c>
      <c r="D108" s="74" t="s">
        <v>158</v>
      </c>
      <c r="E108" s="84" t="s">
        <v>234</v>
      </c>
      <c r="F108" s="34">
        <v>220</v>
      </c>
      <c r="G108" s="34" t="s">
        <v>112</v>
      </c>
      <c r="H108" s="34">
        <f>(91+16/60)/24</f>
        <v>3.8027777777777776</v>
      </c>
      <c r="I108" s="128">
        <v>7775</v>
      </c>
      <c r="J108" s="132">
        <v>650</v>
      </c>
      <c r="K108" s="133">
        <v>2150</v>
      </c>
      <c r="L108" s="131">
        <v>1250</v>
      </c>
      <c r="M108" s="133">
        <v>4000</v>
      </c>
      <c r="N108" s="131">
        <f t="shared" si="20"/>
        <v>8425</v>
      </c>
      <c r="O108" s="4">
        <f t="shared" si="21"/>
        <v>9925</v>
      </c>
      <c r="P108" s="39"/>
    </row>
    <row r="109" spans="1:35" s="3" customFormat="1" ht="27" customHeight="1" x14ac:dyDescent="0.25">
      <c r="A109" s="145">
        <f t="shared" si="17"/>
        <v>106</v>
      </c>
      <c r="B109" s="17" t="s">
        <v>70</v>
      </c>
      <c r="C109" s="73" t="s">
        <v>151</v>
      </c>
      <c r="D109" s="74" t="s">
        <v>158</v>
      </c>
      <c r="E109" s="84" t="s">
        <v>235</v>
      </c>
      <c r="F109" s="34">
        <v>16</v>
      </c>
      <c r="G109" s="35">
        <v>2.4</v>
      </c>
      <c r="H109" s="35">
        <v>3.5</v>
      </c>
      <c r="I109" s="128">
        <v>4944.318181818182</v>
      </c>
      <c r="J109" s="132">
        <v>650</v>
      </c>
      <c r="K109" s="133">
        <v>2150</v>
      </c>
      <c r="L109" s="131">
        <v>1250</v>
      </c>
      <c r="M109" s="133">
        <v>4000</v>
      </c>
      <c r="N109" s="131">
        <f t="shared" si="20"/>
        <v>5594.318181818182</v>
      </c>
      <c r="O109" s="4">
        <f t="shared" si="21"/>
        <v>7094.318181818182</v>
      </c>
      <c r="P109" s="39"/>
    </row>
    <row r="110" spans="1:35" s="3" customFormat="1" ht="27" customHeight="1" x14ac:dyDescent="0.25">
      <c r="A110" s="145">
        <f t="shared" si="17"/>
        <v>107</v>
      </c>
      <c r="B110" s="17" t="s">
        <v>70</v>
      </c>
      <c r="C110" s="73" t="s">
        <v>151</v>
      </c>
      <c r="D110" s="74" t="s">
        <v>169</v>
      </c>
      <c r="E110" s="74" t="s">
        <v>237</v>
      </c>
      <c r="F110" s="34">
        <v>20</v>
      </c>
      <c r="G110" s="34">
        <v>34.299999999999997</v>
      </c>
      <c r="H110" s="34">
        <v>3.0508333333333333</v>
      </c>
      <c r="I110" s="128">
        <v>5142.045454545455</v>
      </c>
      <c r="J110" s="132">
        <v>650</v>
      </c>
      <c r="K110" s="133">
        <v>2150</v>
      </c>
      <c r="L110" s="131">
        <v>1250</v>
      </c>
      <c r="M110" s="133">
        <v>4000</v>
      </c>
      <c r="N110" s="131">
        <f t="shared" ref="N110:N112" si="24">I110+J110</f>
        <v>5792.045454545455</v>
      </c>
      <c r="O110" s="4">
        <f t="shared" ref="O110:O112" si="25">I110+K110</f>
        <v>7292.045454545455</v>
      </c>
      <c r="P110" s="39"/>
      <c r="AB110" s="60"/>
      <c r="AC110" s="60"/>
      <c r="AD110" s="60"/>
      <c r="AE110" s="60"/>
    </row>
    <row r="111" spans="1:35" s="3" customFormat="1" ht="27" customHeight="1" x14ac:dyDescent="0.25">
      <c r="A111" s="145">
        <f t="shared" si="17"/>
        <v>108</v>
      </c>
      <c r="B111" s="17" t="s">
        <v>70</v>
      </c>
      <c r="C111" s="73" t="s">
        <v>157</v>
      </c>
      <c r="D111" s="74" t="s">
        <v>158</v>
      </c>
      <c r="E111" s="84" t="s">
        <v>236</v>
      </c>
      <c r="F111" s="34">
        <v>36</v>
      </c>
      <c r="G111" s="34">
        <v>4.8</v>
      </c>
      <c r="H111" s="34">
        <v>3.4125000000000001</v>
      </c>
      <c r="I111" s="128">
        <v>6118.181818181818</v>
      </c>
      <c r="J111" s="132">
        <v>650</v>
      </c>
      <c r="K111" s="133">
        <v>2150</v>
      </c>
      <c r="L111" s="131">
        <v>1250</v>
      </c>
      <c r="M111" s="133">
        <v>4000</v>
      </c>
      <c r="N111" s="131">
        <f t="shared" si="24"/>
        <v>6768.181818181818</v>
      </c>
      <c r="O111" s="4">
        <f t="shared" si="25"/>
        <v>8268.181818181818</v>
      </c>
      <c r="P111" s="39"/>
      <c r="Q111" s="181"/>
      <c r="R111" s="181"/>
      <c r="S111" s="181"/>
      <c r="T111" s="181"/>
      <c r="U111" s="181"/>
      <c r="V111" s="181"/>
      <c r="W111" s="181"/>
      <c r="X111" s="181"/>
      <c r="Y111" s="181"/>
      <c r="Z111" s="181"/>
      <c r="AB111" s="60"/>
      <c r="AC111" s="60"/>
      <c r="AD111" s="60"/>
      <c r="AE111" s="60"/>
    </row>
    <row r="112" spans="1:35" s="37" customFormat="1" ht="30" x14ac:dyDescent="0.25">
      <c r="A112" s="145">
        <f t="shared" si="17"/>
        <v>109</v>
      </c>
      <c r="B112" s="17" t="s">
        <v>70</v>
      </c>
      <c r="C112" s="73" t="s">
        <v>157</v>
      </c>
      <c r="D112" s="74" t="s">
        <v>114</v>
      </c>
      <c r="E112" s="84" t="s">
        <v>238</v>
      </c>
      <c r="F112" s="34">
        <v>37.5</v>
      </c>
      <c r="G112" s="34">
        <v>32</v>
      </c>
      <c r="H112" s="34">
        <v>4.7875000000000005</v>
      </c>
      <c r="I112" s="128">
        <v>3950</v>
      </c>
      <c r="J112" s="132">
        <v>650</v>
      </c>
      <c r="K112" s="133">
        <v>2150</v>
      </c>
      <c r="L112" s="131">
        <v>1250</v>
      </c>
      <c r="M112" s="133">
        <v>4000</v>
      </c>
      <c r="N112" s="131">
        <f t="shared" si="24"/>
        <v>4600</v>
      </c>
      <c r="O112" s="4">
        <f t="shared" si="25"/>
        <v>6100</v>
      </c>
      <c r="P112" s="39"/>
      <c r="Q112" s="60"/>
      <c r="R112" s="60"/>
      <c r="S112" s="60"/>
      <c r="T112" s="60"/>
      <c r="U112" s="60"/>
      <c r="V112" s="60"/>
      <c r="W112" s="60"/>
      <c r="X112" s="60"/>
      <c r="Y112" s="60"/>
      <c r="Z112" s="60"/>
      <c r="AA112" s="60"/>
      <c r="AB112" s="60"/>
      <c r="AC112" s="60"/>
      <c r="AD112" s="60"/>
      <c r="AE112" s="60"/>
      <c r="AF112" s="60"/>
      <c r="AG112" s="60"/>
      <c r="AH112" s="60"/>
      <c r="AI112" s="3"/>
    </row>
    <row r="113" spans="1:35" s="60" customFormat="1" ht="30" x14ac:dyDescent="0.25">
      <c r="A113" s="145">
        <f t="shared" si="17"/>
        <v>110</v>
      </c>
      <c r="B113" s="17" t="s">
        <v>70</v>
      </c>
      <c r="C113" s="73" t="s">
        <v>157</v>
      </c>
      <c r="D113" s="74" t="s">
        <v>169</v>
      </c>
      <c r="E113" s="74" t="s">
        <v>239</v>
      </c>
      <c r="F113" s="34">
        <v>36</v>
      </c>
      <c r="G113" s="34">
        <v>34.299999999999997</v>
      </c>
      <c r="H113" s="34">
        <v>3</v>
      </c>
      <c r="I113" s="128">
        <v>5465.909090909091</v>
      </c>
      <c r="J113" s="132">
        <v>650</v>
      </c>
      <c r="K113" s="133">
        <v>2150</v>
      </c>
      <c r="L113" s="131">
        <v>1250</v>
      </c>
      <c r="M113" s="133">
        <v>4000</v>
      </c>
      <c r="N113" s="131">
        <v>6065.2000000000007</v>
      </c>
      <c r="O113" s="4">
        <v>7565.2000000000007</v>
      </c>
      <c r="P113" s="39"/>
    </row>
    <row r="114" spans="1:35" s="60" customFormat="1" ht="30" x14ac:dyDescent="0.25">
      <c r="A114" s="145">
        <f t="shared" si="17"/>
        <v>111</v>
      </c>
      <c r="B114" s="17" t="s">
        <v>70</v>
      </c>
      <c r="C114" s="73" t="s">
        <v>157</v>
      </c>
      <c r="D114" s="74" t="s">
        <v>189</v>
      </c>
      <c r="E114" s="84" t="s">
        <v>240</v>
      </c>
      <c r="F114" s="34">
        <v>57</v>
      </c>
      <c r="G114" s="34">
        <v>24</v>
      </c>
      <c r="H114" s="34">
        <v>3.4583333333333335</v>
      </c>
      <c r="I114" s="128">
        <v>5284.090909090909</v>
      </c>
      <c r="J114" s="132">
        <v>650</v>
      </c>
      <c r="K114" s="133">
        <v>2150</v>
      </c>
      <c r="L114" s="131">
        <v>1250</v>
      </c>
      <c r="M114" s="133">
        <v>4000</v>
      </c>
      <c r="N114" s="131">
        <f>I114+J114</f>
        <v>5934.090909090909</v>
      </c>
      <c r="O114" s="4">
        <f>I114+K114</f>
        <v>7434.090909090909</v>
      </c>
      <c r="P114" s="39"/>
    </row>
    <row r="115" spans="1:35" s="60" customFormat="1" ht="30" x14ac:dyDescent="0.25">
      <c r="A115" s="145">
        <f t="shared" si="17"/>
        <v>112</v>
      </c>
      <c r="B115" s="17" t="s">
        <v>70</v>
      </c>
      <c r="C115" s="73" t="s">
        <v>157</v>
      </c>
      <c r="D115" s="74" t="s">
        <v>154</v>
      </c>
      <c r="E115" s="84" t="s">
        <v>241</v>
      </c>
      <c r="F115" s="34">
        <v>58</v>
      </c>
      <c r="G115" s="34">
        <v>44</v>
      </c>
      <c r="H115" s="34">
        <f>283.5/24</f>
        <v>11.8125</v>
      </c>
      <c r="I115" s="128">
        <v>5500</v>
      </c>
      <c r="J115" s="132">
        <v>650</v>
      </c>
      <c r="K115" s="133">
        <v>2150</v>
      </c>
      <c r="L115" s="131">
        <v>1250</v>
      </c>
      <c r="M115" s="133">
        <v>4000</v>
      </c>
      <c r="N115" s="131">
        <v>5746.0000000000009</v>
      </c>
      <c r="O115" s="4">
        <v>7246.0000000000009</v>
      </c>
      <c r="P115" s="39"/>
    </row>
    <row r="116" spans="1:35" s="60" customFormat="1" ht="30" x14ac:dyDescent="0.25">
      <c r="A116" s="145">
        <f t="shared" si="17"/>
        <v>113</v>
      </c>
      <c r="B116" s="17" t="s">
        <v>70</v>
      </c>
      <c r="C116" s="73" t="s">
        <v>168</v>
      </c>
      <c r="D116" s="74" t="s">
        <v>158</v>
      </c>
      <c r="E116" s="84" t="s">
        <v>242</v>
      </c>
      <c r="F116" s="34">
        <v>70</v>
      </c>
      <c r="G116" s="34">
        <v>42</v>
      </c>
      <c r="H116" s="34">
        <v>3.0791666666666671</v>
      </c>
      <c r="I116" s="128">
        <v>10298.863636363636</v>
      </c>
      <c r="J116" s="132">
        <v>650</v>
      </c>
      <c r="K116" s="133">
        <v>2150</v>
      </c>
      <c r="L116" s="131">
        <v>1250</v>
      </c>
      <c r="M116" s="133">
        <v>4000</v>
      </c>
      <c r="N116" s="131">
        <f>I116+J116</f>
        <v>10948.863636363636</v>
      </c>
      <c r="O116" s="4">
        <f>I116+K116</f>
        <v>12448.863636363636</v>
      </c>
      <c r="P116" s="39"/>
    </row>
    <row r="117" spans="1:35" ht="30" x14ac:dyDescent="0.25">
      <c r="A117" s="145">
        <f t="shared" si="17"/>
        <v>114</v>
      </c>
      <c r="B117" s="17" t="s">
        <v>70</v>
      </c>
      <c r="C117" s="73" t="s">
        <v>177</v>
      </c>
      <c r="D117" s="74" t="s">
        <v>114</v>
      </c>
      <c r="E117" s="84" t="s">
        <v>243</v>
      </c>
      <c r="F117" s="34">
        <v>100</v>
      </c>
      <c r="G117" s="34">
        <v>40</v>
      </c>
      <c r="H117" s="34">
        <v>5.0604166666666668</v>
      </c>
      <c r="I117" s="128">
        <v>5750</v>
      </c>
      <c r="J117" s="132">
        <v>650</v>
      </c>
      <c r="K117" s="133">
        <v>2150</v>
      </c>
      <c r="L117" s="131">
        <v>1250</v>
      </c>
      <c r="M117" s="133">
        <v>4000</v>
      </c>
      <c r="N117" s="131">
        <f>I117+J117</f>
        <v>6400</v>
      </c>
      <c r="O117" s="4">
        <f>I117+K117</f>
        <v>7900</v>
      </c>
      <c r="P117" s="39"/>
      <c r="Q117" s="60"/>
      <c r="R117" s="60"/>
      <c r="S117" s="60"/>
      <c r="T117" s="60"/>
      <c r="U117" s="60"/>
      <c r="V117" s="60"/>
      <c r="W117" s="60"/>
      <c r="X117" s="60"/>
      <c r="Y117" s="60"/>
      <c r="Z117" s="60"/>
      <c r="AA117" s="60"/>
      <c r="AI117" s="60"/>
    </row>
    <row r="118" spans="1:35" ht="30" x14ac:dyDescent="0.25">
      <c r="A118" s="145">
        <f t="shared" si="17"/>
        <v>115</v>
      </c>
      <c r="B118" s="17" t="s">
        <v>70</v>
      </c>
      <c r="C118" s="73" t="s">
        <v>177</v>
      </c>
      <c r="D118" s="74" t="s">
        <v>189</v>
      </c>
      <c r="E118" s="84" t="s">
        <v>244</v>
      </c>
      <c r="F118" s="34">
        <v>102</v>
      </c>
      <c r="G118" s="34">
        <v>42.9</v>
      </c>
      <c r="H118" s="34">
        <v>3.2495833333333333</v>
      </c>
      <c r="I118" s="128">
        <v>6250</v>
      </c>
      <c r="J118" s="132">
        <v>650</v>
      </c>
      <c r="K118" s="133">
        <v>2150</v>
      </c>
      <c r="L118" s="131">
        <v>1250</v>
      </c>
      <c r="M118" s="133">
        <v>4000</v>
      </c>
      <c r="N118" s="131">
        <f>I118+J118</f>
        <v>6900</v>
      </c>
      <c r="O118" s="4">
        <f>I118+K118</f>
        <v>8400</v>
      </c>
      <c r="P118" s="39"/>
    </row>
    <row r="119" spans="1:35" ht="30" x14ac:dyDescent="0.25">
      <c r="A119" s="145">
        <f t="shared" si="17"/>
        <v>116</v>
      </c>
      <c r="B119" s="18" t="s">
        <v>71</v>
      </c>
      <c r="C119" s="73" t="s">
        <v>157</v>
      </c>
      <c r="D119" s="74" t="s">
        <v>169</v>
      </c>
      <c r="E119" s="84" t="s">
        <v>245</v>
      </c>
      <c r="F119" s="34" t="s">
        <v>112</v>
      </c>
      <c r="G119" s="34">
        <v>34.299999999999997</v>
      </c>
      <c r="H119" s="34"/>
      <c r="I119" s="128">
        <v>2965.909090909091</v>
      </c>
      <c r="J119" s="132">
        <v>650</v>
      </c>
      <c r="K119" s="133">
        <v>2150</v>
      </c>
      <c r="L119" s="131">
        <v>1250</v>
      </c>
      <c r="M119" s="133">
        <v>4000</v>
      </c>
      <c r="N119" s="131">
        <f>I119+J119</f>
        <v>3615.909090909091</v>
      </c>
      <c r="O119" s="4">
        <f>I119+K119</f>
        <v>5115.909090909091</v>
      </c>
      <c r="P119" s="39"/>
    </row>
    <row r="120" spans="1:35" ht="30" x14ac:dyDescent="0.25">
      <c r="A120" s="145">
        <f t="shared" si="17"/>
        <v>117</v>
      </c>
      <c r="B120" s="18" t="s">
        <v>71</v>
      </c>
      <c r="C120" s="73" t="s">
        <v>157</v>
      </c>
      <c r="D120" s="74" t="s">
        <v>114</v>
      </c>
      <c r="E120" s="84" t="s">
        <v>246</v>
      </c>
      <c r="F120" s="34" t="s">
        <v>112</v>
      </c>
      <c r="G120" s="34">
        <v>48</v>
      </c>
      <c r="H120" s="34">
        <v>5</v>
      </c>
      <c r="I120" s="128">
        <v>2250</v>
      </c>
      <c r="J120" s="132">
        <v>650</v>
      </c>
      <c r="K120" s="133">
        <v>2150</v>
      </c>
      <c r="L120" s="131">
        <v>1250</v>
      </c>
      <c r="M120" s="133">
        <v>4000</v>
      </c>
      <c r="N120" s="131">
        <f>I120+J120</f>
        <v>2900</v>
      </c>
      <c r="O120" s="4">
        <f>I120+K120</f>
        <v>4400</v>
      </c>
      <c r="P120" s="39"/>
    </row>
    <row r="121" spans="1:35" ht="30" x14ac:dyDescent="0.25">
      <c r="A121" s="145">
        <f t="shared" si="17"/>
        <v>118</v>
      </c>
      <c r="B121" s="18" t="s">
        <v>71</v>
      </c>
      <c r="C121" s="73" t="s">
        <v>168</v>
      </c>
      <c r="D121" s="74" t="s">
        <v>158</v>
      </c>
      <c r="E121" s="84" t="s">
        <v>247</v>
      </c>
      <c r="F121" s="34" t="s">
        <v>112</v>
      </c>
      <c r="G121" s="34">
        <v>64</v>
      </c>
      <c r="H121" s="34">
        <v>5</v>
      </c>
      <c r="I121" s="128">
        <v>5402.272727272727</v>
      </c>
      <c r="J121" s="132">
        <v>650</v>
      </c>
      <c r="K121" s="133">
        <v>2150</v>
      </c>
      <c r="L121" s="131">
        <v>1250</v>
      </c>
      <c r="M121" s="133">
        <v>4000</v>
      </c>
      <c r="N121" s="131">
        <f>I121+J121</f>
        <v>6052.272727272727</v>
      </c>
      <c r="O121" s="4">
        <f>I121+K121</f>
        <v>7552.272727272727</v>
      </c>
      <c r="P121" s="39"/>
    </row>
    <row r="122" spans="1:35" ht="30" x14ac:dyDescent="0.25">
      <c r="A122" s="145">
        <f t="shared" si="17"/>
        <v>119</v>
      </c>
      <c r="B122" s="20" t="s">
        <v>428</v>
      </c>
      <c r="C122" s="73" t="s">
        <v>112</v>
      </c>
      <c r="D122" s="74" t="s">
        <v>114</v>
      </c>
      <c r="E122" s="84" t="s">
        <v>248</v>
      </c>
      <c r="F122" s="34" t="s">
        <v>112</v>
      </c>
      <c r="G122" s="34" t="s">
        <v>112</v>
      </c>
      <c r="H122" s="34" t="s">
        <v>112</v>
      </c>
      <c r="I122" s="128">
        <v>23</v>
      </c>
      <c r="J122" s="134">
        <v>0</v>
      </c>
      <c r="K122" s="133">
        <v>0</v>
      </c>
      <c r="L122" s="131" t="s">
        <v>113</v>
      </c>
      <c r="M122" s="133" t="s">
        <v>113</v>
      </c>
      <c r="N122" s="131">
        <f>I122+J122</f>
        <v>23</v>
      </c>
      <c r="O122" s="4">
        <f>I122+K122</f>
        <v>23</v>
      </c>
    </row>
    <row r="123" spans="1:35" ht="30" x14ac:dyDescent="0.25">
      <c r="A123" s="145">
        <f t="shared" si="17"/>
        <v>120</v>
      </c>
      <c r="B123" s="20" t="s">
        <v>428</v>
      </c>
      <c r="C123" s="73" t="s">
        <v>112</v>
      </c>
      <c r="D123" s="74" t="s">
        <v>249</v>
      </c>
      <c r="E123" s="84" t="s">
        <v>250</v>
      </c>
      <c r="F123" s="34" t="s">
        <v>112</v>
      </c>
      <c r="G123" s="34" t="s">
        <v>112</v>
      </c>
      <c r="H123" s="34" t="s">
        <v>112</v>
      </c>
      <c r="I123" s="128">
        <v>40.799999999999997</v>
      </c>
      <c r="J123" s="134">
        <v>0</v>
      </c>
      <c r="K123" s="133">
        <v>0</v>
      </c>
      <c r="L123" s="131" t="s">
        <v>113</v>
      </c>
      <c r="M123" s="133" t="s">
        <v>113</v>
      </c>
      <c r="N123" s="131">
        <f>I123+J123</f>
        <v>40.799999999999997</v>
      </c>
      <c r="O123" s="4">
        <f>I123+K123</f>
        <v>40.799999999999997</v>
      </c>
    </row>
    <row r="124" spans="1:35" ht="30" x14ac:dyDescent="0.25">
      <c r="A124" s="145">
        <f t="shared" si="17"/>
        <v>121</v>
      </c>
      <c r="B124" s="20" t="s">
        <v>428</v>
      </c>
      <c r="C124" s="73" t="s">
        <v>112</v>
      </c>
      <c r="D124" s="74" t="s">
        <v>251</v>
      </c>
      <c r="E124" s="84" t="s">
        <v>252</v>
      </c>
      <c r="F124" s="34" t="s">
        <v>112</v>
      </c>
      <c r="G124" s="34" t="s">
        <v>112</v>
      </c>
      <c r="H124" s="34" t="s">
        <v>112</v>
      </c>
      <c r="I124" s="128">
        <v>44</v>
      </c>
      <c r="J124" s="134">
        <v>0</v>
      </c>
      <c r="K124" s="133">
        <v>0</v>
      </c>
      <c r="L124" s="131" t="s">
        <v>113</v>
      </c>
      <c r="M124" s="133" t="s">
        <v>113</v>
      </c>
      <c r="N124" s="131">
        <f>I124+J124</f>
        <v>44</v>
      </c>
      <c r="O124" s="4">
        <f>I124+K124</f>
        <v>44</v>
      </c>
    </row>
    <row r="125" spans="1:35" s="3" customFormat="1" ht="27" customHeight="1" x14ac:dyDescent="0.25">
      <c r="A125" s="145">
        <f t="shared" si="17"/>
        <v>122</v>
      </c>
      <c r="B125" s="20" t="s">
        <v>428</v>
      </c>
      <c r="C125" s="73" t="s">
        <v>112</v>
      </c>
      <c r="D125" s="74" t="s">
        <v>251</v>
      </c>
      <c r="E125" s="84" t="s">
        <v>253</v>
      </c>
      <c r="F125" s="34" t="s">
        <v>112</v>
      </c>
      <c r="G125" s="34" t="s">
        <v>112</v>
      </c>
      <c r="H125" s="34" t="s">
        <v>112</v>
      </c>
      <c r="I125" s="128">
        <v>73</v>
      </c>
      <c r="J125" s="134">
        <v>0</v>
      </c>
      <c r="K125" s="133">
        <v>0</v>
      </c>
      <c r="L125" s="131" t="s">
        <v>113</v>
      </c>
      <c r="M125" s="133" t="s">
        <v>113</v>
      </c>
      <c r="N125" s="131">
        <f>I125+J125</f>
        <v>73</v>
      </c>
      <c r="O125" s="4">
        <f>I125+K125</f>
        <v>73</v>
      </c>
      <c r="P125" s="39"/>
      <c r="Q125" s="343"/>
      <c r="R125" s="343"/>
      <c r="S125" s="343"/>
      <c r="T125" s="343"/>
      <c r="U125" s="343"/>
      <c r="V125" s="343"/>
      <c r="W125" s="343"/>
      <c r="X125" s="343"/>
      <c r="Y125" s="343"/>
      <c r="Z125" s="343"/>
      <c r="AI125"/>
    </row>
    <row r="126" spans="1:35" s="3" customFormat="1" ht="27" customHeight="1" x14ac:dyDescent="0.25">
      <c r="A126" s="145">
        <f t="shared" si="17"/>
        <v>123</v>
      </c>
      <c r="B126" s="20" t="s">
        <v>428</v>
      </c>
      <c r="C126" s="73" t="s">
        <v>112</v>
      </c>
      <c r="D126" s="74" t="s">
        <v>254</v>
      </c>
      <c r="E126" s="84" t="s">
        <v>255</v>
      </c>
      <c r="F126" s="34" t="s">
        <v>112</v>
      </c>
      <c r="G126" s="34" t="s">
        <v>112</v>
      </c>
      <c r="H126" s="34" t="s">
        <v>112</v>
      </c>
      <c r="I126" s="128">
        <v>130</v>
      </c>
      <c r="J126" s="134">
        <v>0</v>
      </c>
      <c r="K126" s="133">
        <v>0</v>
      </c>
      <c r="L126" s="131" t="s">
        <v>113</v>
      </c>
      <c r="M126" s="133" t="s">
        <v>113</v>
      </c>
      <c r="N126" s="131">
        <f>I126+J126</f>
        <v>130</v>
      </c>
      <c r="O126" s="4">
        <f>I126+K126</f>
        <v>130</v>
      </c>
      <c r="P126" s="39"/>
      <c r="Q126" s="228"/>
      <c r="R126" s="228"/>
      <c r="S126" s="228"/>
      <c r="T126" s="228"/>
      <c r="U126" s="228"/>
      <c r="V126" s="228"/>
      <c r="W126" s="228"/>
      <c r="X126" s="228"/>
      <c r="Y126" s="228"/>
      <c r="Z126" s="228"/>
    </row>
    <row r="127" spans="1:35" s="3" customFormat="1" ht="27" customHeight="1" x14ac:dyDescent="0.25">
      <c r="A127" s="145">
        <f t="shared" si="17"/>
        <v>124</v>
      </c>
      <c r="B127" s="19" t="s">
        <v>429</v>
      </c>
      <c r="C127" s="73" t="s">
        <v>112</v>
      </c>
      <c r="D127" s="74" t="s">
        <v>256</v>
      </c>
      <c r="E127" s="195" t="s">
        <v>416</v>
      </c>
      <c r="F127" s="34" t="s">
        <v>112</v>
      </c>
      <c r="G127" s="34" t="s">
        <v>112</v>
      </c>
      <c r="H127" s="34" t="s">
        <v>112</v>
      </c>
      <c r="I127" s="196">
        <v>1595</v>
      </c>
      <c r="J127" s="132">
        <v>200</v>
      </c>
      <c r="K127" s="133">
        <v>400</v>
      </c>
      <c r="L127" s="131" t="s">
        <v>113</v>
      </c>
      <c r="M127" s="133" t="s">
        <v>113</v>
      </c>
      <c r="N127" s="131">
        <f>I127+J127</f>
        <v>1795</v>
      </c>
      <c r="O127" s="4">
        <f>I127+K127</f>
        <v>1995</v>
      </c>
      <c r="P127" s="39"/>
      <c r="Q127" s="228"/>
      <c r="R127" s="228"/>
      <c r="S127" s="228"/>
      <c r="T127" s="228"/>
      <c r="U127" s="228"/>
      <c r="V127" s="228"/>
      <c r="W127" s="228"/>
      <c r="X127" s="228"/>
      <c r="Y127" s="228"/>
      <c r="Z127" s="228"/>
    </row>
    <row r="128" spans="1:35" s="3" customFormat="1" ht="27" customHeight="1" x14ac:dyDescent="0.25">
      <c r="A128" s="145">
        <f t="shared" si="17"/>
        <v>125</v>
      </c>
      <c r="B128" s="19" t="s">
        <v>429</v>
      </c>
      <c r="C128" s="344" t="s">
        <v>112</v>
      </c>
      <c r="D128" s="84" t="s">
        <v>411</v>
      </c>
      <c r="E128" s="84" t="s">
        <v>414</v>
      </c>
      <c r="F128" s="345" t="s">
        <v>112</v>
      </c>
      <c r="G128" s="345" t="s">
        <v>112</v>
      </c>
      <c r="H128" s="345" t="s">
        <v>112</v>
      </c>
      <c r="I128" s="346">
        <v>1699.5</v>
      </c>
      <c r="J128" s="347">
        <v>200</v>
      </c>
      <c r="K128" s="348">
        <v>400</v>
      </c>
      <c r="L128" s="349" t="s">
        <v>412</v>
      </c>
      <c r="M128" s="348" t="s">
        <v>412</v>
      </c>
      <c r="N128" s="349">
        <f>I128+J128</f>
        <v>1899.5</v>
      </c>
      <c r="O128" s="350">
        <f>I128+K128</f>
        <v>2099.5</v>
      </c>
      <c r="P128" s="39"/>
      <c r="Q128" s="194"/>
      <c r="R128" s="194"/>
      <c r="S128" s="194"/>
      <c r="T128" s="194"/>
      <c r="U128" s="194"/>
      <c r="V128" s="194"/>
      <c r="W128" s="194"/>
      <c r="X128" s="194"/>
      <c r="Y128" s="194"/>
      <c r="Z128" s="194"/>
    </row>
    <row r="129" spans="1:26" s="3" customFormat="1" ht="27" customHeight="1" x14ac:dyDescent="0.25">
      <c r="A129" s="145">
        <f t="shared" si="17"/>
        <v>126</v>
      </c>
      <c r="B129" s="19" t="s">
        <v>429</v>
      </c>
      <c r="C129" s="344" t="s">
        <v>112</v>
      </c>
      <c r="D129" s="84" t="s">
        <v>413</v>
      </c>
      <c r="E129" s="84" t="s">
        <v>415</v>
      </c>
      <c r="F129" s="345" t="s">
        <v>112</v>
      </c>
      <c r="G129" s="345" t="s">
        <v>112</v>
      </c>
      <c r="H129" s="345" t="s">
        <v>112</v>
      </c>
      <c r="I129" s="346">
        <v>1196.8800000000001</v>
      </c>
      <c r="J129" s="347">
        <v>200</v>
      </c>
      <c r="K129" s="348">
        <v>400</v>
      </c>
      <c r="L129" s="349" t="s">
        <v>412</v>
      </c>
      <c r="M129" s="348" t="s">
        <v>412</v>
      </c>
      <c r="N129" s="349">
        <f>I129+J129</f>
        <v>1396.88</v>
      </c>
      <c r="O129" s="350">
        <f>I129+K129</f>
        <v>1596.88</v>
      </c>
      <c r="P129" s="39"/>
      <c r="Q129" s="194"/>
      <c r="R129" s="194"/>
      <c r="S129" s="194"/>
      <c r="T129" s="194"/>
      <c r="U129" s="194"/>
      <c r="V129" s="194"/>
      <c r="W129" s="194"/>
      <c r="X129" s="194"/>
      <c r="Y129" s="194"/>
      <c r="Z129" s="194"/>
    </row>
    <row r="130" spans="1:26" s="3" customFormat="1" ht="27" customHeight="1" x14ac:dyDescent="0.25">
      <c r="A130" s="145">
        <f t="shared" si="17"/>
        <v>127</v>
      </c>
      <c r="B130" s="19" t="s">
        <v>429</v>
      </c>
      <c r="C130" s="344" t="s">
        <v>112</v>
      </c>
      <c r="D130" s="84" t="s">
        <v>256</v>
      </c>
      <c r="E130" s="84" t="s">
        <v>417</v>
      </c>
      <c r="F130" s="345" t="s">
        <v>112</v>
      </c>
      <c r="G130" s="345" t="s">
        <v>112</v>
      </c>
      <c r="H130" s="345" t="s">
        <v>112</v>
      </c>
      <c r="I130" s="346">
        <v>2250</v>
      </c>
      <c r="J130" s="347">
        <v>200</v>
      </c>
      <c r="K130" s="348">
        <v>400</v>
      </c>
      <c r="L130" s="349" t="s">
        <v>412</v>
      </c>
      <c r="M130" s="348" t="s">
        <v>412</v>
      </c>
      <c r="N130" s="349">
        <f>I130+J130</f>
        <v>2450</v>
      </c>
      <c r="O130" s="350">
        <f>I130+K130</f>
        <v>2650</v>
      </c>
      <c r="P130" s="39"/>
      <c r="Q130" s="194"/>
      <c r="R130" s="194"/>
      <c r="S130" s="194"/>
      <c r="T130" s="194"/>
      <c r="U130" s="194"/>
      <c r="V130" s="194"/>
      <c r="W130" s="194"/>
      <c r="X130" s="194"/>
      <c r="Y130" s="194"/>
      <c r="Z130" s="194"/>
    </row>
    <row r="131" spans="1:26" s="3" customFormat="1" ht="27" customHeight="1" x14ac:dyDescent="0.25">
      <c r="A131" s="145">
        <f t="shared" si="17"/>
        <v>128</v>
      </c>
      <c r="B131" s="19" t="s">
        <v>429</v>
      </c>
      <c r="C131" s="344" t="s">
        <v>112</v>
      </c>
      <c r="D131" s="84" t="s">
        <v>411</v>
      </c>
      <c r="E131" s="84" t="s">
        <v>418</v>
      </c>
      <c r="F131" s="345" t="s">
        <v>112</v>
      </c>
      <c r="G131" s="345" t="s">
        <v>112</v>
      </c>
      <c r="H131" s="345" t="s">
        <v>112</v>
      </c>
      <c r="I131" s="346">
        <v>2158.5</v>
      </c>
      <c r="J131" s="347">
        <v>200</v>
      </c>
      <c r="K131" s="348">
        <v>400</v>
      </c>
      <c r="L131" s="349" t="s">
        <v>412</v>
      </c>
      <c r="M131" s="348" t="s">
        <v>412</v>
      </c>
      <c r="N131" s="349">
        <f>I131+J131</f>
        <v>2358.5</v>
      </c>
      <c r="O131" s="350">
        <f>I131+K131</f>
        <v>2558.5</v>
      </c>
      <c r="P131" s="39"/>
      <c r="Q131" s="194"/>
      <c r="R131" s="194"/>
      <c r="S131" s="194"/>
      <c r="T131" s="194"/>
      <c r="U131" s="194"/>
      <c r="V131" s="194"/>
      <c r="W131" s="194"/>
      <c r="X131" s="194"/>
      <c r="Y131" s="194"/>
      <c r="Z131" s="194"/>
    </row>
    <row r="132" spans="1:26" s="3" customFormat="1" ht="27" customHeight="1" x14ac:dyDescent="0.25">
      <c r="A132" s="145">
        <f t="shared" si="17"/>
        <v>129</v>
      </c>
      <c r="B132" s="19" t="s">
        <v>429</v>
      </c>
      <c r="C132" s="344" t="s">
        <v>112</v>
      </c>
      <c r="D132" s="84" t="s">
        <v>413</v>
      </c>
      <c r="E132" s="84" t="s">
        <v>419</v>
      </c>
      <c r="F132" s="345" t="s">
        <v>112</v>
      </c>
      <c r="G132" s="345" t="s">
        <v>112</v>
      </c>
      <c r="H132" s="345" t="s">
        <v>112</v>
      </c>
      <c r="I132" s="346">
        <v>1696.88</v>
      </c>
      <c r="J132" s="347">
        <v>200</v>
      </c>
      <c r="K132" s="348">
        <v>400</v>
      </c>
      <c r="L132" s="349" t="s">
        <v>412</v>
      </c>
      <c r="M132" s="348" t="s">
        <v>412</v>
      </c>
      <c r="N132" s="349">
        <f>I132+J132</f>
        <v>1896.88</v>
      </c>
      <c r="O132" s="350">
        <f>I132+K132</f>
        <v>2096.88</v>
      </c>
      <c r="P132" s="39"/>
      <c r="Q132" s="194"/>
      <c r="R132" s="194"/>
      <c r="S132" s="194"/>
      <c r="T132" s="194"/>
      <c r="U132" s="194"/>
      <c r="V132" s="194"/>
      <c r="W132" s="194"/>
      <c r="X132" s="194"/>
      <c r="Y132" s="194"/>
      <c r="Z132" s="194"/>
    </row>
    <row r="133" spans="1:26" s="3" customFormat="1" ht="27" customHeight="1" x14ac:dyDescent="0.25">
      <c r="A133" s="145">
        <f t="shared" si="17"/>
        <v>130</v>
      </c>
      <c r="B133" s="19" t="s">
        <v>429</v>
      </c>
      <c r="C133" s="344" t="s">
        <v>112</v>
      </c>
      <c r="D133" s="84" t="s">
        <v>256</v>
      </c>
      <c r="E133" s="84" t="s">
        <v>420</v>
      </c>
      <c r="F133" s="345" t="s">
        <v>112</v>
      </c>
      <c r="G133" s="345" t="s">
        <v>112</v>
      </c>
      <c r="H133" s="345" t="s">
        <v>112</v>
      </c>
      <c r="I133" s="346">
        <v>2805</v>
      </c>
      <c r="J133" s="347">
        <v>200</v>
      </c>
      <c r="K133" s="348">
        <v>400</v>
      </c>
      <c r="L133" s="349" t="s">
        <v>412</v>
      </c>
      <c r="M133" s="348" t="s">
        <v>412</v>
      </c>
      <c r="N133" s="349">
        <f>I133+J133</f>
        <v>3005</v>
      </c>
      <c r="O133" s="350">
        <f>I133+K133</f>
        <v>3205</v>
      </c>
      <c r="P133" s="39"/>
      <c r="Q133" s="194"/>
      <c r="R133" s="194"/>
      <c r="S133" s="194"/>
      <c r="T133" s="194"/>
      <c r="U133" s="194"/>
      <c r="V133" s="194"/>
      <c r="W133" s="194"/>
      <c r="X133" s="194"/>
      <c r="Y133" s="194"/>
      <c r="Z133" s="194"/>
    </row>
    <row r="134" spans="1:26" s="3" customFormat="1" ht="27" customHeight="1" x14ac:dyDescent="0.25">
      <c r="A134" s="145">
        <f t="shared" ref="A134:A197" si="26">A133+1</f>
        <v>131</v>
      </c>
      <c r="B134" s="19" t="s">
        <v>429</v>
      </c>
      <c r="C134" s="344" t="s">
        <v>112</v>
      </c>
      <c r="D134" s="84" t="s">
        <v>411</v>
      </c>
      <c r="E134" s="84" t="s">
        <v>421</v>
      </c>
      <c r="F134" s="345" t="s">
        <v>112</v>
      </c>
      <c r="G134" s="345" t="s">
        <v>112</v>
      </c>
      <c r="H134" s="345" t="s">
        <v>112</v>
      </c>
      <c r="I134" s="346">
        <v>2616.5</v>
      </c>
      <c r="J134" s="347">
        <v>200</v>
      </c>
      <c r="K134" s="348">
        <v>400</v>
      </c>
      <c r="L134" s="349" t="s">
        <v>412</v>
      </c>
      <c r="M134" s="348" t="s">
        <v>412</v>
      </c>
      <c r="N134" s="349">
        <f>I134+J134</f>
        <v>2816.5</v>
      </c>
      <c r="O134" s="350">
        <f>I134+K134</f>
        <v>3016.5</v>
      </c>
      <c r="P134" s="39"/>
      <c r="Q134" s="194"/>
      <c r="R134" s="194"/>
      <c r="S134" s="194"/>
      <c r="T134" s="194"/>
      <c r="U134" s="194"/>
      <c r="V134" s="194"/>
      <c r="W134" s="194"/>
      <c r="X134" s="194"/>
      <c r="Y134" s="194"/>
      <c r="Z134" s="194"/>
    </row>
    <row r="135" spans="1:26" s="3" customFormat="1" ht="27" customHeight="1" x14ac:dyDescent="0.25">
      <c r="A135" s="145">
        <f t="shared" si="26"/>
        <v>132</v>
      </c>
      <c r="B135" s="19" t="s">
        <v>429</v>
      </c>
      <c r="C135" s="344" t="s">
        <v>112</v>
      </c>
      <c r="D135" s="84" t="s">
        <v>413</v>
      </c>
      <c r="E135" s="84" t="s">
        <v>422</v>
      </c>
      <c r="F135" s="345" t="s">
        <v>112</v>
      </c>
      <c r="G135" s="345" t="s">
        <v>112</v>
      </c>
      <c r="H135" s="345" t="s">
        <v>112</v>
      </c>
      <c r="I135" s="346">
        <v>1117.8800000000001</v>
      </c>
      <c r="J135" s="347">
        <v>200</v>
      </c>
      <c r="K135" s="348">
        <v>400</v>
      </c>
      <c r="L135" s="349" t="s">
        <v>412</v>
      </c>
      <c r="M135" s="348" t="s">
        <v>412</v>
      </c>
      <c r="N135" s="349">
        <f>I135+J135</f>
        <v>1317.88</v>
      </c>
      <c r="O135" s="350">
        <f>I135+K135</f>
        <v>1517.88</v>
      </c>
      <c r="P135" s="39"/>
      <c r="Q135" s="194"/>
      <c r="R135" s="194"/>
      <c r="S135" s="194"/>
      <c r="T135" s="194"/>
      <c r="U135" s="194"/>
      <c r="V135" s="194"/>
      <c r="W135" s="194"/>
      <c r="X135" s="194"/>
      <c r="Y135" s="194"/>
      <c r="Z135" s="194"/>
    </row>
    <row r="136" spans="1:26" s="3" customFormat="1" ht="27" customHeight="1" x14ac:dyDescent="0.25">
      <c r="A136" s="145">
        <f t="shared" si="26"/>
        <v>133</v>
      </c>
      <c r="B136" s="19" t="s">
        <v>429</v>
      </c>
      <c r="C136" s="344" t="s">
        <v>112</v>
      </c>
      <c r="D136" s="84" t="s">
        <v>411</v>
      </c>
      <c r="E136" s="84" t="s">
        <v>423</v>
      </c>
      <c r="F136" s="345" t="s">
        <v>112</v>
      </c>
      <c r="G136" s="345" t="s">
        <v>112</v>
      </c>
      <c r="H136" s="345" t="s">
        <v>112</v>
      </c>
      <c r="I136" s="346">
        <v>1203.5</v>
      </c>
      <c r="J136" s="347">
        <v>200</v>
      </c>
      <c r="K136" s="348">
        <v>400</v>
      </c>
      <c r="L136" s="349" t="s">
        <v>412</v>
      </c>
      <c r="M136" s="348" t="s">
        <v>412</v>
      </c>
      <c r="N136" s="349">
        <f>I136+J136</f>
        <v>1403.5</v>
      </c>
      <c r="O136" s="350">
        <f>I136+K136</f>
        <v>1603.5</v>
      </c>
      <c r="P136" s="39"/>
      <c r="Q136" s="194"/>
      <c r="R136" s="194"/>
      <c r="S136" s="194"/>
      <c r="T136" s="194"/>
      <c r="U136" s="194"/>
      <c r="V136" s="194"/>
      <c r="W136" s="194"/>
      <c r="X136" s="194"/>
      <c r="Y136" s="194"/>
      <c r="Z136" s="194"/>
    </row>
    <row r="137" spans="1:26" s="3" customFormat="1" ht="27" customHeight="1" x14ac:dyDescent="0.25">
      <c r="A137" s="145">
        <f t="shared" si="26"/>
        <v>134</v>
      </c>
      <c r="B137" s="19" t="s">
        <v>429</v>
      </c>
      <c r="C137" s="73" t="s">
        <v>112</v>
      </c>
      <c r="D137" s="74" t="s">
        <v>257</v>
      </c>
      <c r="E137" s="84" t="s">
        <v>424</v>
      </c>
      <c r="F137" s="345" t="s">
        <v>112</v>
      </c>
      <c r="G137" s="345" t="s">
        <v>112</v>
      </c>
      <c r="H137" s="345" t="s">
        <v>112</v>
      </c>
      <c r="I137" s="346">
        <v>531</v>
      </c>
      <c r="J137" s="347">
        <v>200</v>
      </c>
      <c r="K137" s="348">
        <v>400</v>
      </c>
      <c r="L137" s="349" t="s">
        <v>113</v>
      </c>
      <c r="M137" s="348" t="s">
        <v>113</v>
      </c>
      <c r="N137" s="349">
        <f>I137+J137</f>
        <v>731</v>
      </c>
      <c r="O137" s="350">
        <f>I137+K137</f>
        <v>931</v>
      </c>
      <c r="P137" s="39"/>
      <c r="Q137" s="181"/>
      <c r="R137" s="181"/>
      <c r="S137" s="181"/>
      <c r="T137" s="181"/>
      <c r="U137" s="181"/>
      <c r="V137" s="181"/>
      <c r="W137" s="181"/>
      <c r="X137" s="181"/>
      <c r="Y137" s="181"/>
      <c r="Z137" s="181"/>
    </row>
    <row r="138" spans="1:26" s="3" customFormat="1" ht="27" customHeight="1" x14ac:dyDescent="0.25">
      <c r="A138" s="145">
        <f t="shared" si="26"/>
        <v>135</v>
      </c>
      <c r="B138" s="19" t="s">
        <v>429</v>
      </c>
      <c r="C138" s="73" t="s">
        <v>112</v>
      </c>
      <c r="D138" s="74" t="s">
        <v>251</v>
      </c>
      <c r="E138" s="84" t="s">
        <v>425</v>
      </c>
      <c r="F138" s="345" t="s">
        <v>112</v>
      </c>
      <c r="G138" s="345" t="s">
        <v>112</v>
      </c>
      <c r="H138" s="345" t="s">
        <v>112</v>
      </c>
      <c r="I138" s="346">
        <v>1077.27</v>
      </c>
      <c r="J138" s="347">
        <v>200</v>
      </c>
      <c r="K138" s="348">
        <v>400</v>
      </c>
      <c r="L138" s="349" t="s">
        <v>113</v>
      </c>
      <c r="M138" s="348" t="s">
        <v>113</v>
      </c>
      <c r="N138" s="349">
        <f>I138+J138</f>
        <v>1277.27</v>
      </c>
      <c r="O138" s="350">
        <f>I138+K138</f>
        <v>1477.27</v>
      </c>
      <c r="P138" s="39"/>
      <c r="Q138" s="228"/>
      <c r="R138" s="228"/>
      <c r="S138" s="228"/>
      <c r="T138" s="228"/>
      <c r="U138" s="228"/>
      <c r="V138" s="228"/>
      <c r="W138" s="228"/>
      <c r="X138" s="228"/>
      <c r="Y138" s="228"/>
      <c r="Z138" s="228"/>
    </row>
    <row r="139" spans="1:26" s="3" customFormat="1" ht="27" customHeight="1" x14ac:dyDescent="0.25">
      <c r="A139" s="145">
        <f t="shared" si="26"/>
        <v>136</v>
      </c>
      <c r="B139" s="19" t="s">
        <v>429</v>
      </c>
      <c r="C139" s="73" t="s">
        <v>112</v>
      </c>
      <c r="D139" s="74" t="s">
        <v>114</v>
      </c>
      <c r="E139" s="84" t="s">
        <v>426</v>
      </c>
      <c r="F139" s="345" t="s">
        <v>112</v>
      </c>
      <c r="G139" s="345" t="s">
        <v>112</v>
      </c>
      <c r="H139" s="345" t="s">
        <v>112</v>
      </c>
      <c r="I139" s="346">
        <v>460.1</v>
      </c>
      <c r="J139" s="347">
        <v>200</v>
      </c>
      <c r="K139" s="348">
        <v>400</v>
      </c>
      <c r="L139" s="349" t="s">
        <v>113</v>
      </c>
      <c r="M139" s="348" t="s">
        <v>113</v>
      </c>
      <c r="N139" s="349">
        <f>I139+J139</f>
        <v>660.1</v>
      </c>
      <c r="O139" s="350">
        <f>I139+K139</f>
        <v>860.1</v>
      </c>
      <c r="P139" s="39"/>
      <c r="Q139" s="181"/>
      <c r="R139" s="181"/>
      <c r="S139" s="181"/>
      <c r="T139" s="181"/>
      <c r="U139" s="181"/>
      <c r="V139" s="181"/>
      <c r="W139" s="181"/>
      <c r="X139" s="181"/>
      <c r="Y139" s="181"/>
      <c r="Z139" s="181"/>
    </row>
    <row r="140" spans="1:26" s="3" customFormat="1" ht="27" customHeight="1" x14ac:dyDescent="0.25">
      <c r="A140" s="145">
        <f t="shared" si="26"/>
        <v>137</v>
      </c>
      <c r="B140" s="19" t="s">
        <v>429</v>
      </c>
      <c r="C140" s="73" t="s">
        <v>112</v>
      </c>
      <c r="D140" s="74" t="s">
        <v>256</v>
      </c>
      <c r="E140" s="84" t="s">
        <v>427</v>
      </c>
      <c r="F140" s="345" t="s">
        <v>112</v>
      </c>
      <c r="G140" s="345" t="s">
        <v>112</v>
      </c>
      <c r="H140" s="345" t="s">
        <v>112</v>
      </c>
      <c r="I140" s="346">
        <v>1210</v>
      </c>
      <c r="J140" s="347">
        <v>200</v>
      </c>
      <c r="K140" s="348">
        <v>400</v>
      </c>
      <c r="L140" s="349" t="s">
        <v>113</v>
      </c>
      <c r="M140" s="348" t="s">
        <v>113</v>
      </c>
      <c r="N140" s="349">
        <f>I140+J140</f>
        <v>1410</v>
      </c>
      <c r="O140" s="350">
        <f>I140+K140</f>
        <v>1610</v>
      </c>
      <c r="P140" s="39"/>
      <c r="Q140" s="228"/>
      <c r="R140" s="228"/>
      <c r="S140" s="228"/>
      <c r="T140" s="228"/>
      <c r="U140" s="228"/>
      <c r="V140" s="228"/>
      <c r="W140" s="228"/>
      <c r="X140" s="228"/>
      <c r="Y140" s="228"/>
      <c r="Z140" s="228"/>
    </row>
    <row r="141" spans="1:26" s="3" customFormat="1" ht="27" customHeight="1" x14ac:dyDescent="0.25">
      <c r="A141" s="145">
        <f t="shared" si="26"/>
        <v>138</v>
      </c>
      <c r="B141" s="21" t="s">
        <v>72</v>
      </c>
      <c r="C141" s="73" t="s">
        <v>258</v>
      </c>
      <c r="D141" s="74" t="s">
        <v>259</v>
      </c>
      <c r="E141" s="84" t="s">
        <v>260</v>
      </c>
      <c r="F141" s="34">
        <v>0.8</v>
      </c>
      <c r="G141" s="34" t="s">
        <v>112</v>
      </c>
      <c r="H141" s="34">
        <f>20/24</f>
        <v>0.83333333333333337</v>
      </c>
      <c r="I141" s="128">
        <v>12.62</v>
      </c>
      <c r="J141" s="134">
        <v>0</v>
      </c>
      <c r="K141" s="133">
        <v>0</v>
      </c>
      <c r="L141" s="131" t="s">
        <v>113</v>
      </c>
      <c r="M141" s="133" t="s">
        <v>113</v>
      </c>
      <c r="N141" s="137" t="s">
        <v>112</v>
      </c>
      <c r="O141" s="34" t="s">
        <v>112</v>
      </c>
      <c r="P141" s="39"/>
      <c r="Q141" s="181"/>
      <c r="R141" s="181"/>
      <c r="S141" s="181"/>
      <c r="T141" s="181"/>
      <c r="U141" s="181"/>
      <c r="V141" s="181"/>
      <c r="W141" s="181"/>
      <c r="X141" s="181"/>
      <c r="Y141" s="181"/>
      <c r="Z141" s="181"/>
    </row>
    <row r="142" spans="1:26" s="3" customFormat="1" ht="27" customHeight="1" x14ac:dyDescent="0.25">
      <c r="A142" s="145">
        <f t="shared" si="26"/>
        <v>139</v>
      </c>
      <c r="B142" s="21" t="s">
        <v>72</v>
      </c>
      <c r="C142" s="73" t="s">
        <v>258</v>
      </c>
      <c r="D142" s="74" t="s">
        <v>261</v>
      </c>
      <c r="E142" s="84" t="s">
        <v>262</v>
      </c>
      <c r="F142" s="34">
        <v>0.9</v>
      </c>
      <c r="G142" s="34" t="s">
        <v>112</v>
      </c>
      <c r="H142" s="34">
        <f>21/24</f>
        <v>0.875</v>
      </c>
      <c r="I142" s="128">
        <v>5.99</v>
      </c>
      <c r="J142" s="134">
        <v>0</v>
      </c>
      <c r="K142" s="133">
        <v>0</v>
      </c>
      <c r="L142" s="131" t="s">
        <v>113</v>
      </c>
      <c r="M142" s="133" t="s">
        <v>113</v>
      </c>
      <c r="N142" s="128">
        <v>7.5</v>
      </c>
      <c r="O142" s="4">
        <v>7.5</v>
      </c>
      <c r="P142" s="39"/>
      <c r="Q142" s="192"/>
      <c r="R142" s="192"/>
      <c r="S142" s="192"/>
      <c r="T142" s="192"/>
      <c r="U142" s="192"/>
      <c r="V142" s="192"/>
      <c r="W142" s="192"/>
      <c r="X142" s="192"/>
      <c r="Y142" s="192"/>
      <c r="Z142" s="192"/>
    </row>
    <row r="143" spans="1:26" s="3" customFormat="1" ht="27" customHeight="1" x14ac:dyDescent="0.25">
      <c r="A143" s="145">
        <f t="shared" si="26"/>
        <v>140</v>
      </c>
      <c r="B143" s="21" t="s">
        <v>72</v>
      </c>
      <c r="C143" s="73" t="s">
        <v>258</v>
      </c>
      <c r="D143" s="74" t="s">
        <v>263</v>
      </c>
      <c r="E143" s="84" t="s">
        <v>264</v>
      </c>
      <c r="F143" s="34">
        <v>0.9</v>
      </c>
      <c r="G143" s="34" t="s">
        <v>112</v>
      </c>
      <c r="H143" s="34">
        <f>20/24</f>
        <v>0.83333333333333337</v>
      </c>
      <c r="I143" s="128">
        <v>6.4</v>
      </c>
      <c r="J143" s="134">
        <v>0</v>
      </c>
      <c r="K143" s="133">
        <v>0</v>
      </c>
      <c r="L143" s="131" t="s">
        <v>113</v>
      </c>
      <c r="M143" s="133" t="s">
        <v>113</v>
      </c>
      <c r="N143" s="128">
        <v>7.5</v>
      </c>
      <c r="O143" s="4">
        <v>7.5</v>
      </c>
      <c r="P143" s="39"/>
      <c r="Q143" s="192"/>
      <c r="R143" s="192"/>
      <c r="S143" s="192"/>
      <c r="T143" s="192"/>
      <c r="U143" s="192"/>
      <c r="V143" s="192"/>
      <c r="W143" s="192"/>
      <c r="X143" s="192"/>
      <c r="Y143" s="192"/>
      <c r="Z143" s="192"/>
    </row>
    <row r="144" spans="1:26" s="3" customFormat="1" ht="27" customHeight="1" x14ac:dyDescent="0.25">
      <c r="A144" s="145">
        <f t="shared" si="26"/>
        <v>141</v>
      </c>
      <c r="B144" s="21" t="s">
        <v>72</v>
      </c>
      <c r="C144" s="73" t="s">
        <v>258</v>
      </c>
      <c r="D144" s="74" t="s">
        <v>265</v>
      </c>
      <c r="E144" s="84" t="s">
        <v>266</v>
      </c>
      <c r="F144" s="34">
        <v>0.91</v>
      </c>
      <c r="G144" s="34" t="s">
        <v>112</v>
      </c>
      <c r="H144" s="34">
        <f>17/24</f>
        <v>0.70833333333333337</v>
      </c>
      <c r="I144" s="128">
        <v>4.78</v>
      </c>
      <c r="J144" s="134">
        <v>0</v>
      </c>
      <c r="K144" s="133">
        <v>0</v>
      </c>
      <c r="L144" s="131" t="s">
        <v>113</v>
      </c>
      <c r="M144" s="133" t="s">
        <v>113</v>
      </c>
      <c r="N144" s="128">
        <v>9</v>
      </c>
      <c r="O144" s="4">
        <v>9</v>
      </c>
      <c r="P144" s="39"/>
      <c r="Q144" s="192"/>
      <c r="R144" s="192"/>
      <c r="S144" s="192"/>
      <c r="T144" s="192"/>
      <c r="U144" s="192"/>
      <c r="V144" s="192"/>
      <c r="W144" s="192"/>
      <c r="X144" s="192"/>
      <c r="Y144" s="192"/>
      <c r="Z144" s="192"/>
    </row>
    <row r="145" spans="1:26" s="3" customFormat="1" ht="27" customHeight="1" x14ac:dyDescent="0.25">
      <c r="A145" s="145">
        <f t="shared" si="26"/>
        <v>142</v>
      </c>
      <c r="B145" s="21" t="s">
        <v>72</v>
      </c>
      <c r="C145" s="73" t="s">
        <v>258</v>
      </c>
      <c r="D145" s="74" t="s">
        <v>261</v>
      </c>
      <c r="E145" s="84" t="s">
        <v>267</v>
      </c>
      <c r="F145" s="34">
        <v>1.67</v>
      </c>
      <c r="G145" s="34" t="s">
        <v>112</v>
      </c>
      <c r="H145" s="34">
        <f>35/24</f>
        <v>1.4583333333333333</v>
      </c>
      <c r="I145" s="128">
        <v>9.4</v>
      </c>
      <c r="J145" s="134">
        <v>0</v>
      </c>
      <c r="K145" s="133">
        <v>0</v>
      </c>
      <c r="L145" s="131" t="s">
        <v>113</v>
      </c>
      <c r="M145" s="133" t="s">
        <v>113</v>
      </c>
      <c r="N145" s="128">
        <v>8.6999999999999993</v>
      </c>
      <c r="O145" s="4">
        <v>8.6999999999999993</v>
      </c>
      <c r="P145" s="39"/>
      <c r="Q145" s="192"/>
      <c r="R145" s="192"/>
      <c r="S145" s="192"/>
      <c r="T145" s="192"/>
      <c r="U145" s="192"/>
      <c r="V145" s="192"/>
      <c r="W145" s="192"/>
      <c r="X145" s="192"/>
      <c r="Y145" s="192"/>
      <c r="Z145" s="192"/>
    </row>
    <row r="146" spans="1:26" s="3" customFormat="1" ht="27" customHeight="1" x14ac:dyDescent="0.25">
      <c r="A146" s="145">
        <f t="shared" si="26"/>
        <v>143</v>
      </c>
      <c r="B146" s="21" t="s">
        <v>72</v>
      </c>
      <c r="C146" s="73" t="s">
        <v>258</v>
      </c>
      <c r="D146" s="74" t="s">
        <v>263</v>
      </c>
      <c r="E146" s="84" t="s">
        <v>268</v>
      </c>
      <c r="F146" s="34">
        <v>1.7</v>
      </c>
      <c r="G146" s="34" t="s">
        <v>112</v>
      </c>
      <c r="H146" s="34">
        <f>38/24</f>
        <v>1.5833333333333333</v>
      </c>
      <c r="I146" s="128">
        <v>7.99</v>
      </c>
      <c r="J146" s="134">
        <v>0</v>
      </c>
      <c r="K146" s="133">
        <v>0</v>
      </c>
      <c r="L146" s="131" t="s">
        <v>113</v>
      </c>
      <c r="M146" s="133" t="s">
        <v>113</v>
      </c>
      <c r="N146" s="128">
        <v>11.5</v>
      </c>
      <c r="O146" s="4">
        <v>11.5</v>
      </c>
      <c r="P146" s="39"/>
      <c r="Q146" s="192"/>
      <c r="R146" s="192"/>
      <c r="S146" s="192"/>
      <c r="T146" s="192"/>
      <c r="U146" s="192"/>
      <c r="V146" s="192"/>
      <c r="W146" s="192"/>
      <c r="X146" s="192"/>
      <c r="Y146" s="192"/>
      <c r="Z146" s="192"/>
    </row>
    <row r="147" spans="1:26" s="3" customFormat="1" ht="27" customHeight="1" x14ac:dyDescent="0.25">
      <c r="A147" s="145">
        <f t="shared" si="26"/>
        <v>144</v>
      </c>
      <c r="B147" s="21" t="s">
        <v>72</v>
      </c>
      <c r="C147" s="73" t="s">
        <v>258</v>
      </c>
      <c r="D147" s="74" t="s">
        <v>265</v>
      </c>
      <c r="E147" s="84" t="s">
        <v>269</v>
      </c>
      <c r="F147" s="34">
        <v>1.44</v>
      </c>
      <c r="G147" s="34" t="s">
        <v>112</v>
      </c>
      <c r="H147" s="34">
        <f>39/24</f>
        <v>1.625</v>
      </c>
      <c r="I147" s="128">
        <v>6.59</v>
      </c>
      <c r="J147" s="134">
        <v>0</v>
      </c>
      <c r="K147" s="133">
        <v>0</v>
      </c>
      <c r="L147" s="131" t="s">
        <v>113</v>
      </c>
      <c r="M147" s="133" t="s">
        <v>113</v>
      </c>
      <c r="N147" s="128">
        <v>14</v>
      </c>
      <c r="O147" s="4">
        <v>14</v>
      </c>
      <c r="P147" s="39"/>
      <c r="Q147" s="192"/>
      <c r="R147" s="192"/>
      <c r="S147" s="192"/>
      <c r="T147" s="192"/>
      <c r="U147" s="192"/>
      <c r="V147" s="192"/>
      <c r="W147" s="192"/>
      <c r="X147" s="192"/>
      <c r="Y147" s="192"/>
      <c r="Z147" s="192"/>
    </row>
    <row r="148" spans="1:26" s="3" customFormat="1" ht="27" customHeight="1" x14ac:dyDescent="0.25">
      <c r="A148" s="145">
        <f t="shared" si="26"/>
        <v>145</v>
      </c>
      <c r="B148" s="21" t="s">
        <v>72</v>
      </c>
      <c r="C148" s="73" t="s">
        <v>258</v>
      </c>
      <c r="D148" s="74" t="s">
        <v>270</v>
      </c>
      <c r="E148" s="84" t="s">
        <v>271</v>
      </c>
      <c r="F148" s="34">
        <v>1.18</v>
      </c>
      <c r="G148" s="34" t="s">
        <v>112</v>
      </c>
      <c r="H148" s="34">
        <f>34/24</f>
        <v>1.4166666666666667</v>
      </c>
      <c r="I148" s="128">
        <v>125</v>
      </c>
      <c r="J148" s="134">
        <v>0</v>
      </c>
      <c r="K148" s="133">
        <v>0</v>
      </c>
      <c r="L148" s="131" t="s">
        <v>113</v>
      </c>
      <c r="M148" s="133" t="s">
        <v>113</v>
      </c>
      <c r="N148" s="128">
        <v>11.5</v>
      </c>
      <c r="O148" s="4">
        <v>11.5</v>
      </c>
      <c r="P148" s="39"/>
      <c r="Q148" s="192"/>
      <c r="R148" s="192"/>
      <c r="S148" s="192"/>
      <c r="T148" s="192"/>
      <c r="U148" s="192"/>
      <c r="V148" s="192"/>
      <c r="W148" s="192"/>
      <c r="X148" s="192"/>
      <c r="Y148" s="192"/>
      <c r="Z148" s="192"/>
    </row>
    <row r="149" spans="1:26" s="3" customFormat="1" ht="27" customHeight="1" x14ac:dyDescent="0.25">
      <c r="A149" s="145">
        <f t="shared" si="26"/>
        <v>146</v>
      </c>
      <c r="B149" s="21" t="s">
        <v>72</v>
      </c>
      <c r="C149" s="73" t="s">
        <v>258</v>
      </c>
      <c r="D149" s="74" t="s">
        <v>259</v>
      </c>
      <c r="E149" s="84" t="s">
        <v>272</v>
      </c>
      <c r="F149" s="34">
        <v>2.46</v>
      </c>
      <c r="G149" s="34" t="s">
        <v>112</v>
      </c>
      <c r="H149" s="34">
        <f>50/24</f>
        <v>2.0833333333333335</v>
      </c>
      <c r="I149" s="128">
        <v>16.8</v>
      </c>
      <c r="J149" s="134">
        <v>0</v>
      </c>
      <c r="K149" s="133">
        <v>0</v>
      </c>
      <c r="L149" s="131" t="s">
        <v>113</v>
      </c>
      <c r="M149" s="133" t="s">
        <v>113</v>
      </c>
      <c r="N149" s="128">
        <f>102/0.855</f>
        <v>119.2982456140351</v>
      </c>
      <c r="O149" s="4">
        <f>102/0.855</f>
        <v>119.2982456140351</v>
      </c>
      <c r="P149" s="39"/>
      <c r="Q149" s="192"/>
      <c r="R149" s="192"/>
      <c r="S149" s="192"/>
      <c r="T149" s="192"/>
      <c r="U149" s="192"/>
      <c r="V149" s="192"/>
      <c r="W149" s="192"/>
      <c r="X149" s="192"/>
      <c r="Y149" s="192"/>
      <c r="Z149" s="192"/>
    </row>
    <row r="150" spans="1:26" s="3" customFormat="1" ht="27" customHeight="1" x14ac:dyDescent="0.25">
      <c r="A150" s="145">
        <f t="shared" si="26"/>
        <v>147</v>
      </c>
      <c r="B150" s="21" t="s">
        <v>72</v>
      </c>
      <c r="C150" s="73" t="s">
        <v>258</v>
      </c>
      <c r="D150" s="74" t="s">
        <v>261</v>
      </c>
      <c r="E150" s="84" t="s">
        <v>273</v>
      </c>
      <c r="F150" s="34">
        <v>2.9</v>
      </c>
      <c r="G150" s="34" t="s">
        <v>112</v>
      </c>
      <c r="H150" s="34">
        <f>51/24</f>
        <v>2.125</v>
      </c>
      <c r="I150" s="128">
        <v>12.05</v>
      </c>
      <c r="J150" s="134">
        <v>0</v>
      </c>
      <c r="K150" s="133">
        <v>0</v>
      </c>
      <c r="L150" s="131" t="s">
        <v>113</v>
      </c>
      <c r="M150" s="133" t="s">
        <v>113</v>
      </c>
      <c r="N150" s="128">
        <v>12</v>
      </c>
      <c r="O150" s="4">
        <v>12</v>
      </c>
      <c r="P150" s="39"/>
      <c r="Q150" s="192"/>
      <c r="R150" s="192"/>
      <c r="S150" s="192"/>
      <c r="T150" s="192"/>
      <c r="U150" s="192"/>
      <c r="V150" s="192"/>
      <c r="W150" s="192"/>
      <c r="X150" s="192"/>
      <c r="Y150" s="192"/>
      <c r="Z150" s="192"/>
    </row>
    <row r="151" spans="1:26" s="3" customFormat="1" ht="27" customHeight="1" x14ac:dyDescent="0.25">
      <c r="A151" s="145">
        <f t="shared" si="26"/>
        <v>148</v>
      </c>
      <c r="B151" s="21" t="s">
        <v>72</v>
      </c>
      <c r="C151" s="73" t="s">
        <v>258</v>
      </c>
      <c r="D151" s="74" t="s">
        <v>263</v>
      </c>
      <c r="E151" s="84" t="s">
        <v>274</v>
      </c>
      <c r="F151" s="34">
        <v>2.6</v>
      </c>
      <c r="G151" s="34" t="s">
        <v>112</v>
      </c>
      <c r="H151" s="34">
        <f>43/24</f>
        <v>1.7916666666666667</v>
      </c>
      <c r="I151" s="128">
        <v>15</v>
      </c>
      <c r="J151" s="134">
        <v>0</v>
      </c>
      <c r="K151" s="133">
        <v>0</v>
      </c>
      <c r="L151" s="131" t="s">
        <v>113</v>
      </c>
      <c r="M151" s="133" t="s">
        <v>113</v>
      </c>
      <c r="N151" s="128">
        <v>12.05</v>
      </c>
      <c r="O151" s="4">
        <v>12.05</v>
      </c>
      <c r="P151" s="39"/>
      <c r="Q151" s="192"/>
      <c r="R151" s="192"/>
      <c r="S151" s="192"/>
      <c r="T151" s="192"/>
      <c r="U151" s="192"/>
      <c r="V151" s="192"/>
      <c r="W151" s="192"/>
      <c r="X151" s="192"/>
      <c r="Y151" s="192"/>
      <c r="Z151" s="192"/>
    </row>
    <row r="152" spans="1:26" s="3" customFormat="1" ht="27" customHeight="1" x14ac:dyDescent="0.25">
      <c r="A152" s="145">
        <f t="shared" si="26"/>
        <v>149</v>
      </c>
      <c r="B152" s="21" t="s">
        <v>72</v>
      </c>
      <c r="C152" s="73" t="s">
        <v>258</v>
      </c>
      <c r="D152" s="74" t="s">
        <v>265</v>
      </c>
      <c r="E152" s="84" t="s">
        <v>275</v>
      </c>
      <c r="F152" s="34">
        <v>2.74</v>
      </c>
      <c r="G152" s="34" t="s">
        <v>112</v>
      </c>
      <c r="H152" s="34">
        <f>46/24</f>
        <v>1.9166666666666667</v>
      </c>
      <c r="I152" s="128">
        <v>8.7200000000000006</v>
      </c>
      <c r="J152" s="134">
        <v>0</v>
      </c>
      <c r="K152" s="133">
        <v>0</v>
      </c>
      <c r="L152" s="131" t="s">
        <v>113</v>
      </c>
      <c r="M152" s="133" t="s">
        <v>113</v>
      </c>
      <c r="N152" s="128">
        <v>16</v>
      </c>
      <c r="O152" s="4">
        <v>16</v>
      </c>
      <c r="P152" s="39"/>
      <c r="Q152" s="192"/>
      <c r="R152" s="192"/>
      <c r="S152" s="192"/>
      <c r="T152" s="192"/>
      <c r="U152" s="192"/>
      <c r="V152" s="192"/>
      <c r="W152" s="192"/>
      <c r="X152" s="192"/>
      <c r="Y152" s="192"/>
      <c r="Z152" s="192"/>
    </row>
    <row r="153" spans="1:26" s="3" customFormat="1" ht="27" customHeight="1" x14ac:dyDescent="0.25">
      <c r="A153" s="145">
        <f t="shared" si="26"/>
        <v>150</v>
      </c>
      <c r="B153" s="21" t="s">
        <v>72</v>
      </c>
      <c r="C153" s="73" t="s">
        <v>258</v>
      </c>
      <c r="D153" s="74" t="s">
        <v>270</v>
      </c>
      <c r="E153" s="84" t="s">
        <v>276</v>
      </c>
      <c r="F153" s="34">
        <v>3</v>
      </c>
      <c r="G153" s="34" t="s">
        <v>112</v>
      </c>
      <c r="H153" s="34">
        <f>30/24</f>
        <v>1.25</v>
      </c>
      <c r="I153" s="128">
        <v>268</v>
      </c>
      <c r="J153" s="134">
        <v>0</v>
      </c>
      <c r="K153" s="133">
        <v>0</v>
      </c>
      <c r="L153" s="131" t="s">
        <v>113</v>
      </c>
      <c r="M153" s="133" t="s">
        <v>113</v>
      </c>
      <c r="N153" s="128">
        <v>15.8</v>
      </c>
      <c r="O153" s="4">
        <v>15.8</v>
      </c>
      <c r="P153" s="39"/>
      <c r="Q153" s="181"/>
      <c r="R153" s="181"/>
      <c r="S153" s="181"/>
      <c r="T153" s="181"/>
      <c r="U153" s="181"/>
      <c r="V153" s="181"/>
      <c r="W153" s="181"/>
      <c r="X153" s="181"/>
      <c r="Y153" s="181"/>
      <c r="Z153" s="181"/>
    </row>
    <row r="154" spans="1:26" s="3" customFormat="1" ht="27" customHeight="1" x14ac:dyDescent="0.25">
      <c r="A154" s="145">
        <f t="shared" si="26"/>
        <v>151</v>
      </c>
      <c r="B154" s="21" t="s">
        <v>72</v>
      </c>
      <c r="C154" s="73" t="s">
        <v>258</v>
      </c>
      <c r="D154" s="74" t="s">
        <v>263</v>
      </c>
      <c r="E154" s="84" t="s">
        <v>277</v>
      </c>
      <c r="F154" s="34">
        <v>3.4</v>
      </c>
      <c r="G154" s="34" t="s">
        <v>112</v>
      </c>
      <c r="H154" s="34">
        <f>43/24</f>
        <v>1.7916666666666667</v>
      </c>
      <c r="I154" s="128">
        <v>15</v>
      </c>
      <c r="J154" s="134">
        <v>0</v>
      </c>
      <c r="K154" s="133">
        <v>0</v>
      </c>
      <c r="L154" s="131" t="s">
        <v>113</v>
      </c>
      <c r="M154" s="133" t="s">
        <v>113</v>
      </c>
      <c r="N154" s="128">
        <f>246/0.855</f>
        <v>287.71929824561403</v>
      </c>
      <c r="O154" s="4">
        <f>246/0.855</f>
        <v>287.71929824561403</v>
      </c>
      <c r="P154" s="39"/>
      <c r="Q154" s="181"/>
      <c r="R154" s="181"/>
      <c r="S154" s="181"/>
      <c r="T154" s="181"/>
      <c r="U154" s="181"/>
      <c r="V154" s="181"/>
      <c r="W154" s="181"/>
      <c r="X154" s="181"/>
      <c r="Y154" s="181"/>
      <c r="Z154" s="181"/>
    </row>
    <row r="155" spans="1:26" s="3" customFormat="1" ht="27" customHeight="1" x14ac:dyDescent="0.25">
      <c r="A155" s="145">
        <f t="shared" si="26"/>
        <v>152</v>
      </c>
      <c r="B155" s="21" t="s">
        <v>73</v>
      </c>
      <c r="C155" s="73" t="s">
        <v>258</v>
      </c>
      <c r="D155" s="74" t="s">
        <v>259</v>
      </c>
      <c r="E155" s="84" t="s">
        <v>278</v>
      </c>
      <c r="F155" s="34">
        <v>1.5</v>
      </c>
      <c r="G155" s="34" t="s">
        <v>112</v>
      </c>
      <c r="H155" s="34">
        <v>1.4166666666666667</v>
      </c>
      <c r="I155" s="128">
        <v>51</v>
      </c>
      <c r="J155" s="134">
        <v>0</v>
      </c>
      <c r="K155" s="133">
        <v>0</v>
      </c>
      <c r="L155" s="131" t="s">
        <v>113</v>
      </c>
      <c r="M155" s="133" t="s">
        <v>113</v>
      </c>
      <c r="N155" s="128">
        <v>21</v>
      </c>
      <c r="O155" s="4">
        <v>21</v>
      </c>
      <c r="P155" s="39"/>
      <c r="Q155" s="228"/>
      <c r="R155" s="228"/>
      <c r="S155" s="228"/>
      <c r="T155" s="228"/>
      <c r="U155" s="228"/>
      <c r="V155" s="228"/>
      <c r="W155" s="228"/>
      <c r="X155" s="228"/>
      <c r="Y155" s="228"/>
      <c r="Z155" s="228"/>
    </row>
    <row r="156" spans="1:26" s="3" customFormat="1" ht="27" customHeight="1" x14ac:dyDescent="0.25">
      <c r="A156" s="145">
        <f t="shared" si="26"/>
        <v>153</v>
      </c>
      <c r="B156" s="21" t="s">
        <v>73</v>
      </c>
      <c r="C156" s="73" t="s">
        <v>258</v>
      </c>
      <c r="D156" s="74" t="s">
        <v>279</v>
      </c>
      <c r="E156" s="84" t="s">
        <v>280</v>
      </c>
      <c r="F156" s="34">
        <v>1.6</v>
      </c>
      <c r="G156" s="34" t="s">
        <v>112</v>
      </c>
      <c r="H156" s="34">
        <v>1.25</v>
      </c>
      <c r="I156" s="128">
        <v>55</v>
      </c>
      <c r="J156" s="134">
        <v>0</v>
      </c>
      <c r="K156" s="133">
        <v>0</v>
      </c>
      <c r="L156" s="131" t="s">
        <v>113</v>
      </c>
      <c r="M156" s="133" t="s">
        <v>113</v>
      </c>
      <c r="N156" s="131">
        <v>51</v>
      </c>
      <c r="O156" s="4">
        <v>51</v>
      </c>
      <c r="P156" s="39"/>
      <c r="Q156" s="39"/>
      <c r="R156" s="39"/>
      <c r="S156" s="39"/>
      <c r="T156" s="39"/>
      <c r="U156" s="39"/>
      <c r="V156" s="39"/>
      <c r="W156" s="39"/>
      <c r="X156" s="39"/>
      <c r="Y156" s="39"/>
      <c r="Z156" s="39"/>
    </row>
    <row r="157" spans="1:26" s="3" customFormat="1" ht="27" customHeight="1" x14ac:dyDescent="0.25">
      <c r="A157" s="145">
        <f t="shared" si="26"/>
        <v>154</v>
      </c>
      <c r="B157" s="21" t="s">
        <v>73</v>
      </c>
      <c r="C157" s="73" t="s">
        <v>258</v>
      </c>
      <c r="D157" s="74" t="s">
        <v>281</v>
      </c>
      <c r="E157" s="84" t="s">
        <v>282</v>
      </c>
      <c r="F157" s="34">
        <v>1.7</v>
      </c>
      <c r="G157" s="34" t="s">
        <v>112</v>
      </c>
      <c r="H157" s="34">
        <f>33.7/24</f>
        <v>1.4041666666666668</v>
      </c>
      <c r="I157" s="128">
        <v>45</v>
      </c>
      <c r="J157" s="134">
        <v>0</v>
      </c>
      <c r="K157" s="133">
        <v>0</v>
      </c>
      <c r="L157" s="131" t="s">
        <v>113</v>
      </c>
      <c r="M157" s="133" t="s">
        <v>113</v>
      </c>
      <c r="N157" s="131">
        <v>45</v>
      </c>
      <c r="O157" s="4">
        <v>45</v>
      </c>
      <c r="P157" s="39"/>
      <c r="Q157" s="39"/>
      <c r="R157" s="39"/>
      <c r="S157" s="39"/>
      <c r="T157" s="39"/>
      <c r="U157" s="39"/>
      <c r="V157" s="39"/>
      <c r="W157" s="39"/>
      <c r="X157" s="39"/>
      <c r="Y157" s="39"/>
      <c r="Z157" s="39"/>
    </row>
    <row r="158" spans="1:26" s="3" customFormat="1" ht="27" customHeight="1" x14ac:dyDescent="0.25">
      <c r="A158" s="145">
        <f t="shared" si="26"/>
        <v>155</v>
      </c>
      <c r="B158" s="193" t="s">
        <v>283</v>
      </c>
      <c r="C158" s="73" t="s">
        <v>284</v>
      </c>
      <c r="D158" s="74" t="s">
        <v>261</v>
      </c>
      <c r="E158" s="84" t="s">
        <v>285</v>
      </c>
      <c r="F158" s="34">
        <v>8</v>
      </c>
      <c r="G158" s="34" t="s">
        <v>112</v>
      </c>
      <c r="H158" s="34">
        <f>84/24</f>
        <v>3.5</v>
      </c>
      <c r="I158" s="128">
        <v>74</v>
      </c>
      <c r="J158" s="134">
        <v>0</v>
      </c>
      <c r="K158" s="133">
        <v>0</v>
      </c>
      <c r="L158" s="131" t="s">
        <v>113</v>
      </c>
      <c r="M158" s="133" t="s">
        <v>113</v>
      </c>
      <c r="N158" s="128">
        <v>130</v>
      </c>
      <c r="O158" s="4">
        <v>130</v>
      </c>
      <c r="P158" s="39"/>
      <c r="Q158" s="39"/>
      <c r="R158" s="39"/>
      <c r="S158" s="39"/>
      <c r="T158" s="39"/>
      <c r="U158" s="39"/>
      <c r="V158" s="39"/>
      <c r="W158" s="39"/>
      <c r="X158" s="39"/>
      <c r="Y158" s="39"/>
      <c r="Z158" s="39"/>
    </row>
    <row r="159" spans="1:26" s="3" customFormat="1" ht="27" customHeight="1" x14ac:dyDescent="0.25">
      <c r="A159" s="145">
        <f t="shared" si="26"/>
        <v>156</v>
      </c>
      <c r="B159" s="193" t="s">
        <v>283</v>
      </c>
      <c r="C159" s="73" t="s">
        <v>284</v>
      </c>
      <c r="D159" s="74" t="s">
        <v>263</v>
      </c>
      <c r="E159" s="84" t="s">
        <v>286</v>
      </c>
      <c r="F159" s="34">
        <v>7</v>
      </c>
      <c r="G159" s="34" t="s">
        <v>112</v>
      </c>
      <c r="H159" s="34">
        <f>89/24</f>
        <v>3.7083333333333335</v>
      </c>
      <c r="I159" s="128">
        <v>67</v>
      </c>
      <c r="J159" s="134">
        <v>0</v>
      </c>
      <c r="K159" s="133">
        <v>0</v>
      </c>
      <c r="L159" s="131" t="s">
        <v>113</v>
      </c>
      <c r="M159" s="133" t="s">
        <v>113</v>
      </c>
      <c r="N159" s="128">
        <v>100</v>
      </c>
      <c r="O159" s="4">
        <v>100</v>
      </c>
      <c r="P159" s="39"/>
      <c r="Q159" s="39"/>
      <c r="R159" s="39"/>
      <c r="S159" s="39"/>
      <c r="T159" s="39"/>
      <c r="U159" s="39"/>
      <c r="V159" s="39"/>
      <c r="W159" s="39"/>
      <c r="X159" s="39"/>
      <c r="Y159" s="39"/>
      <c r="Z159" s="39"/>
    </row>
    <row r="160" spans="1:26" s="3" customFormat="1" ht="27" customHeight="1" x14ac:dyDescent="0.25">
      <c r="A160" s="145">
        <f t="shared" si="26"/>
        <v>157</v>
      </c>
      <c r="B160" s="193" t="s">
        <v>283</v>
      </c>
      <c r="C160" s="73" t="s">
        <v>284</v>
      </c>
      <c r="D160" s="74" t="s">
        <v>265</v>
      </c>
      <c r="E160" s="84" t="s">
        <v>287</v>
      </c>
      <c r="F160" s="34">
        <v>15</v>
      </c>
      <c r="G160" s="34" t="s">
        <v>112</v>
      </c>
      <c r="H160" s="34">
        <f>53/24</f>
        <v>2.2083333333333335</v>
      </c>
      <c r="I160" s="128">
        <v>48</v>
      </c>
      <c r="J160" s="134">
        <v>0</v>
      </c>
      <c r="K160" s="133">
        <v>0</v>
      </c>
      <c r="L160" s="131" t="s">
        <v>113</v>
      </c>
      <c r="M160" s="133" t="s">
        <v>113</v>
      </c>
      <c r="N160" s="128">
        <v>100</v>
      </c>
      <c r="O160" s="4">
        <v>100</v>
      </c>
      <c r="P160" s="39"/>
      <c r="Q160" s="39"/>
      <c r="R160" s="39"/>
      <c r="S160" s="39"/>
      <c r="T160" s="39"/>
      <c r="U160" s="39"/>
      <c r="V160" s="39"/>
      <c r="W160" s="39"/>
      <c r="X160" s="39"/>
      <c r="Y160" s="39"/>
      <c r="Z160" s="39"/>
    </row>
    <row r="161" spans="1:26" s="3" customFormat="1" ht="27" customHeight="1" x14ac:dyDescent="0.25">
      <c r="A161" s="145">
        <f t="shared" si="26"/>
        <v>158</v>
      </c>
      <c r="B161" s="193" t="s">
        <v>283</v>
      </c>
      <c r="C161" s="73" t="s">
        <v>284</v>
      </c>
      <c r="D161" s="74" t="s">
        <v>270</v>
      </c>
      <c r="E161" s="84" t="s">
        <v>288</v>
      </c>
      <c r="F161" s="34">
        <v>6</v>
      </c>
      <c r="G161" s="34" t="s">
        <v>112</v>
      </c>
      <c r="H161" s="34">
        <f>57/24</f>
        <v>2.375</v>
      </c>
      <c r="I161" s="128">
        <v>336</v>
      </c>
      <c r="J161" s="134">
        <v>0</v>
      </c>
      <c r="K161" s="133">
        <v>0</v>
      </c>
      <c r="L161" s="131" t="s">
        <v>113</v>
      </c>
      <c r="M161" s="133" t="s">
        <v>113</v>
      </c>
      <c r="N161" s="128">
        <f>280/0.855</f>
        <v>327.48538011695905</v>
      </c>
      <c r="O161" s="4">
        <f>280/0.855</f>
        <v>327.48538011695905</v>
      </c>
      <c r="P161" s="39"/>
      <c r="Q161" s="39"/>
      <c r="R161" s="39"/>
      <c r="S161" s="39"/>
      <c r="T161" s="39"/>
      <c r="U161" s="39"/>
      <c r="V161" s="39"/>
      <c r="W161" s="39"/>
      <c r="X161" s="39"/>
      <c r="Y161" s="39"/>
      <c r="Z161" s="39"/>
    </row>
    <row r="162" spans="1:26" s="3" customFormat="1" ht="27" customHeight="1" x14ac:dyDescent="0.25">
      <c r="A162" s="145">
        <f t="shared" si="26"/>
        <v>159</v>
      </c>
      <c r="B162" s="193" t="s">
        <v>283</v>
      </c>
      <c r="C162" s="73" t="s">
        <v>284</v>
      </c>
      <c r="D162" s="74" t="s">
        <v>259</v>
      </c>
      <c r="E162" s="84" t="s">
        <v>289</v>
      </c>
      <c r="F162" s="34">
        <v>6</v>
      </c>
      <c r="G162" s="34" t="s">
        <v>112</v>
      </c>
      <c r="H162" s="34">
        <f>132/24</f>
        <v>5.5</v>
      </c>
      <c r="I162" s="128">
        <v>81</v>
      </c>
      <c r="J162" s="134">
        <v>0</v>
      </c>
      <c r="K162" s="133">
        <v>0</v>
      </c>
      <c r="L162" s="131" t="s">
        <v>113</v>
      </c>
      <c r="M162" s="133" t="s">
        <v>113</v>
      </c>
      <c r="N162" s="128">
        <v>85</v>
      </c>
      <c r="O162" s="4">
        <v>85</v>
      </c>
      <c r="P162" s="39"/>
      <c r="Q162" s="39"/>
      <c r="R162" s="39"/>
      <c r="S162" s="39"/>
      <c r="T162" s="39"/>
      <c r="U162" s="39"/>
      <c r="V162" s="39"/>
      <c r="W162" s="39"/>
      <c r="X162" s="39"/>
      <c r="Y162" s="39"/>
      <c r="Z162" s="39"/>
    </row>
    <row r="163" spans="1:26" s="3" customFormat="1" ht="27" customHeight="1" x14ac:dyDescent="0.25">
      <c r="A163" s="145">
        <f t="shared" si="26"/>
        <v>160</v>
      </c>
      <c r="B163" s="193" t="s">
        <v>283</v>
      </c>
      <c r="C163" s="73" t="s">
        <v>284</v>
      </c>
      <c r="D163" s="74" t="s">
        <v>261</v>
      </c>
      <c r="E163" s="84" t="s">
        <v>290</v>
      </c>
      <c r="F163" s="34">
        <v>5.5</v>
      </c>
      <c r="G163" s="34" t="s">
        <v>112</v>
      </c>
      <c r="H163" s="34">
        <f>107/24</f>
        <v>4.458333333333333</v>
      </c>
      <c r="I163" s="128">
        <v>74</v>
      </c>
      <c r="J163" s="134">
        <v>0</v>
      </c>
      <c r="K163" s="133">
        <v>0</v>
      </c>
      <c r="L163" s="131" t="s">
        <v>113</v>
      </c>
      <c r="M163" s="133" t="s">
        <v>113</v>
      </c>
      <c r="N163" s="128">
        <v>130</v>
      </c>
      <c r="O163" s="4">
        <v>130</v>
      </c>
      <c r="P163" s="39"/>
      <c r="Q163" s="39"/>
      <c r="R163" s="39"/>
      <c r="S163" s="39"/>
      <c r="T163" s="39"/>
      <c r="U163" s="39"/>
      <c r="V163" s="39"/>
      <c r="W163" s="39"/>
      <c r="X163" s="39"/>
      <c r="Y163" s="39"/>
      <c r="Z163" s="39"/>
    </row>
    <row r="164" spans="1:26" s="3" customFormat="1" ht="27" customHeight="1" x14ac:dyDescent="0.25">
      <c r="A164" s="145">
        <f t="shared" si="26"/>
        <v>161</v>
      </c>
      <c r="B164" s="193" t="s">
        <v>283</v>
      </c>
      <c r="C164" s="73" t="s">
        <v>284</v>
      </c>
      <c r="D164" s="74" t="s">
        <v>263</v>
      </c>
      <c r="E164" s="84" t="s">
        <v>291</v>
      </c>
      <c r="F164" s="34">
        <v>12</v>
      </c>
      <c r="G164" s="34" t="s">
        <v>112</v>
      </c>
      <c r="H164" s="34">
        <f>156/24</f>
        <v>6.5</v>
      </c>
      <c r="I164" s="128">
        <v>83</v>
      </c>
      <c r="J164" s="134">
        <v>0</v>
      </c>
      <c r="K164" s="133">
        <v>0</v>
      </c>
      <c r="L164" s="131" t="s">
        <v>113</v>
      </c>
      <c r="M164" s="133" t="s">
        <v>113</v>
      </c>
      <c r="N164" s="128">
        <v>120</v>
      </c>
      <c r="O164" s="4">
        <v>120</v>
      </c>
      <c r="P164" s="39"/>
      <c r="Q164" s="39"/>
      <c r="R164" s="39"/>
      <c r="S164" s="39"/>
      <c r="T164" s="39"/>
      <c r="U164" s="39"/>
      <c r="V164" s="39"/>
      <c r="W164" s="39"/>
      <c r="X164" s="39"/>
      <c r="Y164" s="39"/>
      <c r="Z164" s="39"/>
    </row>
    <row r="165" spans="1:26" s="3" customFormat="1" ht="27" customHeight="1" x14ac:dyDescent="0.25">
      <c r="A165" s="145">
        <f t="shared" si="26"/>
        <v>162</v>
      </c>
      <c r="B165" s="193" t="s">
        <v>283</v>
      </c>
      <c r="C165" s="73" t="s">
        <v>284</v>
      </c>
      <c r="D165" s="74" t="s">
        <v>265</v>
      </c>
      <c r="E165" s="84" t="s">
        <v>292</v>
      </c>
      <c r="F165" s="34">
        <v>6</v>
      </c>
      <c r="G165" s="34" t="s">
        <v>112</v>
      </c>
      <c r="H165" s="34">
        <f>106/24</f>
        <v>4.416666666666667</v>
      </c>
      <c r="I165" s="128">
        <v>62</v>
      </c>
      <c r="J165" s="134">
        <v>0</v>
      </c>
      <c r="K165" s="133">
        <v>0</v>
      </c>
      <c r="L165" s="131" t="s">
        <v>113</v>
      </c>
      <c r="M165" s="133" t="s">
        <v>113</v>
      </c>
      <c r="N165" s="128">
        <v>99</v>
      </c>
      <c r="O165" s="4">
        <v>99</v>
      </c>
      <c r="P165" s="39"/>
      <c r="Q165" s="39"/>
      <c r="R165" s="39"/>
      <c r="S165" s="39"/>
      <c r="T165" s="39"/>
      <c r="U165" s="39"/>
      <c r="V165" s="39"/>
      <c r="W165" s="39"/>
      <c r="X165" s="39"/>
      <c r="Y165" s="39"/>
      <c r="Z165" s="39"/>
    </row>
    <row r="166" spans="1:26" s="3" customFormat="1" ht="27" customHeight="1" x14ac:dyDescent="0.25">
      <c r="A166" s="145">
        <f t="shared" si="26"/>
        <v>163</v>
      </c>
      <c r="B166" s="193" t="s">
        <v>283</v>
      </c>
      <c r="C166" s="73" t="s">
        <v>284</v>
      </c>
      <c r="D166" s="74" t="s">
        <v>270</v>
      </c>
      <c r="E166" s="84" t="s">
        <v>293</v>
      </c>
      <c r="F166" s="34">
        <v>7</v>
      </c>
      <c r="G166" s="34" t="s">
        <v>112</v>
      </c>
      <c r="H166" s="34">
        <f>114/24</f>
        <v>4.75</v>
      </c>
      <c r="I166" s="128">
        <v>585</v>
      </c>
      <c r="J166" s="134">
        <v>0</v>
      </c>
      <c r="K166" s="133">
        <v>0</v>
      </c>
      <c r="L166" s="131" t="s">
        <v>113</v>
      </c>
      <c r="M166" s="133" t="s">
        <v>113</v>
      </c>
      <c r="N166" s="128">
        <f>539/0.855</f>
        <v>630.40935672514627</v>
      </c>
      <c r="O166" s="4">
        <f>539/0.855</f>
        <v>630.40935672514627</v>
      </c>
      <c r="P166" s="39"/>
      <c r="Q166" s="39"/>
      <c r="R166" s="39"/>
      <c r="S166" s="39"/>
      <c r="T166" s="39"/>
      <c r="U166" s="39"/>
      <c r="V166" s="39"/>
      <c r="W166" s="39"/>
      <c r="X166" s="39"/>
      <c r="Y166" s="39"/>
      <c r="Z166" s="39"/>
    </row>
    <row r="167" spans="1:26" s="3" customFormat="1" ht="27" customHeight="1" x14ac:dyDescent="0.25">
      <c r="A167" s="145">
        <f t="shared" si="26"/>
        <v>164</v>
      </c>
      <c r="B167" s="193" t="s">
        <v>283</v>
      </c>
      <c r="C167" s="73" t="s">
        <v>294</v>
      </c>
      <c r="D167" s="74" t="s">
        <v>261</v>
      </c>
      <c r="E167" s="84" t="s">
        <v>295</v>
      </c>
      <c r="F167" s="34">
        <v>18</v>
      </c>
      <c r="G167" s="34" t="s">
        <v>112</v>
      </c>
      <c r="H167" s="34">
        <f>140/24</f>
        <v>5.833333333333333</v>
      </c>
      <c r="I167" s="128">
        <v>95</v>
      </c>
      <c r="J167" s="134">
        <v>0</v>
      </c>
      <c r="K167" s="133">
        <v>0</v>
      </c>
      <c r="L167" s="131" t="s">
        <v>113</v>
      </c>
      <c r="M167" s="133" t="s">
        <v>113</v>
      </c>
      <c r="N167" s="128">
        <v>122</v>
      </c>
      <c r="O167" s="4">
        <v>122</v>
      </c>
      <c r="P167" s="39"/>
      <c r="Q167" s="39"/>
      <c r="R167" s="39"/>
      <c r="S167" s="39"/>
      <c r="T167" s="39"/>
      <c r="U167" s="39"/>
      <c r="V167" s="39"/>
      <c r="W167" s="39"/>
      <c r="X167" s="39"/>
      <c r="Y167" s="39"/>
      <c r="Z167" s="39"/>
    </row>
    <row r="168" spans="1:26" s="3" customFormat="1" ht="27" customHeight="1" x14ac:dyDescent="0.25">
      <c r="A168" s="145">
        <f t="shared" si="26"/>
        <v>165</v>
      </c>
      <c r="B168" s="193" t="s">
        <v>283</v>
      </c>
      <c r="C168" s="73" t="s">
        <v>294</v>
      </c>
      <c r="D168" s="74" t="s">
        <v>265</v>
      </c>
      <c r="E168" s="84" t="s">
        <v>296</v>
      </c>
      <c r="F168" s="34">
        <v>16</v>
      </c>
      <c r="G168" s="34" t="s">
        <v>112</v>
      </c>
      <c r="H168" s="34">
        <f>73/24</f>
        <v>3.0416666666666665</v>
      </c>
      <c r="I168" s="128">
        <v>62</v>
      </c>
      <c r="J168" s="134">
        <v>0</v>
      </c>
      <c r="K168" s="133">
        <v>0</v>
      </c>
      <c r="L168" s="131" t="s">
        <v>113</v>
      </c>
      <c r="M168" s="133" t="s">
        <v>113</v>
      </c>
      <c r="N168" s="128">
        <v>100</v>
      </c>
      <c r="O168" s="4">
        <v>100</v>
      </c>
      <c r="P168" s="39"/>
      <c r="Q168" s="39"/>
      <c r="R168" s="39"/>
      <c r="S168" s="39"/>
      <c r="T168" s="39"/>
      <c r="U168" s="39"/>
      <c r="V168" s="39"/>
      <c r="W168" s="39"/>
      <c r="X168" s="39"/>
      <c r="Y168" s="39"/>
      <c r="Z168" s="39"/>
    </row>
    <row r="169" spans="1:26" s="3" customFormat="1" ht="27" customHeight="1" x14ac:dyDescent="0.25">
      <c r="A169" s="145">
        <f t="shared" si="26"/>
        <v>166</v>
      </c>
      <c r="B169" s="193" t="s">
        <v>283</v>
      </c>
      <c r="C169" s="73" t="s">
        <v>294</v>
      </c>
      <c r="D169" s="74" t="s">
        <v>259</v>
      </c>
      <c r="E169" s="84" t="s">
        <v>297</v>
      </c>
      <c r="F169" s="34">
        <v>18</v>
      </c>
      <c r="G169" s="34" t="s">
        <v>112</v>
      </c>
      <c r="H169" s="34">
        <f>126/24</f>
        <v>5.25</v>
      </c>
      <c r="I169" s="128">
        <v>107</v>
      </c>
      <c r="J169" s="134">
        <v>0</v>
      </c>
      <c r="K169" s="133">
        <v>0</v>
      </c>
      <c r="L169" s="131" t="s">
        <v>113</v>
      </c>
      <c r="M169" s="133" t="s">
        <v>113</v>
      </c>
      <c r="N169" s="128">
        <v>115</v>
      </c>
      <c r="O169" s="4">
        <v>115</v>
      </c>
      <c r="P169" s="39"/>
      <c r="Q169" s="39"/>
      <c r="R169" s="39"/>
      <c r="S169" s="39"/>
      <c r="T169" s="39"/>
      <c r="U169" s="39"/>
      <c r="V169" s="39"/>
      <c r="W169" s="39"/>
      <c r="X169" s="39"/>
      <c r="Y169" s="39"/>
      <c r="Z169" s="39"/>
    </row>
    <row r="170" spans="1:26" s="3" customFormat="1" ht="27" customHeight="1" x14ac:dyDescent="0.25">
      <c r="A170" s="145">
        <f t="shared" si="26"/>
        <v>167</v>
      </c>
      <c r="B170" s="193" t="s">
        <v>283</v>
      </c>
      <c r="C170" s="73" t="s">
        <v>294</v>
      </c>
      <c r="D170" s="74" t="s">
        <v>261</v>
      </c>
      <c r="E170" s="84" t="s">
        <v>298</v>
      </c>
      <c r="F170" s="34">
        <v>22.5</v>
      </c>
      <c r="G170" s="34" t="s">
        <v>112</v>
      </c>
      <c r="H170" s="34">
        <f>128/24</f>
        <v>5.333333333333333</v>
      </c>
      <c r="I170" s="128">
        <v>95</v>
      </c>
      <c r="J170" s="134">
        <v>0</v>
      </c>
      <c r="K170" s="133">
        <v>0</v>
      </c>
      <c r="L170" s="131" t="s">
        <v>113</v>
      </c>
      <c r="M170" s="133" t="s">
        <v>113</v>
      </c>
      <c r="N170" s="128">
        <v>115</v>
      </c>
      <c r="O170" s="4">
        <v>115</v>
      </c>
      <c r="P170" s="39"/>
      <c r="Q170" s="39"/>
      <c r="R170" s="39"/>
      <c r="S170" s="39"/>
      <c r="T170" s="39"/>
      <c r="U170" s="39"/>
      <c r="V170" s="39"/>
      <c r="W170" s="39"/>
      <c r="X170" s="39"/>
      <c r="Y170" s="39"/>
      <c r="Z170" s="39"/>
    </row>
    <row r="171" spans="1:26" s="3" customFormat="1" ht="27" customHeight="1" x14ac:dyDescent="0.25">
      <c r="A171" s="145">
        <f t="shared" si="26"/>
        <v>168</v>
      </c>
      <c r="B171" s="193" t="s">
        <v>283</v>
      </c>
      <c r="C171" s="73" t="s">
        <v>294</v>
      </c>
      <c r="D171" s="74" t="s">
        <v>263</v>
      </c>
      <c r="E171" s="84" t="s">
        <v>299</v>
      </c>
      <c r="F171" s="34">
        <v>24</v>
      </c>
      <c r="G171" s="34" t="s">
        <v>112</v>
      </c>
      <c r="H171" s="34">
        <f>138/24</f>
        <v>5.75</v>
      </c>
      <c r="I171" s="128">
        <v>108</v>
      </c>
      <c r="J171" s="134">
        <v>0</v>
      </c>
      <c r="K171" s="133">
        <v>0</v>
      </c>
      <c r="L171" s="131" t="s">
        <v>113</v>
      </c>
      <c r="M171" s="133" t="s">
        <v>113</v>
      </c>
      <c r="N171" s="128">
        <v>160</v>
      </c>
      <c r="O171" s="4">
        <v>160</v>
      </c>
      <c r="P171" s="39"/>
      <c r="Q171" s="39"/>
      <c r="R171" s="39"/>
      <c r="S171" s="39"/>
      <c r="T171" s="39"/>
      <c r="U171" s="39"/>
      <c r="V171" s="39"/>
      <c r="W171" s="39"/>
      <c r="X171" s="39"/>
      <c r="Y171" s="39"/>
      <c r="Z171" s="39"/>
    </row>
    <row r="172" spans="1:26" s="3" customFormat="1" ht="27" customHeight="1" x14ac:dyDescent="0.25">
      <c r="A172" s="145">
        <f t="shared" si="26"/>
        <v>169</v>
      </c>
      <c r="B172" s="193" t="s">
        <v>283</v>
      </c>
      <c r="C172" s="73" t="s">
        <v>294</v>
      </c>
      <c r="D172" s="74" t="s">
        <v>265</v>
      </c>
      <c r="E172" s="84" t="s">
        <v>300</v>
      </c>
      <c r="F172" s="34">
        <v>20.25</v>
      </c>
      <c r="G172" s="34" t="s">
        <v>112</v>
      </c>
      <c r="H172" s="34">
        <f>152/24</f>
        <v>6.333333333333333</v>
      </c>
      <c r="I172" s="128">
        <v>83</v>
      </c>
      <c r="J172" s="134">
        <v>0</v>
      </c>
      <c r="K172" s="133">
        <v>0</v>
      </c>
      <c r="L172" s="131" t="s">
        <v>113</v>
      </c>
      <c r="M172" s="133" t="s">
        <v>113</v>
      </c>
      <c r="N172" s="128">
        <v>130</v>
      </c>
      <c r="O172" s="4">
        <v>130</v>
      </c>
      <c r="P172" s="39"/>
      <c r="Q172" s="39"/>
      <c r="R172" s="39"/>
      <c r="S172" s="39"/>
      <c r="T172" s="39"/>
      <c r="U172" s="39"/>
      <c r="V172" s="39"/>
      <c r="W172" s="39"/>
      <c r="X172" s="39"/>
      <c r="Y172" s="39"/>
      <c r="Z172" s="39"/>
    </row>
    <row r="173" spans="1:26" s="3" customFormat="1" ht="27" customHeight="1" x14ac:dyDescent="0.25">
      <c r="A173" s="145">
        <f t="shared" si="26"/>
        <v>170</v>
      </c>
      <c r="B173" s="193" t="s">
        <v>283</v>
      </c>
      <c r="C173" s="73" t="s">
        <v>294</v>
      </c>
      <c r="D173" s="74" t="s">
        <v>270</v>
      </c>
      <c r="E173" s="84" t="s">
        <v>301</v>
      </c>
      <c r="F173" s="34">
        <v>20</v>
      </c>
      <c r="G173" s="34" t="s">
        <v>112</v>
      </c>
      <c r="H173" s="34">
        <f>134/24</f>
        <v>5.583333333333333</v>
      </c>
      <c r="I173" s="128">
        <v>487</v>
      </c>
      <c r="J173" s="134">
        <v>0</v>
      </c>
      <c r="K173" s="133">
        <v>0</v>
      </c>
      <c r="L173" s="131" t="s">
        <v>113</v>
      </c>
      <c r="M173" s="133" t="s">
        <v>113</v>
      </c>
      <c r="N173" s="128">
        <f>703/0.855</f>
        <v>822.22222222222229</v>
      </c>
      <c r="O173" s="4">
        <f>703/0.855</f>
        <v>822.22222222222229</v>
      </c>
      <c r="P173" s="39"/>
      <c r="Q173" s="39"/>
      <c r="R173" s="39"/>
      <c r="S173" s="39"/>
      <c r="T173" s="39"/>
      <c r="U173" s="39"/>
      <c r="V173" s="39"/>
      <c r="W173" s="39"/>
      <c r="X173" s="39"/>
      <c r="Y173" s="39"/>
      <c r="Z173" s="39"/>
    </row>
    <row r="174" spans="1:26" s="3" customFormat="1" ht="27" customHeight="1" x14ac:dyDescent="0.25">
      <c r="A174" s="145">
        <f t="shared" si="26"/>
        <v>171</v>
      </c>
      <c r="B174" s="22" t="s">
        <v>75</v>
      </c>
      <c r="C174" s="73" t="s">
        <v>294</v>
      </c>
      <c r="D174" s="74" t="s">
        <v>281</v>
      </c>
      <c r="E174" s="84" t="s">
        <v>302</v>
      </c>
      <c r="F174" s="34">
        <v>15.4</v>
      </c>
      <c r="G174" s="34" t="s">
        <v>112</v>
      </c>
      <c r="H174" s="34">
        <f>(106+(9/60))/24</f>
        <v>4.4229166666666666</v>
      </c>
      <c r="I174" s="128">
        <v>258</v>
      </c>
      <c r="J174" s="134">
        <v>0</v>
      </c>
      <c r="K174" s="133">
        <v>0</v>
      </c>
      <c r="L174" s="131" t="s">
        <v>113</v>
      </c>
      <c r="M174" s="133" t="s">
        <v>113</v>
      </c>
      <c r="N174" s="131">
        <f>I174+J174</f>
        <v>258</v>
      </c>
      <c r="O174" s="4">
        <f>I174+K174</f>
        <v>258</v>
      </c>
      <c r="P174" s="39"/>
      <c r="Q174" s="39"/>
      <c r="R174" s="39"/>
      <c r="S174" s="39"/>
      <c r="T174" s="39"/>
      <c r="U174" s="39"/>
      <c r="V174" s="39"/>
      <c r="W174" s="39"/>
      <c r="X174" s="39"/>
      <c r="Y174" s="39"/>
      <c r="Z174" s="39"/>
    </row>
    <row r="175" spans="1:26" s="3" customFormat="1" ht="27" customHeight="1" x14ac:dyDescent="0.25">
      <c r="A175" s="145">
        <f t="shared" si="26"/>
        <v>172</v>
      </c>
      <c r="B175" s="85" t="s">
        <v>76</v>
      </c>
      <c r="C175" s="73" t="s">
        <v>112</v>
      </c>
      <c r="D175" s="73" t="s">
        <v>303</v>
      </c>
      <c r="E175" s="74" t="s">
        <v>304</v>
      </c>
      <c r="F175" s="34" t="s">
        <v>112</v>
      </c>
      <c r="G175" s="34" t="s">
        <v>112</v>
      </c>
      <c r="H175" s="34" t="s">
        <v>112</v>
      </c>
      <c r="I175" s="129">
        <v>95</v>
      </c>
      <c r="J175" s="134">
        <v>0</v>
      </c>
      <c r="K175" s="133">
        <v>0</v>
      </c>
      <c r="L175" s="131" t="s">
        <v>113</v>
      </c>
      <c r="M175" s="133" t="s">
        <v>113</v>
      </c>
      <c r="N175" s="131">
        <f>I175+J175</f>
        <v>95</v>
      </c>
      <c r="O175" s="4">
        <f>I175+K175</f>
        <v>95</v>
      </c>
      <c r="P175" s="39"/>
      <c r="Q175" s="39"/>
      <c r="R175" s="39"/>
      <c r="S175" s="39"/>
      <c r="T175" s="39"/>
      <c r="U175" s="39"/>
      <c r="V175" s="39"/>
      <c r="W175" s="39"/>
      <c r="X175" s="39"/>
      <c r="Y175" s="39"/>
      <c r="Z175" s="39"/>
    </row>
    <row r="176" spans="1:26" s="3" customFormat="1" ht="27" customHeight="1" x14ac:dyDescent="0.25">
      <c r="A176" s="145">
        <f t="shared" si="26"/>
        <v>173</v>
      </c>
      <c r="B176" s="85" t="s">
        <v>76</v>
      </c>
      <c r="C176" s="73" t="s">
        <v>112</v>
      </c>
      <c r="D176" s="73" t="s">
        <v>303</v>
      </c>
      <c r="E176" s="74" t="s">
        <v>305</v>
      </c>
      <c r="F176" s="34" t="s">
        <v>112</v>
      </c>
      <c r="G176" s="34" t="s">
        <v>112</v>
      </c>
      <c r="H176" s="34" t="s">
        <v>112</v>
      </c>
      <c r="I176" s="129">
        <v>65</v>
      </c>
      <c r="J176" s="134">
        <v>0</v>
      </c>
      <c r="K176" s="133">
        <v>0</v>
      </c>
      <c r="L176" s="131" t="s">
        <v>113</v>
      </c>
      <c r="M176" s="133" t="s">
        <v>113</v>
      </c>
      <c r="N176" s="131">
        <f>I176+J176</f>
        <v>65</v>
      </c>
      <c r="O176" s="4">
        <f>I176+K176</f>
        <v>65</v>
      </c>
      <c r="P176" s="39"/>
      <c r="Q176" s="39"/>
      <c r="R176" s="39"/>
      <c r="S176" s="39"/>
      <c r="T176" s="39"/>
      <c r="U176" s="39"/>
      <c r="V176" s="39"/>
      <c r="W176" s="39"/>
      <c r="X176" s="39"/>
      <c r="Y176" s="39"/>
      <c r="Z176" s="39"/>
    </row>
    <row r="177" spans="1:30" s="3" customFormat="1" ht="27" customHeight="1" x14ac:dyDescent="0.25">
      <c r="A177" s="145">
        <f t="shared" si="26"/>
        <v>174</v>
      </c>
      <c r="B177" s="85" t="s">
        <v>76</v>
      </c>
      <c r="C177" s="73" t="s">
        <v>112</v>
      </c>
      <c r="D177" s="73" t="s">
        <v>114</v>
      </c>
      <c r="E177" s="74" t="s">
        <v>306</v>
      </c>
      <c r="F177" s="34" t="s">
        <v>112</v>
      </c>
      <c r="G177" s="34" t="s">
        <v>112</v>
      </c>
      <c r="H177" s="34" t="s">
        <v>112</v>
      </c>
      <c r="I177" s="129">
        <v>68</v>
      </c>
      <c r="J177" s="134">
        <v>0</v>
      </c>
      <c r="K177" s="133">
        <v>0</v>
      </c>
      <c r="L177" s="131" t="s">
        <v>113</v>
      </c>
      <c r="M177" s="133" t="s">
        <v>113</v>
      </c>
      <c r="N177" s="131">
        <f>I177+J177</f>
        <v>68</v>
      </c>
      <c r="O177" s="4">
        <f>I177+K177</f>
        <v>68</v>
      </c>
      <c r="P177" s="39"/>
      <c r="Q177" s="39"/>
      <c r="R177" s="39"/>
      <c r="S177" s="39"/>
      <c r="T177" s="39"/>
      <c r="U177" s="39"/>
      <c r="V177" s="39"/>
      <c r="W177" s="39"/>
      <c r="X177" s="39"/>
      <c r="Y177" s="39"/>
      <c r="Z177" s="39"/>
      <c r="AB177"/>
      <c r="AC177"/>
      <c r="AD177"/>
    </row>
    <row r="178" spans="1:30" s="3" customFormat="1" ht="27" customHeight="1" x14ac:dyDescent="0.25">
      <c r="A178" s="145">
        <f t="shared" si="26"/>
        <v>175</v>
      </c>
      <c r="B178" s="85" t="s">
        <v>76</v>
      </c>
      <c r="C178" s="73" t="s">
        <v>112</v>
      </c>
      <c r="D178" s="73" t="s">
        <v>307</v>
      </c>
      <c r="E178" s="74" t="s">
        <v>308</v>
      </c>
      <c r="F178" s="34" t="s">
        <v>112</v>
      </c>
      <c r="G178" s="34" t="s">
        <v>112</v>
      </c>
      <c r="H178" s="34" t="s">
        <v>112</v>
      </c>
      <c r="I178" s="129">
        <v>550</v>
      </c>
      <c r="J178" s="134">
        <v>0</v>
      </c>
      <c r="K178" s="133">
        <v>0</v>
      </c>
      <c r="L178" s="131" t="s">
        <v>113</v>
      </c>
      <c r="M178" s="133" t="s">
        <v>113</v>
      </c>
      <c r="N178" s="131">
        <f>I178+J178</f>
        <v>550</v>
      </c>
      <c r="O178" s="4">
        <f>I178+K178</f>
        <v>550</v>
      </c>
      <c r="P178" s="39"/>
      <c r="Q178" s="39"/>
      <c r="R178" s="39"/>
      <c r="S178" s="39"/>
      <c r="T178" s="39"/>
      <c r="U178" s="39"/>
      <c r="V178" s="39"/>
      <c r="W178" s="39"/>
      <c r="X178" s="39"/>
      <c r="Y178" s="39"/>
      <c r="Z178" s="39"/>
      <c r="AB178"/>
      <c r="AC178"/>
      <c r="AD178"/>
    </row>
    <row r="179" spans="1:30" s="3" customFormat="1" ht="27" customHeight="1" x14ac:dyDescent="0.25">
      <c r="A179" s="145">
        <f t="shared" si="26"/>
        <v>176</v>
      </c>
      <c r="B179" s="85" t="s">
        <v>76</v>
      </c>
      <c r="C179" s="73" t="s">
        <v>112</v>
      </c>
      <c r="D179" s="73" t="s">
        <v>307</v>
      </c>
      <c r="E179" s="74" t="s">
        <v>309</v>
      </c>
      <c r="F179" s="34" t="s">
        <v>112</v>
      </c>
      <c r="G179" s="34" t="s">
        <v>112</v>
      </c>
      <c r="H179" s="34" t="s">
        <v>112</v>
      </c>
      <c r="I179" s="129">
        <v>950</v>
      </c>
      <c r="J179" s="134">
        <v>0</v>
      </c>
      <c r="K179" s="133">
        <v>0</v>
      </c>
      <c r="L179" s="131" t="s">
        <v>113</v>
      </c>
      <c r="M179" s="133" t="s">
        <v>113</v>
      </c>
      <c r="N179" s="131">
        <f>I179+J179</f>
        <v>950</v>
      </c>
      <c r="O179" s="4">
        <f>I179+K179</f>
        <v>950</v>
      </c>
      <c r="P179" s="39"/>
      <c r="Q179" s="39"/>
      <c r="R179" s="39"/>
      <c r="S179" s="39"/>
      <c r="T179" s="39"/>
      <c r="U179" s="39"/>
      <c r="V179" s="39"/>
      <c r="W179" s="39"/>
      <c r="X179" s="39"/>
      <c r="Y179" s="39"/>
      <c r="Z179" s="39"/>
      <c r="AB179"/>
      <c r="AC179"/>
      <c r="AD179"/>
    </row>
    <row r="180" spans="1:30" s="3" customFormat="1" ht="27" customHeight="1" x14ac:dyDescent="0.25">
      <c r="A180" s="145">
        <f t="shared" si="26"/>
        <v>177</v>
      </c>
      <c r="B180" s="85" t="s">
        <v>76</v>
      </c>
      <c r="C180" s="73" t="s">
        <v>112</v>
      </c>
      <c r="D180" s="73" t="s">
        <v>303</v>
      </c>
      <c r="E180" s="74" t="s">
        <v>310</v>
      </c>
      <c r="F180" s="34" t="s">
        <v>112</v>
      </c>
      <c r="G180" s="34" t="s">
        <v>112</v>
      </c>
      <c r="H180" s="34" t="s">
        <v>112</v>
      </c>
      <c r="I180" s="129">
        <v>1032</v>
      </c>
      <c r="J180" s="134">
        <v>0</v>
      </c>
      <c r="K180" s="133">
        <v>0</v>
      </c>
      <c r="L180" s="131" t="s">
        <v>113</v>
      </c>
      <c r="M180" s="133" t="s">
        <v>113</v>
      </c>
      <c r="N180" s="131">
        <f>I180+J180</f>
        <v>1032</v>
      </c>
      <c r="O180" s="4">
        <f>I180+K180</f>
        <v>1032</v>
      </c>
      <c r="P180" s="39"/>
      <c r="Q180" s="39"/>
      <c r="R180" s="39"/>
      <c r="S180" s="39"/>
      <c r="T180" s="39"/>
      <c r="U180" s="39"/>
      <c r="V180" s="39"/>
      <c r="W180" s="39"/>
      <c r="X180" s="39"/>
      <c r="Y180" s="39"/>
      <c r="Z180" s="39"/>
      <c r="AB180"/>
      <c r="AC180"/>
      <c r="AD180"/>
    </row>
    <row r="181" spans="1:30" s="3" customFormat="1" ht="27" customHeight="1" x14ac:dyDescent="0.25">
      <c r="A181" s="145">
        <f t="shared" si="26"/>
        <v>178</v>
      </c>
      <c r="B181" s="85" t="s">
        <v>76</v>
      </c>
      <c r="C181" s="73" t="s">
        <v>112</v>
      </c>
      <c r="D181" s="73" t="s">
        <v>307</v>
      </c>
      <c r="E181" s="74" t="s">
        <v>311</v>
      </c>
      <c r="F181" s="34" t="s">
        <v>112</v>
      </c>
      <c r="G181" s="34" t="s">
        <v>112</v>
      </c>
      <c r="H181" s="34" t="s">
        <v>112</v>
      </c>
      <c r="I181" s="129">
        <v>1085</v>
      </c>
      <c r="J181" s="134">
        <v>0</v>
      </c>
      <c r="K181" s="133">
        <v>0</v>
      </c>
      <c r="L181" s="131" t="s">
        <v>113</v>
      </c>
      <c r="M181" s="133" t="s">
        <v>113</v>
      </c>
      <c r="N181" s="131">
        <f>I181+J181</f>
        <v>1085</v>
      </c>
      <c r="O181" s="4">
        <f>I181+K181</f>
        <v>1085</v>
      </c>
      <c r="P181" s="39"/>
      <c r="Q181" s="39"/>
      <c r="R181" s="39"/>
      <c r="S181" s="39"/>
      <c r="T181" s="39"/>
      <c r="U181" s="39"/>
      <c r="V181" s="39"/>
      <c r="W181" s="39"/>
      <c r="X181" s="39"/>
      <c r="Y181" s="39"/>
      <c r="Z181" s="39"/>
      <c r="AB181"/>
      <c r="AC181"/>
      <c r="AD181"/>
    </row>
    <row r="182" spans="1:30" s="3" customFormat="1" ht="27" customHeight="1" x14ac:dyDescent="0.25">
      <c r="A182" s="145">
        <f t="shared" si="26"/>
        <v>179</v>
      </c>
      <c r="B182" s="85" t="s">
        <v>76</v>
      </c>
      <c r="C182" s="73" t="s">
        <v>112</v>
      </c>
      <c r="D182" s="73" t="s">
        <v>303</v>
      </c>
      <c r="E182" s="74" t="s">
        <v>312</v>
      </c>
      <c r="F182" s="34" t="s">
        <v>112</v>
      </c>
      <c r="G182" s="34" t="s">
        <v>112</v>
      </c>
      <c r="H182" s="34" t="s">
        <v>112</v>
      </c>
      <c r="I182" s="129">
        <v>1010.9</v>
      </c>
      <c r="J182" s="134">
        <v>0</v>
      </c>
      <c r="K182" s="133">
        <v>0</v>
      </c>
      <c r="L182" s="131" t="s">
        <v>113</v>
      </c>
      <c r="M182" s="133" t="s">
        <v>113</v>
      </c>
      <c r="N182" s="131">
        <f>I182+J182</f>
        <v>1010.9</v>
      </c>
      <c r="O182" s="4">
        <f>I182+K182</f>
        <v>1010.9</v>
      </c>
      <c r="P182" s="39"/>
      <c r="Q182" s="39"/>
      <c r="R182" s="39"/>
      <c r="S182" s="39"/>
      <c r="T182" s="39"/>
      <c r="U182" s="39"/>
      <c r="V182" s="39"/>
      <c r="W182" s="39"/>
      <c r="X182" s="39"/>
      <c r="Y182" s="39"/>
      <c r="Z182" s="39"/>
      <c r="AB182"/>
      <c r="AC182"/>
      <c r="AD182"/>
    </row>
    <row r="183" spans="1:30" s="3" customFormat="1" ht="27" customHeight="1" x14ac:dyDescent="0.25">
      <c r="A183" s="145">
        <f t="shared" si="26"/>
        <v>180</v>
      </c>
      <c r="B183" s="85" t="s">
        <v>76</v>
      </c>
      <c r="C183" s="73" t="s">
        <v>112</v>
      </c>
      <c r="D183" s="73" t="s">
        <v>307</v>
      </c>
      <c r="E183" s="74" t="s">
        <v>313</v>
      </c>
      <c r="F183" s="34" t="s">
        <v>112</v>
      </c>
      <c r="G183" s="34" t="s">
        <v>112</v>
      </c>
      <c r="H183" s="34" t="s">
        <v>112</v>
      </c>
      <c r="I183" s="129">
        <v>1340</v>
      </c>
      <c r="J183" s="134">
        <v>0</v>
      </c>
      <c r="K183" s="133">
        <v>0</v>
      </c>
      <c r="L183" s="131" t="s">
        <v>113</v>
      </c>
      <c r="M183" s="133" t="s">
        <v>113</v>
      </c>
      <c r="N183" s="131">
        <f>I183+J183</f>
        <v>1340</v>
      </c>
      <c r="O183" s="4">
        <f>I183+K183</f>
        <v>1340</v>
      </c>
      <c r="P183" s="39"/>
      <c r="Q183" s="39"/>
      <c r="R183" s="39"/>
      <c r="S183" s="39"/>
      <c r="T183" s="39"/>
      <c r="U183" s="39"/>
      <c r="V183" s="39"/>
      <c r="W183" s="39"/>
      <c r="X183" s="39"/>
      <c r="Y183" s="39"/>
      <c r="Z183" s="39"/>
      <c r="AB183"/>
      <c r="AC183"/>
      <c r="AD183"/>
    </row>
    <row r="184" spans="1:30" s="3" customFormat="1" ht="27" customHeight="1" x14ac:dyDescent="0.25">
      <c r="A184" s="145">
        <f t="shared" si="26"/>
        <v>181</v>
      </c>
      <c r="B184" s="85" t="s">
        <v>76</v>
      </c>
      <c r="C184" s="73" t="s">
        <v>112</v>
      </c>
      <c r="D184" s="73" t="s">
        <v>307</v>
      </c>
      <c r="E184" s="74" t="s">
        <v>314</v>
      </c>
      <c r="F184" s="34" t="s">
        <v>112</v>
      </c>
      <c r="G184" s="34" t="s">
        <v>112</v>
      </c>
      <c r="H184" s="34" t="s">
        <v>112</v>
      </c>
      <c r="I184" s="129">
        <v>1510</v>
      </c>
      <c r="J184" s="134">
        <v>0</v>
      </c>
      <c r="K184" s="133">
        <v>0</v>
      </c>
      <c r="L184" s="131" t="s">
        <v>113</v>
      </c>
      <c r="M184" s="133" t="s">
        <v>113</v>
      </c>
      <c r="N184" s="131">
        <f>I184+J184</f>
        <v>1510</v>
      </c>
      <c r="O184" s="4">
        <f>I184+K184</f>
        <v>1510</v>
      </c>
      <c r="P184" s="39"/>
      <c r="Q184" s="39"/>
      <c r="R184" s="39"/>
      <c r="S184" s="39"/>
      <c r="T184" s="39"/>
      <c r="U184" s="39"/>
      <c r="V184" s="39"/>
      <c r="W184" s="39"/>
      <c r="X184" s="39"/>
      <c r="Y184" s="39"/>
      <c r="Z184" s="39"/>
      <c r="AB184"/>
      <c r="AC184"/>
      <c r="AD184"/>
    </row>
    <row r="185" spans="1:30" s="3" customFormat="1" ht="27" customHeight="1" x14ac:dyDescent="0.25">
      <c r="A185" s="145">
        <f t="shared" si="26"/>
        <v>182</v>
      </c>
      <c r="B185" s="85" t="s">
        <v>76</v>
      </c>
      <c r="C185" s="73" t="s">
        <v>112</v>
      </c>
      <c r="D185" s="73" t="s">
        <v>303</v>
      </c>
      <c r="E185" s="74" t="s">
        <v>315</v>
      </c>
      <c r="F185" s="34" t="s">
        <v>112</v>
      </c>
      <c r="G185" s="34" t="s">
        <v>112</v>
      </c>
      <c r="H185" s="34" t="s">
        <v>112</v>
      </c>
      <c r="I185" s="129">
        <v>1547.7</v>
      </c>
      <c r="J185" s="134">
        <v>0</v>
      </c>
      <c r="K185" s="133">
        <v>0</v>
      </c>
      <c r="L185" s="131" t="s">
        <v>113</v>
      </c>
      <c r="M185" s="133" t="s">
        <v>113</v>
      </c>
      <c r="N185" s="131">
        <f>I185+J185</f>
        <v>1547.7</v>
      </c>
      <c r="O185" s="4">
        <f>I185+K185</f>
        <v>1547.7</v>
      </c>
      <c r="P185" s="39"/>
      <c r="Q185" s="39"/>
      <c r="R185" s="39"/>
      <c r="S185" s="39"/>
      <c r="T185" s="39"/>
      <c r="U185" s="39"/>
      <c r="V185" s="39"/>
      <c r="W185" s="39"/>
      <c r="X185" s="39"/>
      <c r="Y185" s="39"/>
      <c r="Z185" s="39"/>
      <c r="AB185"/>
      <c r="AC185"/>
      <c r="AD185"/>
    </row>
    <row r="186" spans="1:30" s="3" customFormat="1" ht="27" customHeight="1" x14ac:dyDescent="0.25">
      <c r="A186" s="145">
        <f t="shared" si="26"/>
        <v>183</v>
      </c>
      <c r="B186" s="85" t="s">
        <v>76</v>
      </c>
      <c r="C186" s="73" t="s">
        <v>112</v>
      </c>
      <c r="D186" s="73" t="s">
        <v>307</v>
      </c>
      <c r="E186" s="74" t="s">
        <v>316</v>
      </c>
      <c r="F186" s="34" t="s">
        <v>112</v>
      </c>
      <c r="G186" s="34" t="s">
        <v>112</v>
      </c>
      <c r="H186" s="34" t="s">
        <v>112</v>
      </c>
      <c r="I186" s="129">
        <v>1730</v>
      </c>
      <c r="J186" s="134">
        <v>0</v>
      </c>
      <c r="K186" s="133">
        <v>0</v>
      </c>
      <c r="L186" s="131" t="s">
        <v>113</v>
      </c>
      <c r="M186" s="133" t="s">
        <v>113</v>
      </c>
      <c r="N186" s="131">
        <f>I186+J186</f>
        <v>1730</v>
      </c>
      <c r="O186" s="4">
        <f>I186+K186</f>
        <v>1730</v>
      </c>
      <c r="P186" s="39"/>
      <c r="Q186" s="39"/>
      <c r="R186" s="39"/>
      <c r="S186" s="39"/>
      <c r="T186" s="39"/>
      <c r="U186" s="39"/>
      <c r="V186" s="39"/>
      <c r="W186" s="39"/>
      <c r="X186" s="39"/>
      <c r="Y186" s="39"/>
      <c r="Z186" s="39"/>
      <c r="AB186"/>
      <c r="AC186"/>
      <c r="AD186"/>
    </row>
    <row r="187" spans="1:30" s="3" customFormat="1" ht="27" customHeight="1" x14ac:dyDescent="0.25">
      <c r="A187" s="145">
        <f t="shared" si="26"/>
        <v>184</v>
      </c>
      <c r="B187" s="85" t="s">
        <v>76</v>
      </c>
      <c r="C187" s="73" t="s">
        <v>112</v>
      </c>
      <c r="D187" s="73" t="s">
        <v>303</v>
      </c>
      <c r="E187" s="74" t="s">
        <v>317</v>
      </c>
      <c r="F187" s="34" t="s">
        <v>112</v>
      </c>
      <c r="G187" s="34" t="s">
        <v>112</v>
      </c>
      <c r="H187" s="34" t="s">
        <v>112</v>
      </c>
      <c r="I187" s="129">
        <v>2836.9</v>
      </c>
      <c r="J187" s="134">
        <v>0</v>
      </c>
      <c r="K187" s="133">
        <v>0</v>
      </c>
      <c r="L187" s="131" t="s">
        <v>113</v>
      </c>
      <c r="M187" s="133" t="s">
        <v>113</v>
      </c>
      <c r="N187" s="131">
        <f>I187+J187</f>
        <v>2836.9</v>
      </c>
      <c r="O187" s="4">
        <f>I187+K187</f>
        <v>2836.9</v>
      </c>
      <c r="P187" s="39"/>
      <c r="Q187" s="39"/>
      <c r="R187" s="39"/>
      <c r="S187" s="39"/>
      <c r="T187" s="39"/>
      <c r="U187" s="39"/>
      <c r="V187" s="39"/>
      <c r="W187" s="39"/>
      <c r="X187" s="39"/>
      <c r="Y187" s="39"/>
      <c r="Z187" s="39"/>
      <c r="AB187"/>
      <c r="AC187"/>
      <c r="AD187"/>
    </row>
    <row r="188" spans="1:30" s="3" customFormat="1" ht="27" customHeight="1" x14ac:dyDescent="0.25">
      <c r="A188" s="145">
        <f t="shared" si="26"/>
        <v>185</v>
      </c>
      <c r="B188" s="190" t="s">
        <v>77</v>
      </c>
      <c r="C188" s="73" t="s">
        <v>318</v>
      </c>
      <c r="D188" s="74" t="s">
        <v>259</v>
      </c>
      <c r="E188" s="74" t="s">
        <v>319</v>
      </c>
      <c r="F188" s="34" t="s">
        <v>112</v>
      </c>
      <c r="G188" s="73" t="s">
        <v>318</v>
      </c>
      <c r="H188" s="34" t="s">
        <v>112</v>
      </c>
      <c r="I188" s="129">
        <v>0.87</v>
      </c>
      <c r="J188" s="134">
        <v>0</v>
      </c>
      <c r="K188" s="133">
        <v>0</v>
      </c>
      <c r="L188" s="131" t="s">
        <v>113</v>
      </c>
      <c r="M188" s="133" t="s">
        <v>113</v>
      </c>
      <c r="N188" s="129">
        <v>0.87</v>
      </c>
      <c r="O188" s="34">
        <v>0.87</v>
      </c>
      <c r="P188" s="39"/>
      <c r="Q188" s="39"/>
      <c r="R188" s="39"/>
      <c r="S188" s="39"/>
      <c r="T188" s="39"/>
      <c r="U188" s="39"/>
      <c r="V188" s="39"/>
      <c r="W188" s="39"/>
      <c r="X188" s="39"/>
      <c r="Y188" s="39"/>
      <c r="Z188" s="39"/>
      <c r="AB188"/>
      <c r="AC188"/>
      <c r="AD188"/>
    </row>
    <row r="189" spans="1:30" s="3" customFormat="1" ht="27" customHeight="1" x14ac:dyDescent="0.25">
      <c r="A189" s="145">
        <f t="shared" si="26"/>
        <v>186</v>
      </c>
      <c r="B189" s="190" t="s">
        <v>77</v>
      </c>
      <c r="C189" s="73" t="s">
        <v>318</v>
      </c>
      <c r="D189" s="74" t="s">
        <v>261</v>
      </c>
      <c r="E189" s="74" t="s">
        <v>320</v>
      </c>
      <c r="F189" s="34" t="s">
        <v>112</v>
      </c>
      <c r="G189" s="73" t="s">
        <v>318</v>
      </c>
      <c r="H189" s="34" t="s">
        <v>112</v>
      </c>
      <c r="I189" s="129">
        <v>0.3</v>
      </c>
      <c r="J189" s="134">
        <v>0</v>
      </c>
      <c r="K189" s="133">
        <v>0</v>
      </c>
      <c r="L189" s="131" t="s">
        <v>113</v>
      </c>
      <c r="M189" s="133" t="s">
        <v>113</v>
      </c>
      <c r="N189" s="129">
        <v>0.3</v>
      </c>
      <c r="O189" s="34">
        <v>0.3</v>
      </c>
      <c r="P189" s="39"/>
      <c r="Q189" s="39"/>
      <c r="R189" s="39"/>
      <c r="S189" s="39"/>
      <c r="T189" s="39"/>
      <c r="U189" s="39"/>
      <c r="V189" s="39"/>
      <c r="W189" s="39"/>
      <c r="X189" s="39"/>
      <c r="Y189" s="39"/>
      <c r="Z189" s="39"/>
      <c r="AB189"/>
      <c r="AC189"/>
      <c r="AD189"/>
    </row>
    <row r="190" spans="1:30" s="3" customFormat="1" ht="27" customHeight="1" x14ac:dyDescent="0.25">
      <c r="A190" s="145">
        <f t="shared" si="26"/>
        <v>187</v>
      </c>
      <c r="B190" s="190" t="s">
        <v>77</v>
      </c>
      <c r="C190" s="73" t="s">
        <v>318</v>
      </c>
      <c r="D190" s="74" t="s">
        <v>263</v>
      </c>
      <c r="E190" s="74" t="s">
        <v>321</v>
      </c>
      <c r="F190" s="34" t="s">
        <v>112</v>
      </c>
      <c r="G190" s="73" t="s">
        <v>318</v>
      </c>
      <c r="H190" s="34" t="s">
        <v>112</v>
      </c>
      <c r="I190" s="129">
        <v>0.3</v>
      </c>
      <c r="J190" s="134">
        <v>0</v>
      </c>
      <c r="K190" s="133">
        <v>0</v>
      </c>
      <c r="L190" s="131" t="s">
        <v>113</v>
      </c>
      <c r="M190" s="133" t="s">
        <v>113</v>
      </c>
      <c r="N190" s="129">
        <v>0.3</v>
      </c>
      <c r="O190" s="34">
        <v>0.3</v>
      </c>
      <c r="P190" s="39"/>
      <c r="Q190" s="39"/>
      <c r="R190" s="39"/>
      <c r="S190" s="39"/>
      <c r="T190" s="39"/>
      <c r="U190" s="39"/>
      <c r="V190" s="39"/>
      <c r="W190" s="39"/>
      <c r="X190" s="39"/>
      <c r="Y190" s="39"/>
      <c r="Z190" s="39"/>
      <c r="AB190"/>
      <c r="AC190"/>
      <c r="AD190"/>
    </row>
    <row r="191" spans="1:30" s="3" customFormat="1" ht="27" customHeight="1" x14ac:dyDescent="0.25">
      <c r="A191" s="145">
        <f t="shared" si="26"/>
        <v>188</v>
      </c>
      <c r="B191" s="190" t="s">
        <v>77</v>
      </c>
      <c r="C191" s="73" t="s">
        <v>318</v>
      </c>
      <c r="D191" s="74" t="s">
        <v>265</v>
      </c>
      <c r="E191" s="74" t="s">
        <v>322</v>
      </c>
      <c r="F191" s="34" t="s">
        <v>112</v>
      </c>
      <c r="G191" s="73" t="s">
        <v>318</v>
      </c>
      <c r="H191" s="34" t="s">
        <v>112</v>
      </c>
      <c r="I191" s="129">
        <v>0.2</v>
      </c>
      <c r="J191" s="134">
        <v>0</v>
      </c>
      <c r="K191" s="133">
        <v>0</v>
      </c>
      <c r="L191" s="131" t="s">
        <v>113</v>
      </c>
      <c r="M191" s="133" t="s">
        <v>113</v>
      </c>
      <c r="N191" s="129">
        <v>0.2</v>
      </c>
      <c r="O191" s="34">
        <v>0.2</v>
      </c>
      <c r="P191" s="39"/>
      <c r="Q191" s="39"/>
      <c r="R191" s="39"/>
      <c r="S191" s="39"/>
      <c r="T191" s="39"/>
      <c r="U191" s="39"/>
      <c r="V191" s="39"/>
      <c r="W191" s="39"/>
      <c r="X191" s="39"/>
      <c r="Y191" s="39"/>
      <c r="Z191" s="39"/>
      <c r="AB191"/>
      <c r="AC191"/>
      <c r="AD191"/>
    </row>
    <row r="192" spans="1:30" s="3" customFormat="1" ht="27" customHeight="1" x14ac:dyDescent="0.25">
      <c r="A192" s="145">
        <f t="shared" si="26"/>
        <v>189</v>
      </c>
      <c r="B192" s="190" t="s">
        <v>77</v>
      </c>
      <c r="C192" s="73" t="s">
        <v>318</v>
      </c>
      <c r="D192" s="74" t="s">
        <v>270</v>
      </c>
      <c r="E192" s="74" t="s">
        <v>323</v>
      </c>
      <c r="F192" s="34" t="s">
        <v>112</v>
      </c>
      <c r="G192" s="73" t="s">
        <v>318</v>
      </c>
      <c r="H192" s="34" t="s">
        <v>112</v>
      </c>
      <c r="I192" s="129">
        <v>46</v>
      </c>
      <c r="J192" s="134">
        <v>0</v>
      </c>
      <c r="K192" s="133">
        <v>0</v>
      </c>
      <c r="L192" s="131" t="s">
        <v>113</v>
      </c>
      <c r="M192" s="133" t="s">
        <v>113</v>
      </c>
      <c r="N192" s="129">
        <f>46/0.855</f>
        <v>53.801169590643276</v>
      </c>
      <c r="O192" s="34">
        <f>46/0.855</f>
        <v>53.801169590643276</v>
      </c>
      <c r="P192" s="39"/>
      <c r="Q192" s="39"/>
      <c r="R192" s="39"/>
      <c r="S192" s="39"/>
      <c r="T192" s="39"/>
      <c r="U192" s="39"/>
      <c r="V192" s="39"/>
      <c r="W192" s="39"/>
      <c r="X192" s="39"/>
      <c r="Y192" s="39"/>
      <c r="Z192" s="39"/>
      <c r="AB192"/>
      <c r="AC192"/>
      <c r="AD192"/>
    </row>
    <row r="193" spans="1:35" s="3" customFormat="1" ht="27" customHeight="1" x14ac:dyDescent="0.25">
      <c r="A193" s="145">
        <f t="shared" si="26"/>
        <v>190</v>
      </c>
      <c r="B193" s="190" t="s">
        <v>77</v>
      </c>
      <c r="C193" s="73" t="s">
        <v>324</v>
      </c>
      <c r="D193" s="74" t="s">
        <v>259</v>
      </c>
      <c r="E193" s="74" t="s">
        <v>325</v>
      </c>
      <c r="F193" s="34" t="s">
        <v>112</v>
      </c>
      <c r="G193" s="73" t="s">
        <v>324</v>
      </c>
      <c r="H193" s="34" t="s">
        <v>112</v>
      </c>
      <c r="I193" s="129">
        <v>0.87</v>
      </c>
      <c r="J193" s="134">
        <v>0</v>
      </c>
      <c r="K193" s="133">
        <v>0</v>
      </c>
      <c r="L193" s="131" t="s">
        <v>113</v>
      </c>
      <c r="M193" s="133" t="s">
        <v>113</v>
      </c>
      <c r="N193" s="129">
        <v>0.87</v>
      </c>
      <c r="O193" s="34">
        <v>0.87</v>
      </c>
      <c r="P193" s="39"/>
      <c r="Q193" s="39"/>
      <c r="R193" s="39"/>
      <c r="S193" s="39"/>
      <c r="T193" s="39"/>
      <c r="U193" s="39"/>
      <c r="V193" s="39"/>
      <c r="W193" s="39"/>
      <c r="X193" s="39"/>
      <c r="Y193" s="39"/>
      <c r="Z193" s="39"/>
      <c r="AB193"/>
      <c r="AC193"/>
      <c r="AD193"/>
    </row>
    <row r="194" spans="1:35" s="3" customFormat="1" ht="27" customHeight="1" x14ac:dyDescent="0.25">
      <c r="A194" s="145">
        <f t="shared" si="26"/>
        <v>191</v>
      </c>
      <c r="B194" s="190" t="s">
        <v>77</v>
      </c>
      <c r="C194" s="73" t="s">
        <v>324</v>
      </c>
      <c r="D194" s="74" t="s">
        <v>261</v>
      </c>
      <c r="E194" s="74" t="s">
        <v>326</v>
      </c>
      <c r="F194" s="34" t="s">
        <v>112</v>
      </c>
      <c r="G194" s="73" t="s">
        <v>324</v>
      </c>
      <c r="H194" s="34" t="s">
        <v>112</v>
      </c>
      <c r="I194" s="129">
        <v>0.31</v>
      </c>
      <c r="J194" s="134">
        <v>0</v>
      </c>
      <c r="K194" s="133">
        <v>0</v>
      </c>
      <c r="L194" s="131" t="s">
        <v>113</v>
      </c>
      <c r="M194" s="133" t="s">
        <v>113</v>
      </c>
      <c r="N194" s="129">
        <v>0.31</v>
      </c>
      <c r="O194" s="34">
        <v>0.31</v>
      </c>
      <c r="P194" s="39"/>
      <c r="Q194" s="39"/>
      <c r="R194" s="39"/>
      <c r="S194" s="39"/>
      <c r="T194" s="39"/>
      <c r="U194" s="39"/>
      <c r="V194" s="39"/>
      <c r="W194" s="39"/>
      <c r="X194" s="39"/>
      <c r="Y194" s="39"/>
      <c r="Z194" s="39"/>
      <c r="AB194"/>
      <c r="AC194"/>
      <c r="AD194"/>
    </row>
    <row r="195" spans="1:35" s="3" customFormat="1" ht="27" customHeight="1" x14ac:dyDescent="0.25">
      <c r="A195" s="145">
        <f t="shared" si="26"/>
        <v>192</v>
      </c>
      <c r="B195" s="190" t="s">
        <v>77</v>
      </c>
      <c r="C195" s="73" t="s">
        <v>324</v>
      </c>
      <c r="D195" s="74" t="s">
        <v>263</v>
      </c>
      <c r="E195" s="74" t="s">
        <v>327</v>
      </c>
      <c r="F195" s="34" t="s">
        <v>112</v>
      </c>
      <c r="G195" s="73" t="s">
        <v>324</v>
      </c>
      <c r="H195" s="34" t="s">
        <v>112</v>
      </c>
      <c r="I195" s="129">
        <v>0.3</v>
      </c>
      <c r="J195" s="134">
        <v>0</v>
      </c>
      <c r="K195" s="133">
        <v>0</v>
      </c>
      <c r="L195" s="131" t="s">
        <v>113</v>
      </c>
      <c r="M195" s="133" t="s">
        <v>113</v>
      </c>
      <c r="N195" s="129">
        <v>0.3</v>
      </c>
      <c r="O195" s="34">
        <v>0.3</v>
      </c>
      <c r="P195" s="39"/>
      <c r="Q195" s="39"/>
      <c r="R195" s="39"/>
      <c r="S195" s="39"/>
      <c r="T195" s="39"/>
      <c r="U195" s="39"/>
      <c r="V195" s="39"/>
      <c r="W195" s="39"/>
      <c r="X195" s="39"/>
      <c r="Y195" s="39"/>
      <c r="Z195" s="39"/>
      <c r="AB195"/>
      <c r="AC195"/>
      <c r="AD195"/>
    </row>
    <row r="196" spans="1:35" s="3" customFormat="1" ht="27" customHeight="1" x14ac:dyDescent="0.25">
      <c r="A196" s="145">
        <f t="shared" si="26"/>
        <v>193</v>
      </c>
      <c r="B196" s="190" t="s">
        <v>77</v>
      </c>
      <c r="C196" s="73" t="s">
        <v>324</v>
      </c>
      <c r="D196" s="74" t="s">
        <v>265</v>
      </c>
      <c r="E196" s="74" t="s">
        <v>328</v>
      </c>
      <c r="F196" s="34" t="s">
        <v>112</v>
      </c>
      <c r="G196" s="73" t="s">
        <v>324</v>
      </c>
      <c r="H196" s="34" t="s">
        <v>112</v>
      </c>
      <c r="I196" s="129">
        <v>0.2</v>
      </c>
      <c r="J196" s="134">
        <v>0</v>
      </c>
      <c r="K196" s="133">
        <v>0</v>
      </c>
      <c r="L196" s="131" t="s">
        <v>113</v>
      </c>
      <c r="M196" s="133" t="s">
        <v>113</v>
      </c>
      <c r="N196" s="129">
        <v>0.2</v>
      </c>
      <c r="O196" s="34">
        <v>0.2</v>
      </c>
      <c r="P196" s="39"/>
      <c r="Q196" s="39"/>
      <c r="R196" s="39"/>
      <c r="S196" s="39"/>
      <c r="T196" s="39"/>
      <c r="U196" s="39"/>
      <c r="V196" s="39"/>
      <c r="W196" s="39"/>
      <c r="X196" s="39"/>
      <c r="Y196" s="39"/>
      <c r="Z196" s="39"/>
      <c r="AB196"/>
      <c r="AC196"/>
      <c r="AD196"/>
    </row>
    <row r="197" spans="1:35" s="3" customFormat="1" ht="27" customHeight="1" x14ac:dyDescent="0.25">
      <c r="A197" s="145">
        <f t="shared" si="26"/>
        <v>194</v>
      </c>
      <c r="B197" s="190" t="s">
        <v>77</v>
      </c>
      <c r="C197" s="73" t="s">
        <v>329</v>
      </c>
      <c r="D197" s="74" t="s">
        <v>259</v>
      </c>
      <c r="E197" s="74" t="s">
        <v>330</v>
      </c>
      <c r="F197" s="34" t="s">
        <v>112</v>
      </c>
      <c r="G197" s="73" t="s">
        <v>329</v>
      </c>
      <c r="H197" s="34" t="s">
        <v>112</v>
      </c>
      <c r="I197" s="129">
        <v>1.23</v>
      </c>
      <c r="J197" s="134">
        <v>0</v>
      </c>
      <c r="K197" s="133">
        <v>0</v>
      </c>
      <c r="L197" s="131" t="s">
        <v>113</v>
      </c>
      <c r="M197" s="133" t="s">
        <v>113</v>
      </c>
      <c r="N197" s="129">
        <v>1.23</v>
      </c>
      <c r="O197" s="34">
        <v>1.23</v>
      </c>
      <c r="P197" s="39"/>
      <c r="Q197" s="39"/>
      <c r="R197" s="39"/>
      <c r="S197" s="39"/>
      <c r="T197" s="39"/>
      <c r="U197" s="39"/>
      <c r="V197" s="39"/>
      <c r="W197" s="39"/>
      <c r="X197" s="39"/>
      <c r="Y197" s="39"/>
      <c r="Z197" s="39"/>
      <c r="AB197"/>
      <c r="AC197"/>
      <c r="AD197"/>
    </row>
    <row r="198" spans="1:35" s="3" customFormat="1" ht="27" customHeight="1" x14ac:dyDescent="0.25">
      <c r="A198" s="145">
        <f t="shared" ref="A198:A261" si="27">A197+1</f>
        <v>195</v>
      </c>
      <c r="B198" s="190" t="s">
        <v>77</v>
      </c>
      <c r="C198" s="73" t="s">
        <v>329</v>
      </c>
      <c r="D198" s="74" t="s">
        <v>261</v>
      </c>
      <c r="E198" s="74" t="s">
        <v>331</v>
      </c>
      <c r="F198" s="34" t="s">
        <v>112</v>
      </c>
      <c r="G198" s="73" t="s">
        <v>329</v>
      </c>
      <c r="H198" s="34" t="s">
        <v>112</v>
      </c>
      <c r="I198" s="129">
        <v>0.42</v>
      </c>
      <c r="J198" s="134">
        <v>0</v>
      </c>
      <c r="K198" s="133">
        <v>0</v>
      </c>
      <c r="L198" s="131" t="s">
        <v>113</v>
      </c>
      <c r="M198" s="133" t="s">
        <v>113</v>
      </c>
      <c r="N198" s="129">
        <v>0.42</v>
      </c>
      <c r="O198" s="34">
        <v>0.42</v>
      </c>
      <c r="P198" s="39"/>
      <c r="Q198" s="39"/>
      <c r="R198" s="39"/>
      <c r="S198" s="39"/>
      <c r="T198" s="39"/>
      <c r="U198" s="39"/>
      <c r="V198" s="39"/>
      <c r="W198" s="39"/>
      <c r="X198" s="39"/>
      <c r="Y198" s="39"/>
      <c r="Z198" s="39"/>
      <c r="AB198"/>
      <c r="AC198"/>
      <c r="AD198"/>
    </row>
    <row r="199" spans="1:35" s="3" customFormat="1" ht="26.25" customHeight="1" x14ac:dyDescent="0.25">
      <c r="A199" s="145">
        <f t="shared" si="27"/>
        <v>196</v>
      </c>
      <c r="B199" s="190" t="s">
        <v>77</v>
      </c>
      <c r="C199" s="73" t="s">
        <v>329</v>
      </c>
      <c r="D199" s="74" t="s">
        <v>263</v>
      </c>
      <c r="E199" s="74" t="s">
        <v>332</v>
      </c>
      <c r="F199" s="34" t="s">
        <v>112</v>
      </c>
      <c r="G199" s="73" t="s">
        <v>329</v>
      </c>
      <c r="H199" s="34" t="s">
        <v>112</v>
      </c>
      <c r="I199" s="129">
        <v>0.49</v>
      </c>
      <c r="J199" s="134">
        <v>0</v>
      </c>
      <c r="K199" s="133">
        <v>0</v>
      </c>
      <c r="L199" s="131" t="s">
        <v>113</v>
      </c>
      <c r="M199" s="133" t="s">
        <v>113</v>
      </c>
      <c r="N199" s="129">
        <v>0.49</v>
      </c>
      <c r="O199" s="34">
        <v>0.49</v>
      </c>
      <c r="P199" s="39"/>
      <c r="Q199" s="39"/>
      <c r="R199" s="39"/>
      <c r="S199" s="39"/>
      <c r="T199" s="39"/>
      <c r="U199" s="39"/>
      <c r="V199" s="39"/>
      <c r="W199" s="39"/>
      <c r="X199" s="39"/>
      <c r="Y199" s="39"/>
      <c r="Z199" s="39"/>
      <c r="AB199"/>
      <c r="AC199"/>
      <c r="AD199"/>
    </row>
    <row r="200" spans="1:35" s="3" customFormat="1" ht="26.25" customHeight="1" x14ac:dyDescent="0.25">
      <c r="A200" s="145">
        <f t="shared" si="27"/>
        <v>197</v>
      </c>
      <c r="B200" s="190" t="s">
        <v>77</v>
      </c>
      <c r="C200" s="73" t="s">
        <v>329</v>
      </c>
      <c r="D200" s="74" t="s">
        <v>265</v>
      </c>
      <c r="E200" s="74" t="s">
        <v>333</v>
      </c>
      <c r="F200" s="34" t="s">
        <v>112</v>
      </c>
      <c r="G200" s="73" t="s">
        <v>329</v>
      </c>
      <c r="H200" s="34" t="s">
        <v>112</v>
      </c>
      <c r="I200" s="129">
        <v>0.3</v>
      </c>
      <c r="J200" s="134">
        <v>0</v>
      </c>
      <c r="K200" s="133">
        <v>0</v>
      </c>
      <c r="L200" s="131" t="s">
        <v>113</v>
      </c>
      <c r="M200" s="133" t="s">
        <v>113</v>
      </c>
      <c r="N200" s="129">
        <v>0.3</v>
      </c>
      <c r="O200" s="34">
        <v>0.3</v>
      </c>
      <c r="P200" s="39"/>
      <c r="Q200" s="39"/>
      <c r="R200" s="39"/>
      <c r="S200" s="39"/>
      <c r="T200" s="39"/>
      <c r="U200" s="39"/>
      <c r="V200" s="39"/>
      <c r="W200" s="39"/>
      <c r="X200" s="39"/>
      <c r="Y200" s="39"/>
      <c r="Z200" s="39"/>
      <c r="AB200"/>
      <c r="AC200"/>
      <c r="AD200"/>
    </row>
    <row r="201" spans="1:35" s="3" customFormat="1" ht="26.25" customHeight="1" x14ac:dyDescent="0.25">
      <c r="A201" s="145">
        <f t="shared" si="27"/>
        <v>198</v>
      </c>
      <c r="B201" s="190" t="s">
        <v>77</v>
      </c>
      <c r="C201" s="73" t="s">
        <v>329</v>
      </c>
      <c r="D201" s="74" t="s">
        <v>270</v>
      </c>
      <c r="E201" s="74" t="s">
        <v>334</v>
      </c>
      <c r="F201" s="34" t="s">
        <v>112</v>
      </c>
      <c r="G201" s="73" t="s">
        <v>329</v>
      </c>
      <c r="H201" s="34" t="s">
        <v>112</v>
      </c>
      <c r="I201" s="129">
        <v>34</v>
      </c>
      <c r="J201" s="134">
        <v>0</v>
      </c>
      <c r="K201" s="133">
        <v>0</v>
      </c>
      <c r="L201" s="131" t="s">
        <v>113</v>
      </c>
      <c r="M201" s="133" t="s">
        <v>113</v>
      </c>
      <c r="N201" s="129">
        <f>34/0.855</f>
        <v>39.76608187134503</v>
      </c>
      <c r="O201" s="34">
        <f>34/0.855</f>
        <v>39.76608187134503</v>
      </c>
      <c r="P201" s="39"/>
      <c r="Q201" s="39"/>
      <c r="R201" s="39"/>
      <c r="S201" s="39"/>
      <c r="T201" s="39"/>
      <c r="U201" s="39"/>
      <c r="V201" s="39"/>
      <c r="W201" s="39"/>
      <c r="X201" s="39"/>
      <c r="Y201" s="39"/>
      <c r="Z201" s="39"/>
      <c r="AB201"/>
      <c r="AC201"/>
      <c r="AD201"/>
    </row>
    <row r="202" spans="1:35" s="3" customFormat="1" ht="46.5" customHeight="1" x14ac:dyDescent="0.25">
      <c r="A202" s="145">
        <f t="shared" si="27"/>
        <v>199</v>
      </c>
      <c r="B202" s="119" t="s">
        <v>78</v>
      </c>
      <c r="C202" s="73" t="s">
        <v>112</v>
      </c>
      <c r="D202" s="74" t="s">
        <v>152</v>
      </c>
      <c r="E202" s="74" t="s">
        <v>335</v>
      </c>
      <c r="F202" s="34" t="s">
        <v>112</v>
      </c>
      <c r="G202" s="34" t="s">
        <v>112</v>
      </c>
      <c r="H202" s="34" t="s">
        <v>112</v>
      </c>
      <c r="I202" s="129" t="s">
        <v>112</v>
      </c>
      <c r="J202" s="134">
        <v>0</v>
      </c>
      <c r="K202" s="133">
        <v>0</v>
      </c>
      <c r="L202" s="131" t="s">
        <v>113</v>
      </c>
      <c r="M202" s="133" t="s">
        <v>113</v>
      </c>
      <c r="N202" s="137" t="s">
        <v>112</v>
      </c>
      <c r="O202" s="34" t="s">
        <v>112</v>
      </c>
      <c r="P202" s="39"/>
      <c r="Q202" s="39"/>
      <c r="R202" s="39"/>
      <c r="S202" s="39"/>
      <c r="T202" s="39"/>
      <c r="U202" s="39"/>
      <c r="V202" s="39"/>
      <c r="W202" s="39"/>
      <c r="X202" s="39"/>
      <c r="Y202" s="39"/>
      <c r="Z202" s="39"/>
      <c r="AB202"/>
      <c r="AC202"/>
      <c r="AD202"/>
    </row>
    <row r="203" spans="1:35" ht="30" x14ac:dyDescent="0.25">
      <c r="A203" s="145">
        <f t="shared" si="27"/>
        <v>200</v>
      </c>
      <c r="B203" s="119" t="s">
        <v>78</v>
      </c>
      <c r="C203" s="73" t="s">
        <v>112</v>
      </c>
      <c r="D203" s="74" t="s">
        <v>154</v>
      </c>
      <c r="E203" s="84" t="s">
        <v>336</v>
      </c>
      <c r="F203" s="34" t="s">
        <v>112</v>
      </c>
      <c r="G203" s="34" t="s">
        <v>112</v>
      </c>
      <c r="H203" s="34" t="s">
        <v>112</v>
      </c>
      <c r="I203" s="129" t="s">
        <v>112</v>
      </c>
      <c r="J203" s="134">
        <v>0</v>
      </c>
      <c r="K203" s="133">
        <v>0</v>
      </c>
      <c r="L203" s="131" t="s">
        <v>113</v>
      </c>
      <c r="M203" s="133" t="s">
        <v>113</v>
      </c>
      <c r="N203" s="137" t="s">
        <v>112</v>
      </c>
      <c r="O203" s="34" t="s">
        <v>112</v>
      </c>
      <c r="P203" s="39"/>
      <c r="AI203" s="3"/>
    </row>
    <row r="204" spans="1:35" ht="30" x14ac:dyDescent="0.25">
      <c r="A204" s="145">
        <f t="shared" si="27"/>
        <v>201</v>
      </c>
      <c r="B204" s="119" t="s">
        <v>78</v>
      </c>
      <c r="C204" s="73" t="s">
        <v>112</v>
      </c>
      <c r="D204" s="74" t="s">
        <v>158</v>
      </c>
      <c r="E204" s="84" t="s">
        <v>337</v>
      </c>
      <c r="F204" s="34" t="s">
        <v>112</v>
      </c>
      <c r="G204" s="34" t="s">
        <v>112</v>
      </c>
      <c r="H204" s="34" t="s">
        <v>112</v>
      </c>
      <c r="I204" s="129" t="s">
        <v>112</v>
      </c>
      <c r="J204" s="134">
        <v>0</v>
      </c>
      <c r="K204" s="133">
        <v>0</v>
      </c>
      <c r="L204" s="131" t="s">
        <v>113</v>
      </c>
      <c r="M204" s="133" t="s">
        <v>113</v>
      </c>
      <c r="N204" s="137" t="s">
        <v>112</v>
      </c>
      <c r="O204" s="34" t="s">
        <v>112</v>
      </c>
      <c r="P204" s="39"/>
    </row>
    <row r="205" spans="1:35" ht="30" x14ac:dyDescent="0.25">
      <c r="A205" s="145">
        <f t="shared" si="27"/>
        <v>202</v>
      </c>
      <c r="B205" s="119" t="s">
        <v>78</v>
      </c>
      <c r="C205" s="73" t="s">
        <v>112</v>
      </c>
      <c r="D205" s="74" t="s">
        <v>154</v>
      </c>
      <c r="E205" s="74" t="s">
        <v>338</v>
      </c>
      <c r="F205" s="34" t="s">
        <v>112</v>
      </c>
      <c r="G205" s="34" t="s">
        <v>112</v>
      </c>
      <c r="H205" s="34" t="s">
        <v>112</v>
      </c>
      <c r="I205" s="129" t="s">
        <v>112</v>
      </c>
      <c r="J205" s="134">
        <v>0</v>
      </c>
      <c r="K205" s="133">
        <v>0</v>
      </c>
      <c r="L205" s="131" t="s">
        <v>113</v>
      </c>
      <c r="M205" s="133" t="s">
        <v>113</v>
      </c>
      <c r="N205" s="137" t="s">
        <v>112</v>
      </c>
      <c r="O205" s="34" t="s">
        <v>112</v>
      </c>
      <c r="P205" s="39"/>
    </row>
    <row r="206" spans="1:35" ht="30" x14ac:dyDescent="0.25">
      <c r="A206" s="145">
        <f t="shared" si="27"/>
        <v>203</v>
      </c>
      <c r="B206" s="119" t="s">
        <v>78</v>
      </c>
      <c r="C206" s="73" t="s">
        <v>112</v>
      </c>
      <c r="D206" s="74" t="s">
        <v>163</v>
      </c>
      <c r="E206" s="74" t="s">
        <v>339</v>
      </c>
      <c r="F206" s="34" t="s">
        <v>112</v>
      </c>
      <c r="G206" s="34" t="s">
        <v>112</v>
      </c>
      <c r="H206" s="34" t="s">
        <v>112</v>
      </c>
      <c r="I206" s="129" t="s">
        <v>112</v>
      </c>
      <c r="J206" s="134">
        <v>0</v>
      </c>
      <c r="K206" s="133">
        <v>0</v>
      </c>
      <c r="L206" s="131" t="s">
        <v>113</v>
      </c>
      <c r="M206" s="133" t="s">
        <v>113</v>
      </c>
      <c r="N206" s="137" t="s">
        <v>112</v>
      </c>
      <c r="O206" s="34" t="s">
        <v>112</v>
      </c>
      <c r="P206" s="39"/>
    </row>
    <row r="207" spans="1:35" ht="30" x14ac:dyDescent="0.25">
      <c r="A207" s="145">
        <f t="shared" si="27"/>
        <v>204</v>
      </c>
      <c r="B207" s="119" t="s">
        <v>78</v>
      </c>
      <c r="C207" s="73" t="s">
        <v>112</v>
      </c>
      <c r="D207" s="74" t="s">
        <v>154</v>
      </c>
      <c r="E207" s="74" t="s">
        <v>340</v>
      </c>
      <c r="F207" s="34" t="s">
        <v>112</v>
      </c>
      <c r="G207" s="34" t="s">
        <v>112</v>
      </c>
      <c r="H207" s="34" t="s">
        <v>112</v>
      </c>
      <c r="I207" s="129" t="s">
        <v>112</v>
      </c>
      <c r="J207" s="134">
        <v>0</v>
      </c>
      <c r="K207" s="133">
        <v>0</v>
      </c>
      <c r="L207" s="131" t="s">
        <v>113</v>
      </c>
      <c r="M207" s="133" t="s">
        <v>113</v>
      </c>
      <c r="N207" s="137" t="s">
        <v>112</v>
      </c>
      <c r="O207" s="34" t="s">
        <v>112</v>
      </c>
      <c r="P207" s="39"/>
    </row>
    <row r="208" spans="1:35" ht="30" x14ac:dyDescent="0.25">
      <c r="A208" s="145">
        <f t="shared" si="27"/>
        <v>205</v>
      </c>
      <c r="B208" s="119" t="s">
        <v>78</v>
      </c>
      <c r="C208" s="73" t="s">
        <v>112</v>
      </c>
      <c r="D208" s="74" t="s">
        <v>169</v>
      </c>
      <c r="E208" s="74" t="s">
        <v>341</v>
      </c>
      <c r="F208" s="34" t="s">
        <v>112</v>
      </c>
      <c r="G208" s="34" t="s">
        <v>112</v>
      </c>
      <c r="H208" s="34" t="s">
        <v>112</v>
      </c>
      <c r="I208" s="129" t="s">
        <v>112</v>
      </c>
      <c r="J208" s="134">
        <v>0</v>
      </c>
      <c r="K208" s="133">
        <v>0</v>
      </c>
      <c r="L208" s="131" t="s">
        <v>113</v>
      </c>
      <c r="M208" s="133" t="s">
        <v>113</v>
      </c>
      <c r="N208" s="137" t="s">
        <v>112</v>
      </c>
      <c r="O208" s="34" t="s">
        <v>112</v>
      </c>
      <c r="P208" s="39"/>
    </row>
    <row r="209" spans="1:16" ht="30" x14ac:dyDescent="0.25">
      <c r="A209" s="145">
        <f t="shared" si="27"/>
        <v>206</v>
      </c>
      <c r="B209" s="119" t="s">
        <v>78</v>
      </c>
      <c r="C209" s="73" t="s">
        <v>112</v>
      </c>
      <c r="D209" s="74" t="s">
        <v>114</v>
      </c>
      <c r="E209" s="74" t="s">
        <v>342</v>
      </c>
      <c r="F209" s="34" t="s">
        <v>112</v>
      </c>
      <c r="G209" s="34" t="s">
        <v>112</v>
      </c>
      <c r="H209" s="34" t="s">
        <v>112</v>
      </c>
      <c r="I209" s="129" t="s">
        <v>112</v>
      </c>
      <c r="J209" s="134">
        <v>0</v>
      </c>
      <c r="K209" s="133">
        <v>0</v>
      </c>
      <c r="L209" s="131" t="s">
        <v>113</v>
      </c>
      <c r="M209" s="133" t="s">
        <v>113</v>
      </c>
      <c r="N209" s="137" t="s">
        <v>112</v>
      </c>
      <c r="O209" s="34" t="s">
        <v>112</v>
      </c>
      <c r="P209" s="39"/>
    </row>
    <row r="210" spans="1:16" ht="30" x14ac:dyDescent="0.25">
      <c r="A210" s="145">
        <f t="shared" si="27"/>
        <v>207</v>
      </c>
      <c r="B210" s="119" t="s">
        <v>78</v>
      </c>
      <c r="C210" s="73" t="s">
        <v>112</v>
      </c>
      <c r="D210" s="74" t="s">
        <v>154</v>
      </c>
      <c r="E210" s="74" t="s">
        <v>343</v>
      </c>
      <c r="F210" s="34" t="s">
        <v>112</v>
      </c>
      <c r="G210" s="34" t="s">
        <v>112</v>
      </c>
      <c r="H210" s="34" t="s">
        <v>112</v>
      </c>
      <c r="I210" s="129" t="s">
        <v>112</v>
      </c>
      <c r="J210" s="134">
        <v>0</v>
      </c>
      <c r="K210" s="133">
        <v>0</v>
      </c>
      <c r="L210" s="131" t="s">
        <v>113</v>
      </c>
      <c r="M210" s="133" t="s">
        <v>113</v>
      </c>
      <c r="N210" s="137" t="s">
        <v>112</v>
      </c>
      <c r="O210" s="34" t="s">
        <v>112</v>
      </c>
      <c r="P210" s="39"/>
    </row>
    <row r="211" spans="1:16" ht="30" x14ac:dyDescent="0.25">
      <c r="A211" s="145">
        <f t="shared" si="27"/>
        <v>208</v>
      </c>
      <c r="B211" s="119" t="s">
        <v>78</v>
      </c>
      <c r="C211" s="73" t="s">
        <v>112</v>
      </c>
      <c r="D211" s="74" t="s">
        <v>152</v>
      </c>
      <c r="E211" s="84" t="s">
        <v>344</v>
      </c>
      <c r="F211" s="34" t="s">
        <v>112</v>
      </c>
      <c r="G211" s="34" t="s">
        <v>112</v>
      </c>
      <c r="H211" s="34" t="s">
        <v>112</v>
      </c>
      <c r="I211" s="129" t="s">
        <v>112</v>
      </c>
      <c r="J211" s="134">
        <v>0</v>
      </c>
      <c r="K211" s="133">
        <v>0</v>
      </c>
      <c r="L211" s="131" t="s">
        <v>113</v>
      </c>
      <c r="M211" s="133" t="s">
        <v>113</v>
      </c>
      <c r="N211" s="137" t="s">
        <v>112</v>
      </c>
      <c r="O211" s="34" t="s">
        <v>112</v>
      </c>
      <c r="P211" s="39"/>
    </row>
    <row r="212" spans="1:16" ht="30" x14ac:dyDescent="0.25">
      <c r="A212" s="145">
        <f t="shared" si="27"/>
        <v>209</v>
      </c>
      <c r="B212" s="119" t="s">
        <v>78</v>
      </c>
      <c r="C212" s="73" t="s">
        <v>112</v>
      </c>
      <c r="D212" s="74" t="s">
        <v>158</v>
      </c>
      <c r="E212" s="84" t="s">
        <v>345</v>
      </c>
      <c r="F212" s="34" t="s">
        <v>112</v>
      </c>
      <c r="G212" s="34" t="s">
        <v>112</v>
      </c>
      <c r="H212" s="34" t="s">
        <v>112</v>
      </c>
      <c r="I212" s="129" t="s">
        <v>112</v>
      </c>
      <c r="J212" s="134">
        <v>0</v>
      </c>
      <c r="K212" s="133">
        <v>0</v>
      </c>
      <c r="L212" s="131" t="s">
        <v>113</v>
      </c>
      <c r="M212" s="133" t="s">
        <v>113</v>
      </c>
      <c r="N212" s="137" t="s">
        <v>112</v>
      </c>
      <c r="O212" s="34" t="s">
        <v>112</v>
      </c>
      <c r="P212" s="39"/>
    </row>
    <row r="213" spans="1:16" ht="30" x14ac:dyDescent="0.25">
      <c r="A213" s="145">
        <f t="shared" si="27"/>
        <v>210</v>
      </c>
      <c r="B213" s="119" t="s">
        <v>78</v>
      </c>
      <c r="C213" s="73" t="s">
        <v>112</v>
      </c>
      <c r="D213" s="74" t="s">
        <v>169</v>
      </c>
      <c r="E213" s="84" t="s">
        <v>346</v>
      </c>
      <c r="F213" s="34" t="s">
        <v>112</v>
      </c>
      <c r="G213" s="34" t="s">
        <v>112</v>
      </c>
      <c r="H213" s="34" t="s">
        <v>112</v>
      </c>
      <c r="I213" s="129" t="s">
        <v>112</v>
      </c>
      <c r="J213" s="134">
        <v>0</v>
      </c>
      <c r="K213" s="133">
        <v>0</v>
      </c>
      <c r="L213" s="131" t="s">
        <v>113</v>
      </c>
      <c r="M213" s="133" t="s">
        <v>113</v>
      </c>
      <c r="N213" s="137" t="s">
        <v>112</v>
      </c>
      <c r="O213" s="34" t="s">
        <v>112</v>
      </c>
      <c r="P213" s="39"/>
    </row>
    <row r="214" spans="1:16" ht="30" x14ac:dyDescent="0.25">
      <c r="A214" s="145">
        <f t="shared" si="27"/>
        <v>211</v>
      </c>
      <c r="B214" s="119" t="s">
        <v>78</v>
      </c>
      <c r="C214" s="73" t="s">
        <v>112</v>
      </c>
      <c r="D214" s="74" t="s">
        <v>154</v>
      </c>
      <c r="E214" s="74" t="s">
        <v>347</v>
      </c>
      <c r="F214" s="34" t="s">
        <v>112</v>
      </c>
      <c r="G214" s="34" t="s">
        <v>112</v>
      </c>
      <c r="H214" s="34" t="s">
        <v>112</v>
      </c>
      <c r="I214" s="129" t="s">
        <v>112</v>
      </c>
      <c r="J214" s="134">
        <v>0</v>
      </c>
      <c r="K214" s="133">
        <v>0</v>
      </c>
      <c r="L214" s="131" t="s">
        <v>113</v>
      </c>
      <c r="M214" s="133" t="s">
        <v>113</v>
      </c>
      <c r="N214" s="137" t="s">
        <v>112</v>
      </c>
      <c r="O214" s="34" t="s">
        <v>112</v>
      </c>
      <c r="P214" s="39"/>
    </row>
    <row r="215" spans="1:16" ht="30" x14ac:dyDescent="0.25">
      <c r="A215" s="145">
        <f t="shared" si="27"/>
        <v>212</v>
      </c>
      <c r="B215" s="119" t="s">
        <v>78</v>
      </c>
      <c r="C215" s="73" t="s">
        <v>112</v>
      </c>
      <c r="D215" s="74" t="s">
        <v>152</v>
      </c>
      <c r="E215" s="74" t="s">
        <v>348</v>
      </c>
      <c r="F215" s="34" t="s">
        <v>112</v>
      </c>
      <c r="G215" s="34" t="s">
        <v>112</v>
      </c>
      <c r="H215" s="34" t="s">
        <v>112</v>
      </c>
      <c r="I215" s="129" t="s">
        <v>112</v>
      </c>
      <c r="J215" s="134">
        <v>0</v>
      </c>
      <c r="K215" s="133">
        <v>0</v>
      </c>
      <c r="L215" s="131" t="s">
        <v>113</v>
      </c>
      <c r="M215" s="133" t="s">
        <v>113</v>
      </c>
      <c r="N215" s="137" t="s">
        <v>112</v>
      </c>
      <c r="O215" s="34" t="s">
        <v>112</v>
      </c>
      <c r="P215" s="39"/>
    </row>
    <row r="216" spans="1:16" ht="30" x14ac:dyDescent="0.25">
      <c r="A216" s="145">
        <f t="shared" si="27"/>
        <v>213</v>
      </c>
      <c r="B216" s="119" t="s">
        <v>78</v>
      </c>
      <c r="C216" s="73" t="s">
        <v>112</v>
      </c>
      <c r="D216" s="74" t="s">
        <v>154</v>
      </c>
      <c r="E216" s="74" t="s">
        <v>349</v>
      </c>
      <c r="F216" s="34" t="s">
        <v>112</v>
      </c>
      <c r="G216" s="34" t="s">
        <v>112</v>
      </c>
      <c r="H216" s="34" t="s">
        <v>112</v>
      </c>
      <c r="I216" s="129" t="s">
        <v>112</v>
      </c>
      <c r="J216" s="134">
        <v>0</v>
      </c>
      <c r="K216" s="133">
        <v>0</v>
      </c>
      <c r="L216" s="131" t="s">
        <v>113</v>
      </c>
      <c r="M216" s="133" t="s">
        <v>113</v>
      </c>
      <c r="N216" s="137" t="s">
        <v>112</v>
      </c>
      <c r="O216" s="34" t="s">
        <v>112</v>
      </c>
      <c r="P216" s="39"/>
    </row>
    <row r="217" spans="1:16" ht="30" x14ac:dyDescent="0.25">
      <c r="A217" s="145">
        <f t="shared" si="27"/>
        <v>214</v>
      </c>
      <c r="B217" s="119" t="s">
        <v>78</v>
      </c>
      <c r="C217" s="73" t="s">
        <v>112</v>
      </c>
      <c r="D217" s="74" t="s">
        <v>114</v>
      </c>
      <c r="E217" s="74" t="s">
        <v>350</v>
      </c>
      <c r="F217" s="34" t="s">
        <v>112</v>
      </c>
      <c r="G217" s="34" t="s">
        <v>112</v>
      </c>
      <c r="H217" s="34" t="s">
        <v>112</v>
      </c>
      <c r="I217" s="129" t="s">
        <v>112</v>
      </c>
      <c r="J217" s="134">
        <v>0</v>
      </c>
      <c r="K217" s="133">
        <v>0</v>
      </c>
      <c r="L217" s="131" t="s">
        <v>113</v>
      </c>
      <c r="M217" s="133" t="s">
        <v>113</v>
      </c>
      <c r="N217" s="137" t="s">
        <v>112</v>
      </c>
      <c r="O217" s="34" t="s">
        <v>112</v>
      </c>
      <c r="P217" s="39"/>
    </row>
    <row r="218" spans="1:16" ht="30" x14ac:dyDescent="0.25">
      <c r="A218" s="145">
        <f t="shared" si="27"/>
        <v>215</v>
      </c>
      <c r="B218" s="119" t="s">
        <v>78</v>
      </c>
      <c r="C218" s="73" t="s">
        <v>112</v>
      </c>
      <c r="D218" s="74" t="s">
        <v>114</v>
      </c>
      <c r="E218" s="74" t="s">
        <v>351</v>
      </c>
      <c r="F218" s="34" t="s">
        <v>112</v>
      </c>
      <c r="G218" s="34" t="s">
        <v>112</v>
      </c>
      <c r="H218" s="34" t="s">
        <v>112</v>
      </c>
      <c r="I218" s="129" t="s">
        <v>112</v>
      </c>
      <c r="J218" s="134">
        <v>0</v>
      </c>
      <c r="K218" s="133">
        <v>0</v>
      </c>
      <c r="L218" s="131" t="s">
        <v>113</v>
      </c>
      <c r="M218" s="133" t="s">
        <v>113</v>
      </c>
      <c r="N218" s="137" t="s">
        <v>112</v>
      </c>
      <c r="O218" s="34" t="s">
        <v>112</v>
      </c>
      <c r="P218" s="39"/>
    </row>
    <row r="219" spans="1:16" ht="30" x14ac:dyDescent="0.25">
      <c r="A219" s="145">
        <f t="shared" si="27"/>
        <v>216</v>
      </c>
      <c r="B219" s="119" t="s">
        <v>78</v>
      </c>
      <c r="C219" s="73" t="s">
        <v>112</v>
      </c>
      <c r="D219" s="74" t="s">
        <v>152</v>
      </c>
      <c r="E219" s="74" t="s">
        <v>352</v>
      </c>
      <c r="F219" s="34" t="s">
        <v>112</v>
      </c>
      <c r="G219" s="34" t="s">
        <v>112</v>
      </c>
      <c r="H219" s="34" t="s">
        <v>112</v>
      </c>
      <c r="I219" s="129" t="s">
        <v>112</v>
      </c>
      <c r="J219" s="134">
        <v>0</v>
      </c>
      <c r="K219" s="133">
        <v>0</v>
      </c>
      <c r="L219" s="131" t="s">
        <v>113</v>
      </c>
      <c r="M219" s="133" t="s">
        <v>113</v>
      </c>
      <c r="N219" s="137" t="s">
        <v>112</v>
      </c>
      <c r="O219" s="34" t="s">
        <v>112</v>
      </c>
      <c r="P219" s="39"/>
    </row>
    <row r="220" spans="1:16" ht="30" x14ac:dyDescent="0.25">
      <c r="A220" s="145">
        <f t="shared" si="27"/>
        <v>217</v>
      </c>
      <c r="B220" s="119" t="s">
        <v>78</v>
      </c>
      <c r="C220" s="73" t="s">
        <v>112</v>
      </c>
      <c r="D220" s="74" t="s">
        <v>169</v>
      </c>
      <c r="E220" s="74" t="s">
        <v>353</v>
      </c>
      <c r="F220" s="34" t="s">
        <v>112</v>
      </c>
      <c r="G220" s="34" t="s">
        <v>112</v>
      </c>
      <c r="H220" s="34" t="s">
        <v>112</v>
      </c>
      <c r="I220" s="129" t="s">
        <v>112</v>
      </c>
      <c r="J220" s="134">
        <v>0</v>
      </c>
      <c r="K220" s="133">
        <v>0</v>
      </c>
      <c r="L220" s="131" t="s">
        <v>113</v>
      </c>
      <c r="M220" s="133" t="s">
        <v>113</v>
      </c>
      <c r="N220" s="137" t="s">
        <v>112</v>
      </c>
      <c r="O220" s="34" t="s">
        <v>112</v>
      </c>
      <c r="P220" s="39"/>
    </row>
    <row r="221" spans="1:16" ht="30" x14ac:dyDescent="0.25">
      <c r="A221" s="145">
        <f t="shared" si="27"/>
        <v>218</v>
      </c>
      <c r="B221" s="119" t="s">
        <v>78</v>
      </c>
      <c r="C221" s="73"/>
      <c r="D221" s="74" t="s">
        <v>114</v>
      </c>
      <c r="E221" s="74" t="s">
        <v>354</v>
      </c>
      <c r="F221" s="34" t="s">
        <v>112</v>
      </c>
      <c r="G221" s="34" t="s">
        <v>112</v>
      </c>
      <c r="H221" s="34" t="s">
        <v>112</v>
      </c>
      <c r="I221" s="129" t="s">
        <v>112</v>
      </c>
      <c r="J221" s="134">
        <v>0</v>
      </c>
      <c r="K221" s="133">
        <v>0</v>
      </c>
      <c r="L221" s="131" t="s">
        <v>113</v>
      </c>
      <c r="M221" s="133" t="s">
        <v>113</v>
      </c>
      <c r="N221" s="137" t="s">
        <v>112</v>
      </c>
      <c r="O221" s="34" t="s">
        <v>112</v>
      </c>
      <c r="P221" s="39"/>
    </row>
    <row r="222" spans="1:16" ht="30" x14ac:dyDescent="0.25">
      <c r="A222" s="145">
        <f t="shared" si="27"/>
        <v>219</v>
      </c>
      <c r="B222" s="119" t="s">
        <v>78</v>
      </c>
      <c r="C222" s="73" t="s">
        <v>112</v>
      </c>
      <c r="D222" s="74" t="s">
        <v>189</v>
      </c>
      <c r="E222" s="74" t="s">
        <v>355</v>
      </c>
      <c r="F222" s="34" t="s">
        <v>112</v>
      </c>
      <c r="G222" s="34" t="s">
        <v>112</v>
      </c>
      <c r="H222" s="34" t="s">
        <v>112</v>
      </c>
      <c r="I222" s="129" t="s">
        <v>112</v>
      </c>
      <c r="J222" s="134">
        <v>0</v>
      </c>
      <c r="K222" s="133">
        <v>0</v>
      </c>
      <c r="L222" s="131" t="s">
        <v>113</v>
      </c>
      <c r="M222" s="133" t="s">
        <v>113</v>
      </c>
      <c r="N222" s="137" t="s">
        <v>112</v>
      </c>
      <c r="O222" s="34" t="s">
        <v>112</v>
      </c>
      <c r="P222" s="39"/>
    </row>
    <row r="223" spans="1:16" ht="30" x14ac:dyDescent="0.25">
      <c r="A223" s="145">
        <f t="shared" si="27"/>
        <v>220</v>
      </c>
      <c r="B223" s="119" t="s">
        <v>78</v>
      </c>
      <c r="C223" s="73" t="s">
        <v>112</v>
      </c>
      <c r="D223" s="74" t="s">
        <v>114</v>
      </c>
      <c r="E223" s="74" t="s">
        <v>356</v>
      </c>
      <c r="F223" s="34" t="s">
        <v>112</v>
      </c>
      <c r="G223" s="34" t="s">
        <v>112</v>
      </c>
      <c r="H223" s="34" t="s">
        <v>112</v>
      </c>
      <c r="I223" s="129" t="s">
        <v>112</v>
      </c>
      <c r="J223" s="134">
        <v>0</v>
      </c>
      <c r="K223" s="133">
        <v>0</v>
      </c>
      <c r="L223" s="131" t="s">
        <v>113</v>
      </c>
      <c r="M223" s="133" t="s">
        <v>113</v>
      </c>
      <c r="N223" s="137" t="s">
        <v>112</v>
      </c>
      <c r="O223" s="34" t="s">
        <v>112</v>
      </c>
      <c r="P223" s="39"/>
    </row>
    <row r="224" spans="1:16" ht="30" x14ac:dyDescent="0.25">
      <c r="A224" s="145">
        <f t="shared" si="27"/>
        <v>221</v>
      </c>
      <c r="B224" s="119" t="s">
        <v>78</v>
      </c>
      <c r="C224" s="73" t="s">
        <v>112</v>
      </c>
      <c r="D224" s="74" t="s">
        <v>154</v>
      </c>
      <c r="E224" s="74" t="s">
        <v>357</v>
      </c>
      <c r="F224" s="34" t="s">
        <v>112</v>
      </c>
      <c r="G224" s="34" t="s">
        <v>112</v>
      </c>
      <c r="H224" s="34" t="s">
        <v>112</v>
      </c>
      <c r="I224" s="129" t="s">
        <v>112</v>
      </c>
      <c r="J224" s="134">
        <v>0</v>
      </c>
      <c r="K224" s="133">
        <v>0</v>
      </c>
      <c r="L224" s="131" t="s">
        <v>113</v>
      </c>
      <c r="M224" s="133" t="s">
        <v>113</v>
      </c>
      <c r="N224" s="137" t="s">
        <v>112</v>
      </c>
      <c r="O224" s="34" t="s">
        <v>112</v>
      </c>
      <c r="P224" s="39"/>
    </row>
    <row r="225" spans="1:16" ht="30" x14ac:dyDescent="0.25">
      <c r="A225" s="145">
        <f t="shared" si="27"/>
        <v>222</v>
      </c>
      <c r="B225" s="119" t="s">
        <v>78</v>
      </c>
      <c r="C225" s="73" t="s">
        <v>112</v>
      </c>
      <c r="D225" s="74" t="s">
        <v>158</v>
      </c>
      <c r="E225" s="84" t="s">
        <v>358</v>
      </c>
      <c r="F225" s="34" t="s">
        <v>112</v>
      </c>
      <c r="G225" s="34" t="s">
        <v>112</v>
      </c>
      <c r="H225" s="34" t="s">
        <v>112</v>
      </c>
      <c r="I225" s="129" t="s">
        <v>112</v>
      </c>
      <c r="J225" s="134">
        <v>0</v>
      </c>
      <c r="K225" s="133">
        <v>0</v>
      </c>
      <c r="L225" s="131" t="s">
        <v>113</v>
      </c>
      <c r="M225" s="133" t="s">
        <v>113</v>
      </c>
      <c r="N225" s="137" t="s">
        <v>112</v>
      </c>
      <c r="O225" s="34" t="s">
        <v>112</v>
      </c>
      <c r="P225" s="39"/>
    </row>
    <row r="226" spans="1:16" ht="30" x14ac:dyDescent="0.25">
      <c r="A226" s="145">
        <f t="shared" si="27"/>
        <v>223</v>
      </c>
      <c r="B226" s="119" t="s">
        <v>78</v>
      </c>
      <c r="C226" s="73" t="s">
        <v>112</v>
      </c>
      <c r="D226" s="74" t="s">
        <v>169</v>
      </c>
      <c r="E226" s="74" t="s">
        <v>359</v>
      </c>
      <c r="F226" s="34" t="s">
        <v>112</v>
      </c>
      <c r="G226" s="34" t="s">
        <v>112</v>
      </c>
      <c r="H226" s="34" t="s">
        <v>112</v>
      </c>
      <c r="I226" s="129" t="s">
        <v>112</v>
      </c>
      <c r="J226" s="134">
        <v>0</v>
      </c>
      <c r="K226" s="133">
        <v>0</v>
      </c>
      <c r="L226" s="131" t="s">
        <v>113</v>
      </c>
      <c r="M226" s="133" t="s">
        <v>113</v>
      </c>
      <c r="N226" s="137" t="s">
        <v>112</v>
      </c>
      <c r="O226" s="34" t="s">
        <v>112</v>
      </c>
      <c r="P226" s="39"/>
    </row>
    <row r="227" spans="1:16" ht="30" x14ac:dyDescent="0.25">
      <c r="A227" s="145">
        <f t="shared" si="27"/>
        <v>224</v>
      </c>
      <c r="B227" s="120" t="s">
        <v>79</v>
      </c>
      <c r="C227" s="73" t="s">
        <v>112</v>
      </c>
      <c r="D227" s="74" t="s">
        <v>114</v>
      </c>
      <c r="E227" s="84" t="s">
        <v>360</v>
      </c>
      <c r="F227" s="34" t="s">
        <v>112</v>
      </c>
      <c r="G227" s="34" t="s">
        <v>112</v>
      </c>
      <c r="H227" s="34" t="s">
        <v>112</v>
      </c>
      <c r="I227" s="129" t="s">
        <v>112</v>
      </c>
      <c r="J227" s="134">
        <v>0</v>
      </c>
      <c r="K227" s="133">
        <v>0</v>
      </c>
      <c r="L227" s="131" t="s">
        <v>113</v>
      </c>
      <c r="M227" s="133" t="s">
        <v>113</v>
      </c>
      <c r="N227" s="137" t="s">
        <v>112</v>
      </c>
      <c r="O227" s="34" t="s">
        <v>112</v>
      </c>
      <c r="P227" s="39"/>
    </row>
    <row r="228" spans="1:16" ht="30" x14ac:dyDescent="0.25">
      <c r="A228" s="145">
        <f t="shared" si="27"/>
        <v>225</v>
      </c>
      <c r="B228" s="120" t="s">
        <v>79</v>
      </c>
      <c r="C228" s="73" t="s">
        <v>112</v>
      </c>
      <c r="D228" s="74" t="s">
        <v>154</v>
      </c>
      <c r="E228" s="84" t="s">
        <v>361</v>
      </c>
      <c r="F228" s="34" t="s">
        <v>112</v>
      </c>
      <c r="G228" s="34" t="s">
        <v>112</v>
      </c>
      <c r="H228" s="34" t="s">
        <v>112</v>
      </c>
      <c r="I228" s="129" t="s">
        <v>112</v>
      </c>
      <c r="J228" s="134">
        <v>0</v>
      </c>
      <c r="K228" s="133">
        <v>0</v>
      </c>
      <c r="L228" s="131" t="s">
        <v>113</v>
      </c>
      <c r="M228" s="133" t="s">
        <v>113</v>
      </c>
      <c r="N228" s="137" t="s">
        <v>112</v>
      </c>
      <c r="O228" s="34" t="s">
        <v>112</v>
      </c>
      <c r="P228" s="39"/>
    </row>
    <row r="229" spans="1:16" ht="30" x14ac:dyDescent="0.25">
      <c r="A229" s="145">
        <f t="shared" si="27"/>
        <v>226</v>
      </c>
      <c r="B229" s="120" t="s">
        <v>79</v>
      </c>
      <c r="C229" s="73" t="s">
        <v>112</v>
      </c>
      <c r="D229" s="74" t="s">
        <v>169</v>
      </c>
      <c r="E229" s="74" t="s">
        <v>362</v>
      </c>
      <c r="F229" s="34" t="s">
        <v>112</v>
      </c>
      <c r="G229" s="34" t="s">
        <v>112</v>
      </c>
      <c r="H229" s="34" t="s">
        <v>112</v>
      </c>
      <c r="I229" s="129" t="s">
        <v>112</v>
      </c>
      <c r="J229" s="134">
        <v>0</v>
      </c>
      <c r="K229" s="133">
        <v>0</v>
      </c>
      <c r="L229" s="131" t="s">
        <v>113</v>
      </c>
      <c r="M229" s="133" t="s">
        <v>113</v>
      </c>
      <c r="N229" s="137" t="s">
        <v>112</v>
      </c>
      <c r="O229" s="34" t="s">
        <v>112</v>
      </c>
      <c r="P229" s="39"/>
    </row>
    <row r="230" spans="1:16" ht="30" x14ac:dyDescent="0.25">
      <c r="A230" s="145">
        <f t="shared" si="27"/>
        <v>227</v>
      </c>
      <c r="B230" s="120" t="s">
        <v>79</v>
      </c>
      <c r="C230" s="73" t="s">
        <v>112</v>
      </c>
      <c r="D230" s="74" t="s">
        <v>158</v>
      </c>
      <c r="E230" s="84" t="s">
        <v>363</v>
      </c>
      <c r="F230" s="34" t="s">
        <v>112</v>
      </c>
      <c r="G230" s="34" t="s">
        <v>112</v>
      </c>
      <c r="H230" s="34" t="s">
        <v>112</v>
      </c>
      <c r="I230" s="129" t="s">
        <v>112</v>
      </c>
      <c r="J230" s="134">
        <v>0</v>
      </c>
      <c r="K230" s="133">
        <v>0</v>
      </c>
      <c r="L230" s="131" t="s">
        <v>113</v>
      </c>
      <c r="M230" s="133" t="s">
        <v>113</v>
      </c>
      <c r="N230" s="137" t="s">
        <v>112</v>
      </c>
      <c r="O230" s="34" t="s">
        <v>112</v>
      </c>
      <c r="P230" s="39"/>
    </row>
    <row r="231" spans="1:16" ht="30" x14ac:dyDescent="0.25">
      <c r="A231" s="145">
        <f t="shared" si="27"/>
        <v>228</v>
      </c>
      <c r="B231" s="121" t="s">
        <v>80</v>
      </c>
      <c r="C231" s="73" t="s">
        <v>112</v>
      </c>
      <c r="D231" s="74" t="s">
        <v>163</v>
      </c>
      <c r="E231" s="84" t="s">
        <v>364</v>
      </c>
      <c r="F231" s="34" t="s">
        <v>112</v>
      </c>
      <c r="G231" s="34" t="s">
        <v>112</v>
      </c>
      <c r="H231" s="34" t="s">
        <v>112</v>
      </c>
      <c r="I231" s="129" t="s">
        <v>112</v>
      </c>
      <c r="J231" s="134">
        <v>0</v>
      </c>
      <c r="K231" s="133">
        <v>0</v>
      </c>
      <c r="L231" s="131" t="s">
        <v>113</v>
      </c>
      <c r="M231" s="133" t="s">
        <v>113</v>
      </c>
      <c r="N231" s="137" t="s">
        <v>112</v>
      </c>
      <c r="O231" s="34" t="s">
        <v>112</v>
      </c>
      <c r="P231" s="39"/>
    </row>
    <row r="232" spans="1:16" ht="30" x14ac:dyDescent="0.25">
      <c r="A232" s="145">
        <f t="shared" si="27"/>
        <v>229</v>
      </c>
      <c r="B232" s="121" t="s">
        <v>80</v>
      </c>
      <c r="C232" s="73" t="s">
        <v>112</v>
      </c>
      <c r="D232" s="74" t="s">
        <v>169</v>
      </c>
      <c r="E232" s="84" t="s">
        <v>365</v>
      </c>
      <c r="F232" s="34" t="s">
        <v>112</v>
      </c>
      <c r="G232" s="34" t="s">
        <v>112</v>
      </c>
      <c r="H232" s="34" t="s">
        <v>112</v>
      </c>
      <c r="I232" s="129" t="s">
        <v>112</v>
      </c>
      <c r="J232" s="134">
        <v>0</v>
      </c>
      <c r="K232" s="133">
        <v>0</v>
      </c>
      <c r="L232" s="131" t="s">
        <v>113</v>
      </c>
      <c r="M232" s="133" t="s">
        <v>113</v>
      </c>
      <c r="N232" s="137" t="s">
        <v>112</v>
      </c>
      <c r="O232" s="34" t="s">
        <v>112</v>
      </c>
      <c r="P232" s="39"/>
    </row>
    <row r="233" spans="1:16" ht="30" x14ac:dyDescent="0.25">
      <c r="A233" s="145">
        <f t="shared" si="27"/>
        <v>230</v>
      </c>
      <c r="B233" s="121" t="s">
        <v>80</v>
      </c>
      <c r="C233" s="73" t="s">
        <v>112</v>
      </c>
      <c r="D233" s="74" t="s">
        <v>114</v>
      </c>
      <c r="E233" s="84" t="s">
        <v>366</v>
      </c>
      <c r="F233" s="34" t="s">
        <v>112</v>
      </c>
      <c r="G233" s="34" t="s">
        <v>112</v>
      </c>
      <c r="H233" s="34" t="s">
        <v>112</v>
      </c>
      <c r="I233" s="129" t="s">
        <v>112</v>
      </c>
      <c r="J233" s="134">
        <v>0</v>
      </c>
      <c r="K233" s="133">
        <v>0</v>
      </c>
      <c r="L233" s="131" t="s">
        <v>113</v>
      </c>
      <c r="M233" s="133" t="s">
        <v>113</v>
      </c>
      <c r="N233" s="137" t="s">
        <v>112</v>
      </c>
      <c r="O233" s="34" t="s">
        <v>112</v>
      </c>
      <c r="P233" s="39"/>
    </row>
    <row r="234" spans="1:16" ht="30" x14ac:dyDescent="0.25">
      <c r="A234" s="145">
        <f t="shared" si="27"/>
        <v>231</v>
      </c>
      <c r="B234" s="121" t="s">
        <v>80</v>
      </c>
      <c r="C234" s="73" t="s">
        <v>112</v>
      </c>
      <c r="D234" s="74" t="s">
        <v>169</v>
      </c>
      <c r="E234" s="84" t="s">
        <v>367</v>
      </c>
      <c r="F234" s="34" t="s">
        <v>112</v>
      </c>
      <c r="G234" s="34" t="s">
        <v>112</v>
      </c>
      <c r="H234" s="34" t="s">
        <v>112</v>
      </c>
      <c r="I234" s="129" t="s">
        <v>112</v>
      </c>
      <c r="J234" s="134">
        <v>0</v>
      </c>
      <c r="K234" s="133">
        <v>0</v>
      </c>
      <c r="L234" s="131" t="s">
        <v>113</v>
      </c>
      <c r="M234" s="133" t="s">
        <v>113</v>
      </c>
      <c r="N234" s="137" t="s">
        <v>112</v>
      </c>
      <c r="O234" s="34" t="s">
        <v>112</v>
      </c>
      <c r="P234" s="39"/>
    </row>
    <row r="235" spans="1:16" ht="30" x14ac:dyDescent="0.25">
      <c r="A235" s="145">
        <f t="shared" si="27"/>
        <v>232</v>
      </c>
      <c r="B235" s="121" t="s">
        <v>80</v>
      </c>
      <c r="C235" s="73" t="s">
        <v>112</v>
      </c>
      <c r="D235" s="74" t="s">
        <v>158</v>
      </c>
      <c r="E235" s="84" t="s">
        <v>368</v>
      </c>
      <c r="F235" s="34" t="s">
        <v>112</v>
      </c>
      <c r="G235" s="34" t="s">
        <v>112</v>
      </c>
      <c r="H235" s="34" t="s">
        <v>112</v>
      </c>
      <c r="I235" s="129" t="s">
        <v>112</v>
      </c>
      <c r="J235" s="134">
        <v>0</v>
      </c>
      <c r="K235" s="133">
        <v>0</v>
      </c>
      <c r="L235" s="131" t="s">
        <v>113</v>
      </c>
      <c r="M235" s="133" t="s">
        <v>113</v>
      </c>
      <c r="N235" s="137" t="s">
        <v>112</v>
      </c>
      <c r="O235" s="34" t="s">
        <v>112</v>
      </c>
      <c r="P235" s="39"/>
    </row>
    <row r="236" spans="1:16" ht="30" x14ac:dyDescent="0.25">
      <c r="A236" s="145">
        <f t="shared" si="27"/>
        <v>233</v>
      </c>
      <c r="B236" s="121" t="s">
        <v>80</v>
      </c>
      <c r="C236" s="73" t="s">
        <v>112</v>
      </c>
      <c r="D236" s="74" t="s">
        <v>163</v>
      </c>
      <c r="E236" s="84" t="s">
        <v>369</v>
      </c>
      <c r="F236" s="34" t="s">
        <v>112</v>
      </c>
      <c r="G236" s="34" t="s">
        <v>112</v>
      </c>
      <c r="H236" s="34" t="s">
        <v>112</v>
      </c>
      <c r="I236" s="129" t="s">
        <v>112</v>
      </c>
      <c r="J236" s="134">
        <v>0</v>
      </c>
      <c r="K236" s="133">
        <v>0</v>
      </c>
      <c r="L236" s="131" t="s">
        <v>113</v>
      </c>
      <c r="M236" s="133" t="s">
        <v>113</v>
      </c>
      <c r="N236" s="137" t="s">
        <v>112</v>
      </c>
      <c r="O236" s="34" t="s">
        <v>112</v>
      </c>
      <c r="P236" s="39"/>
    </row>
    <row r="237" spans="1:16" ht="30" x14ac:dyDescent="0.25">
      <c r="A237" s="145">
        <f t="shared" si="27"/>
        <v>234</v>
      </c>
      <c r="B237" s="121" t="s">
        <v>80</v>
      </c>
      <c r="C237" s="73" t="s">
        <v>112</v>
      </c>
      <c r="D237" s="74" t="s">
        <v>169</v>
      </c>
      <c r="E237" s="84" t="s">
        <v>370</v>
      </c>
      <c r="F237" s="34" t="s">
        <v>112</v>
      </c>
      <c r="G237" s="34" t="s">
        <v>112</v>
      </c>
      <c r="H237" s="34" t="s">
        <v>112</v>
      </c>
      <c r="I237" s="129" t="s">
        <v>112</v>
      </c>
      <c r="J237" s="134">
        <v>0</v>
      </c>
      <c r="K237" s="133">
        <v>0</v>
      </c>
      <c r="L237" s="131" t="s">
        <v>113</v>
      </c>
      <c r="M237" s="133" t="s">
        <v>113</v>
      </c>
      <c r="N237" s="137" t="s">
        <v>112</v>
      </c>
      <c r="O237" s="34" t="s">
        <v>112</v>
      </c>
      <c r="P237" s="39"/>
    </row>
    <row r="238" spans="1:16" ht="30" x14ac:dyDescent="0.25">
      <c r="A238" s="145">
        <f t="shared" si="27"/>
        <v>235</v>
      </c>
      <c r="B238" s="121" t="s">
        <v>80</v>
      </c>
      <c r="C238" s="73" t="s">
        <v>112</v>
      </c>
      <c r="D238" s="74" t="s">
        <v>114</v>
      </c>
      <c r="E238" s="84" t="s">
        <v>371</v>
      </c>
      <c r="F238" s="34" t="s">
        <v>112</v>
      </c>
      <c r="G238" s="34" t="s">
        <v>112</v>
      </c>
      <c r="H238" s="34" t="s">
        <v>112</v>
      </c>
      <c r="I238" s="129" t="s">
        <v>112</v>
      </c>
      <c r="J238" s="134">
        <v>0</v>
      </c>
      <c r="K238" s="133">
        <v>0</v>
      </c>
      <c r="L238" s="131" t="s">
        <v>113</v>
      </c>
      <c r="M238" s="133" t="s">
        <v>113</v>
      </c>
      <c r="N238" s="137" t="s">
        <v>112</v>
      </c>
      <c r="O238" s="34" t="s">
        <v>112</v>
      </c>
      <c r="P238" s="39"/>
    </row>
    <row r="239" spans="1:16" ht="30" x14ac:dyDescent="0.25">
      <c r="A239" s="145">
        <f t="shared" si="27"/>
        <v>236</v>
      </c>
      <c r="B239" s="122" t="s">
        <v>81</v>
      </c>
      <c r="C239" s="73" t="s">
        <v>112</v>
      </c>
      <c r="D239" s="74" t="s">
        <v>207</v>
      </c>
      <c r="E239" s="84" t="s">
        <v>372</v>
      </c>
      <c r="F239" s="34" t="s">
        <v>112</v>
      </c>
      <c r="G239" s="34" t="s">
        <v>112</v>
      </c>
      <c r="H239" s="34" t="s">
        <v>112</v>
      </c>
      <c r="I239" s="129" t="s">
        <v>112</v>
      </c>
      <c r="J239" s="134">
        <v>0</v>
      </c>
      <c r="K239" s="133">
        <v>0</v>
      </c>
      <c r="L239" s="131" t="s">
        <v>113</v>
      </c>
      <c r="M239" s="133" t="s">
        <v>113</v>
      </c>
      <c r="N239" s="137" t="s">
        <v>112</v>
      </c>
      <c r="O239" s="34" t="s">
        <v>112</v>
      </c>
      <c r="P239" s="39"/>
    </row>
    <row r="240" spans="1:16" ht="30" x14ac:dyDescent="0.25">
      <c r="A240" s="145">
        <f t="shared" si="27"/>
        <v>237</v>
      </c>
      <c r="B240" s="122" t="s">
        <v>81</v>
      </c>
      <c r="C240" s="73" t="s">
        <v>112</v>
      </c>
      <c r="D240" s="74" t="s">
        <v>158</v>
      </c>
      <c r="E240" s="84" t="s">
        <v>373</v>
      </c>
      <c r="F240" s="34" t="s">
        <v>112</v>
      </c>
      <c r="G240" s="34" t="s">
        <v>112</v>
      </c>
      <c r="H240" s="34" t="s">
        <v>112</v>
      </c>
      <c r="I240" s="129" t="s">
        <v>112</v>
      </c>
      <c r="J240" s="134">
        <v>0</v>
      </c>
      <c r="K240" s="133">
        <v>0</v>
      </c>
      <c r="L240" s="131" t="s">
        <v>113</v>
      </c>
      <c r="M240" s="133" t="s">
        <v>113</v>
      </c>
      <c r="N240" s="137" t="s">
        <v>112</v>
      </c>
      <c r="O240" s="34" t="s">
        <v>112</v>
      </c>
      <c r="P240" s="39"/>
    </row>
    <row r="241" spans="1:16" ht="30" x14ac:dyDescent="0.25">
      <c r="A241" s="145">
        <f t="shared" si="27"/>
        <v>238</v>
      </c>
      <c r="B241" s="122" t="s">
        <v>81</v>
      </c>
      <c r="C241" s="73" t="s">
        <v>112</v>
      </c>
      <c r="D241" s="74" t="s">
        <v>158</v>
      </c>
      <c r="E241" s="84" t="s">
        <v>374</v>
      </c>
      <c r="F241" s="34" t="s">
        <v>112</v>
      </c>
      <c r="G241" s="34" t="s">
        <v>112</v>
      </c>
      <c r="H241" s="34" t="s">
        <v>112</v>
      </c>
      <c r="I241" s="129" t="s">
        <v>112</v>
      </c>
      <c r="J241" s="134">
        <v>0</v>
      </c>
      <c r="K241" s="133">
        <v>0</v>
      </c>
      <c r="L241" s="131" t="s">
        <v>113</v>
      </c>
      <c r="M241" s="133" t="s">
        <v>113</v>
      </c>
      <c r="N241" s="137" t="s">
        <v>112</v>
      </c>
      <c r="O241" s="34" t="s">
        <v>112</v>
      </c>
      <c r="P241" s="39"/>
    </row>
    <row r="242" spans="1:16" ht="30" x14ac:dyDescent="0.25">
      <c r="A242" s="145">
        <f t="shared" si="27"/>
        <v>239</v>
      </c>
      <c r="B242" s="122" t="s">
        <v>81</v>
      </c>
      <c r="C242" s="73" t="s">
        <v>112</v>
      </c>
      <c r="D242" s="74" t="s">
        <v>114</v>
      </c>
      <c r="E242" s="84" t="s">
        <v>375</v>
      </c>
      <c r="F242" s="34" t="s">
        <v>112</v>
      </c>
      <c r="G242" s="34" t="s">
        <v>112</v>
      </c>
      <c r="H242" s="34" t="s">
        <v>112</v>
      </c>
      <c r="I242" s="129" t="s">
        <v>112</v>
      </c>
      <c r="J242" s="134">
        <v>0</v>
      </c>
      <c r="K242" s="133">
        <v>0</v>
      </c>
      <c r="L242" s="131" t="s">
        <v>113</v>
      </c>
      <c r="M242" s="133" t="s">
        <v>113</v>
      </c>
      <c r="N242" s="137" t="s">
        <v>112</v>
      </c>
      <c r="O242" s="34" t="s">
        <v>112</v>
      </c>
      <c r="P242" s="39"/>
    </row>
    <row r="243" spans="1:16" ht="30" x14ac:dyDescent="0.25">
      <c r="A243" s="145">
        <f t="shared" si="27"/>
        <v>240</v>
      </c>
      <c r="B243" s="122" t="s">
        <v>81</v>
      </c>
      <c r="C243" s="73" t="s">
        <v>112</v>
      </c>
      <c r="D243" s="74" t="s">
        <v>189</v>
      </c>
      <c r="E243" s="84" t="s">
        <v>376</v>
      </c>
      <c r="F243" s="34" t="s">
        <v>112</v>
      </c>
      <c r="G243" s="34" t="s">
        <v>112</v>
      </c>
      <c r="H243" s="34" t="s">
        <v>112</v>
      </c>
      <c r="I243" s="129" t="s">
        <v>112</v>
      </c>
      <c r="J243" s="134">
        <v>0</v>
      </c>
      <c r="K243" s="133">
        <v>0</v>
      </c>
      <c r="L243" s="131" t="s">
        <v>113</v>
      </c>
      <c r="M243" s="133" t="s">
        <v>113</v>
      </c>
      <c r="N243" s="137" t="s">
        <v>112</v>
      </c>
      <c r="O243" s="34" t="s">
        <v>112</v>
      </c>
      <c r="P243" s="39"/>
    </row>
    <row r="244" spans="1:16" ht="30" x14ac:dyDescent="0.25">
      <c r="A244" s="145">
        <f t="shared" si="27"/>
        <v>241</v>
      </c>
      <c r="B244" s="122" t="s">
        <v>81</v>
      </c>
      <c r="C244" s="73" t="s">
        <v>112</v>
      </c>
      <c r="D244" s="74" t="s">
        <v>169</v>
      </c>
      <c r="E244" s="84" t="s">
        <v>377</v>
      </c>
      <c r="F244" s="34" t="s">
        <v>112</v>
      </c>
      <c r="G244" s="34" t="s">
        <v>112</v>
      </c>
      <c r="H244" s="34" t="s">
        <v>112</v>
      </c>
      <c r="I244" s="129" t="s">
        <v>112</v>
      </c>
      <c r="J244" s="134">
        <v>0</v>
      </c>
      <c r="K244" s="133">
        <v>0</v>
      </c>
      <c r="L244" s="131" t="s">
        <v>113</v>
      </c>
      <c r="M244" s="133" t="s">
        <v>113</v>
      </c>
      <c r="N244" s="137" t="s">
        <v>112</v>
      </c>
      <c r="O244" s="34" t="s">
        <v>112</v>
      </c>
      <c r="P244" s="39"/>
    </row>
    <row r="245" spans="1:16" ht="30" x14ac:dyDescent="0.25">
      <c r="A245" s="145">
        <f t="shared" si="27"/>
        <v>242</v>
      </c>
      <c r="B245" s="122" t="s">
        <v>81</v>
      </c>
      <c r="C245" s="73" t="s">
        <v>112</v>
      </c>
      <c r="D245" s="74" t="s">
        <v>152</v>
      </c>
      <c r="E245" s="84" t="s">
        <v>378</v>
      </c>
      <c r="F245" s="34" t="s">
        <v>112</v>
      </c>
      <c r="G245" s="34" t="s">
        <v>112</v>
      </c>
      <c r="H245" s="34" t="s">
        <v>112</v>
      </c>
      <c r="I245" s="129" t="s">
        <v>112</v>
      </c>
      <c r="J245" s="134">
        <v>0</v>
      </c>
      <c r="K245" s="133">
        <v>0</v>
      </c>
      <c r="L245" s="131" t="s">
        <v>113</v>
      </c>
      <c r="M245" s="133" t="s">
        <v>113</v>
      </c>
      <c r="N245" s="137" t="s">
        <v>112</v>
      </c>
      <c r="O245" s="34" t="s">
        <v>112</v>
      </c>
      <c r="P245" s="39"/>
    </row>
    <row r="246" spans="1:16" ht="30" x14ac:dyDescent="0.25">
      <c r="A246" s="145">
        <f t="shared" si="27"/>
        <v>243</v>
      </c>
      <c r="B246" s="122" t="s">
        <v>81</v>
      </c>
      <c r="C246" s="73" t="s">
        <v>112</v>
      </c>
      <c r="D246" s="74" t="s">
        <v>158</v>
      </c>
      <c r="E246" s="84" t="s">
        <v>379</v>
      </c>
      <c r="F246" s="34" t="s">
        <v>112</v>
      </c>
      <c r="G246" s="34" t="s">
        <v>112</v>
      </c>
      <c r="H246" s="34" t="s">
        <v>112</v>
      </c>
      <c r="I246" s="129" t="s">
        <v>112</v>
      </c>
      <c r="J246" s="134">
        <v>0</v>
      </c>
      <c r="K246" s="133">
        <v>0</v>
      </c>
      <c r="L246" s="131" t="s">
        <v>113</v>
      </c>
      <c r="M246" s="133" t="s">
        <v>113</v>
      </c>
      <c r="N246" s="137" t="s">
        <v>112</v>
      </c>
      <c r="O246" s="34" t="s">
        <v>112</v>
      </c>
      <c r="P246" s="39"/>
    </row>
    <row r="247" spans="1:16" ht="30" x14ac:dyDescent="0.25">
      <c r="A247" s="145">
        <f t="shared" si="27"/>
        <v>244</v>
      </c>
      <c r="B247" s="122" t="s">
        <v>81</v>
      </c>
      <c r="C247" s="73" t="s">
        <v>112</v>
      </c>
      <c r="D247" s="74" t="s">
        <v>154</v>
      </c>
      <c r="E247" s="84" t="s">
        <v>380</v>
      </c>
      <c r="F247" s="34" t="s">
        <v>112</v>
      </c>
      <c r="G247" s="34" t="s">
        <v>112</v>
      </c>
      <c r="H247" s="34" t="s">
        <v>112</v>
      </c>
      <c r="I247" s="129" t="s">
        <v>112</v>
      </c>
      <c r="J247" s="134">
        <v>0</v>
      </c>
      <c r="K247" s="133">
        <v>0</v>
      </c>
      <c r="L247" s="131" t="s">
        <v>113</v>
      </c>
      <c r="M247" s="133" t="s">
        <v>113</v>
      </c>
      <c r="N247" s="137" t="s">
        <v>112</v>
      </c>
      <c r="O247" s="34" t="s">
        <v>112</v>
      </c>
      <c r="P247" s="39"/>
    </row>
    <row r="248" spans="1:16" ht="30" x14ac:dyDescent="0.25">
      <c r="A248" s="145">
        <f t="shared" si="27"/>
        <v>245</v>
      </c>
      <c r="B248" s="122" t="s">
        <v>81</v>
      </c>
      <c r="C248" s="73" t="s">
        <v>112</v>
      </c>
      <c r="D248" s="74" t="s">
        <v>163</v>
      </c>
      <c r="E248" s="84" t="s">
        <v>381</v>
      </c>
      <c r="F248" s="34" t="s">
        <v>112</v>
      </c>
      <c r="G248" s="34" t="s">
        <v>112</v>
      </c>
      <c r="H248" s="34" t="s">
        <v>112</v>
      </c>
      <c r="I248" s="129" t="s">
        <v>112</v>
      </c>
      <c r="J248" s="134">
        <v>0</v>
      </c>
      <c r="K248" s="133">
        <v>0</v>
      </c>
      <c r="L248" s="131" t="s">
        <v>113</v>
      </c>
      <c r="M248" s="133" t="s">
        <v>113</v>
      </c>
      <c r="N248" s="137" t="s">
        <v>112</v>
      </c>
      <c r="O248" s="34" t="s">
        <v>112</v>
      </c>
      <c r="P248" s="39"/>
    </row>
    <row r="249" spans="1:16" ht="30" x14ac:dyDescent="0.25">
      <c r="A249" s="145">
        <f t="shared" si="27"/>
        <v>246</v>
      </c>
      <c r="B249" s="122" t="s">
        <v>81</v>
      </c>
      <c r="C249" s="73" t="s">
        <v>112</v>
      </c>
      <c r="D249" s="74" t="s">
        <v>189</v>
      </c>
      <c r="E249" s="84" t="s">
        <v>382</v>
      </c>
      <c r="F249" s="34" t="s">
        <v>112</v>
      </c>
      <c r="G249" s="34" t="s">
        <v>112</v>
      </c>
      <c r="H249" s="34" t="s">
        <v>112</v>
      </c>
      <c r="I249" s="129" t="s">
        <v>112</v>
      </c>
      <c r="J249" s="134">
        <v>0</v>
      </c>
      <c r="K249" s="133">
        <v>0</v>
      </c>
      <c r="L249" s="131" t="s">
        <v>113</v>
      </c>
      <c r="M249" s="133" t="s">
        <v>113</v>
      </c>
      <c r="N249" s="137" t="s">
        <v>112</v>
      </c>
      <c r="O249" s="34" t="s">
        <v>112</v>
      </c>
      <c r="P249" s="39"/>
    </row>
    <row r="250" spans="1:16" ht="30" x14ac:dyDescent="0.25">
      <c r="A250" s="145">
        <f t="shared" si="27"/>
        <v>247</v>
      </c>
      <c r="B250" s="122" t="s">
        <v>81</v>
      </c>
      <c r="C250" s="73" t="s">
        <v>112</v>
      </c>
      <c r="D250" s="74" t="s">
        <v>207</v>
      </c>
      <c r="E250" s="84" t="s">
        <v>383</v>
      </c>
      <c r="F250" s="34" t="s">
        <v>112</v>
      </c>
      <c r="G250" s="34" t="s">
        <v>112</v>
      </c>
      <c r="H250" s="34" t="s">
        <v>112</v>
      </c>
      <c r="I250" s="129" t="s">
        <v>112</v>
      </c>
      <c r="J250" s="134">
        <v>0</v>
      </c>
      <c r="K250" s="133">
        <v>0</v>
      </c>
      <c r="L250" s="131" t="s">
        <v>113</v>
      </c>
      <c r="M250" s="133" t="s">
        <v>113</v>
      </c>
      <c r="N250" s="137" t="s">
        <v>112</v>
      </c>
      <c r="O250" s="34" t="s">
        <v>112</v>
      </c>
      <c r="P250" s="39"/>
    </row>
    <row r="251" spans="1:16" ht="30" x14ac:dyDescent="0.25">
      <c r="A251" s="145">
        <f t="shared" si="27"/>
        <v>248</v>
      </c>
      <c r="B251" s="122" t="s">
        <v>81</v>
      </c>
      <c r="C251" s="73" t="s">
        <v>112</v>
      </c>
      <c r="D251" s="74" t="s">
        <v>169</v>
      </c>
      <c r="E251" s="84" t="s">
        <v>384</v>
      </c>
      <c r="F251" s="34" t="s">
        <v>112</v>
      </c>
      <c r="G251" s="34" t="s">
        <v>112</v>
      </c>
      <c r="H251" s="34" t="s">
        <v>112</v>
      </c>
      <c r="I251" s="129" t="s">
        <v>112</v>
      </c>
      <c r="J251" s="134">
        <v>0</v>
      </c>
      <c r="K251" s="133">
        <v>0</v>
      </c>
      <c r="L251" s="131" t="s">
        <v>113</v>
      </c>
      <c r="M251" s="133" t="s">
        <v>113</v>
      </c>
      <c r="N251" s="137" t="s">
        <v>112</v>
      </c>
      <c r="O251" s="34" t="s">
        <v>112</v>
      </c>
      <c r="P251" s="39"/>
    </row>
    <row r="252" spans="1:16" ht="30" x14ac:dyDescent="0.25">
      <c r="A252" s="145">
        <f t="shared" si="27"/>
        <v>249</v>
      </c>
      <c r="B252" s="122" t="s">
        <v>81</v>
      </c>
      <c r="C252" s="73" t="s">
        <v>112</v>
      </c>
      <c r="D252" s="74" t="s">
        <v>114</v>
      </c>
      <c r="E252" s="84" t="s">
        <v>385</v>
      </c>
      <c r="F252" s="34" t="s">
        <v>112</v>
      </c>
      <c r="G252" s="34" t="s">
        <v>112</v>
      </c>
      <c r="H252" s="34" t="s">
        <v>112</v>
      </c>
      <c r="I252" s="129" t="s">
        <v>112</v>
      </c>
      <c r="J252" s="134">
        <v>0</v>
      </c>
      <c r="K252" s="133">
        <v>0</v>
      </c>
      <c r="L252" s="131" t="s">
        <v>113</v>
      </c>
      <c r="M252" s="133" t="s">
        <v>113</v>
      </c>
      <c r="N252" s="137" t="s">
        <v>112</v>
      </c>
      <c r="O252" s="34" t="s">
        <v>112</v>
      </c>
      <c r="P252" s="39"/>
    </row>
    <row r="253" spans="1:16" ht="30" x14ac:dyDescent="0.25">
      <c r="A253" s="145">
        <f t="shared" si="27"/>
        <v>250</v>
      </c>
      <c r="B253" s="122" t="s">
        <v>81</v>
      </c>
      <c r="C253" s="73" t="s">
        <v>112</v>
      </c>
      <c r="D253" s="74" t="s">
        <v>114</v>
      </c>
      <c r="E253" s="84" t="s">
        <v>386</v>
      </c>
      <c r="F253" s="34" t="s">
        <v>112</v>
      </c>
      <c r="G253" s="34" t="s">
        <v>112</v>
      </c>
      <c r="H253" s="34" t="s">
        <v>112</v>
      </c>
      <c r="I253" s="129" t="s">
        <v>112</v>
      </c>
      <c r="J253" s="134">
        <v>0</v>
      </c>
      <c r="K253" s="133">
        <v>0</v>
      </c>
      <c r="L253" s="131" t="s">
        <v>113</v>
      </c>
      <c r="M253" s="133" t="s">
        <v>113</v>
      </c>
      <c r="N253" s="137" t="s">
        <v>112</v>
      </c>
      <c r="O253" s="34" t="s">
        <v>112</v>
      </c>
      <c r="P253" s="39"/>
    </row>
    <row r="254" spans="1:16" ht="30" x14ac:dyDescent="0.25">
      <c r="A254" s="145">
        <f t="shared" si="27"/>
        <v>251</v>
      </c>
      <c r="B254" s="122" t="s">
        <v>81</v>
      </c>
      <c r="C254" s="73" t="s">
        <v>112</v>
      </c>
      <c r="D254" s="74" t="s">
        <v>189</v>
      </c>
      <c r="E254" s="84" t="s">
        <v>387</v>
      </c>
      <c r="F254" s="34" t="s">
        <v>112</v>
      </c>
      <c r="G254" s="34" t="s">
        <v>112</v>
      </c>
      <c r="H254" s="34" t="s">
        <v>112</v>
      </c>
      <c r="I254" s="129" t="s">
        <v>112</v>
      </c>
      <c r="J254" s="134">
        <v>0</v>
      </c>
      <c r="K254" s="133">
        <v>0</v>
      </c>
      <c r="L254" s="131" t="s">
        <v>113</v>
      </c>
      <c r="M254" s="133" t="s">
        <v>113</v>
      </c>
      <c r="N254" s="137" t="s">
        <v>112</v>
      </c>
      <c r="O254" s="34" t="s">
        <v>112</v>
      </c>
      <c r="P254" s="39"/>
    </row>
    <row r="255" spans="1:16" ht="30" x14ac:dyDescent="0.25">
      <c r="A255" s="145">
        <f t="shared" si="27"/>
        <v>252</v>
      </c>
      <c r="B255" s="122" t="s">
        <v>81</v>
      </c>
      <c r="C255" s="73" t="s">
        <v>112</v>
      </c>
      <c r="D255" s="74" t="s">
        <v>158</v>
      </c>
      <c r="E255" s="84" t="s">
        <v>388</v>
      </c>
      <c r="F255" s="34" t="s">
        <v>112</v>
      </c>
      <c r="G255" s="34" t="s">
        <v>112</v>
      </c>
      <c r="H255" s="34" t="s">
        <v>112</v>
      </c>
      <c r="I255" s="129" t="s">
        <v>112</v>
      </c>
      <c r="J255" s="134">
        <v>0</v>
      </c>
      <c r="K255" s="133">
        <v>0</v>
      </c>
      <c r="L255" s="131" t="s">
        <v>113</v>
      </c>
      <c r="M255" s="133" t="s">
        <v>113</v>
      </c>
      <c r="N255" s="137" t="s">
        <v>112</v>
      </c>
      <c r="O255" s="34" t="s">
        <v>112</v>
      </c>
      <c r="P255" s="39"/>
    </row>
    <row r="256" spans="1:16" ht="30" x14ac:dyDescent="0.25">
      <c r="A256" s="145">
        <f t="shared" si="27"/>
        <v>253</v>
      </c>
      <c r="B256" s="122" t="s">
        <v>81</v>
      </c>
      <c r="C256" s="73" t="s">
        <v>112</v>
      </c>
      <c r="D256" s="74" t="s">
        <v>169</v>
      </c>
      <c r="E256" s="84" t="s">
        <v>389</v>
      </c>
      <c r="F256" s="34" t="s">
        <v>112</v>
      </c>
      <c r="G256" s="34" t="s">
        <v>112</v>
      </c>
      <c r="H256" s="34" t="s">
        <v>112</v>
      </c>
      <c r="I256" s="129" t="s">
        <v>112</v>
      </c>
      <c r="J256" s="134">
        <v>0</v>
      </c>
      <c r="K256" s="133">
        <v>0</v>
      </c>
      <c r="L256" s="131" t="s">
        <v>113</v>
      </c>
      <c r="M256" s="133" t="s">
        <v>113</v>
      </c>
      <c r="N256" s="137" t="s">
        <v>112</v>
      </c>
      <c r="O256" s="34" t="s">
        <v>112</v>
      </c>
      <c r="P256" s="39"/>
    </row>
    <row r="257" spans="1:16" ht="30" x14ac:dyDescent="0.25">
      <c r="A257" s="145">
        <f t="shared" si="27"/>
        <v>254</v>
      </c>
      <c r="B257" s="122" t="s">
        <v>81</v>
      </c>
      <c r="C257" s="73" t="s">
        <v>112</v>
      </c>
      <c r="D257" s="74" t="s">
        <v>154</v>
      </c>
      <c r="E257" s="84" t="s">
        <v>390</v>
      </c>
      <c r="F257" s="34" t="s">
        <v>112</v>
      </c>
      <c r="G257" s="34" t="s">
        <v>112</v>
      </c>
      <c r="H257" s="34" t="s">
        <v>112</v>
      </c>
      <c r="I257" s="129" t="s">
        <v>112</v>
      </c>
      <c r="J257" s="134">
        <v>0</v>
      </c>
      <c r="K257" s="133">
        <v>0</v>
      </c>
      <c r="L257" s="131" t="s">
        <v>113</v>
      </c>
      <c r="M257" s="133" t="s">
        <v>113</v>
      </c>
      <c r="N257" s="137" t="s">
        <v>112</v>
      </c>
      <c r="O257" s="34" t="s">
        <v>112</v>
      </c>
      <c r="P257" s="39"/>
    </row>
    <row r="258" spans="1:16" ht="30" x14ac:dyDescent="0.25">
      <c r="A258" s="145">
        <f t="shared" si="27"/>
        <v>255</v>
      </c>
      <c r="B258" s="122" t="s">
        <v>81</v>
      </c>
      <c r="C258" s="73" t="s">
        <v>112</v>
      </c>
      <c r="D258" s="74" t="s">
        <v>152</v>
      </c>
      <c r="E258" s="84" t="s">
        <v>391</v>
      </c>
      <c r="F258" s="34" t="s">
        <v>112</v>
      </c>
      <c r="G258" s="34" t="s">
        <v>112</v>
      </c>
      <c r="H258" s="34" t="s">
        <v>112</v>
      </c>
      <c r="I258" s="129" t="s">
        <v>112</v>
      </c>
      <c r="J258" s="134">
        <v>0</v>
      </c>
      <c r="K258" s="133">
        <v>0</v>
      </c>
      <c r="L258" s="131" t="s">
        <v>113</v>
      </c>
      <c r="M258" s="133" t="s">
        <v>113</v>
      </c>
      <c r="N258" s="137" t="s">
        <v>112</v>
      </c>
      <c r="O258" s="34" t="s">
        <v>112</v>
      </c>
      <c r="P258" s="39"/>
    </row>
    <row r="259" spans="1:16" ht="30" x14ac:dyDescent="0.25">
      <c r="A259" s="145">
        <f t="shared" si="27"/>
        <v>256</v>
      </c>
      <c r="B259" s="122" t="s">
        <v>81</v>
      </c>
      <c r="C259" s="73" t="s">
        <v>112</v>
      </c>
      <c r="D259" s="74" t="s">
        <v>114</v>
      </c>
      <c r="E259" s="84" t="s">
        <v>392</v>
      </c>
      <c r="F259" s="34" t="s">
        <v>112</v>
      </c>
      <c r="G259" s="34" t="s">
        <v>112</v>
      </c>
      <c r="H259" s="34" t="s">
        <v>112</v>
      </c>
      <c r="I259" s="129" t="s">
        <v>112</v>
      </c>
      <c r="J259" s="134">
        <v>0</v>
      </c>
      <c r="K259" s="133">
        <v>0</v>
      </c>
      <c r="L259" s="131" t="s">
        <v>113</v>
      </c>
      <c r="M259" s="133" t="s">
        <v>113</v>
      </c>
      <c r="N259" s="137" t="s">
        <v>112</v>
      </c>
      <c r="O259" s="34" t="s">
        <v>112</v>
      </c>
      <c r="P259" s="39"/>
    </row>
    <row r="260" spans="1:16" ht="30" x14ac:dyDescent="0.25">
      <c r="A260" s="145">
        <f t="shared" si="27"/>
        <v>257</v>
      </c>
      <c r="B260" s="122" t="s">
        <v>81</v>
      </c>
      <c r="C260" s="73" t="s">
        <v>112</v>
      </c>
      <c r="D260" s="74" t="s">
        <v>189</v>
      </c>
      <c r="E260" s="84" t="s">
        <v>393</v>
      </c>
      <c r="F260" s="34" t="s">
        <v>112</v>
      </c>
      <c r="G260" s="34" t="s">
        <v>112</v>
      </c>
      <c r="H260" s="34" t="s">
        <v>112</v>
      </c>
      <c r="I260" s="129" t="s">
        <v>112</v>
      </c>
      <c r="J260" s="134">
        <v>0</v>
      </c>
      <c r="K260" s="133">
        <v>0</v>
      </c>
      <c r="L260" s="131" t="s">
        <v>113</v>
      </c>
      <c r="M260" s="133" t="s">
        <v>113</v>
      </c>
      <c r="N260" s="137" t="s">
        <v>112</v>
      </c>
      <c r="O260" s="34" t="s">
        <v>112</v>
      </c>
      <c r="P260" s="39"/>
    </row>
    <row r="261" spans="1:16" ht="30" x14ac:dyDescent="0.25">
      <c r="A261" s="145">
        <f t="shared" si="27"/>
        <v>258</v>
      </c>
      <c r="B261" s="122" t="s">
        <v>81</v>
      </c>
      <c r="C261" s="73" t="s">
        <v>112</v>
      </c>
      <c r="D261" s="74" t="s">
        <v>152</v>
      </c>
      <c r="E261" s="84" t="s">
        <v>394</v>
      </c>
      <c r="F261" s="34" t="s">
        <v>112</v>
      </c>
      <c r="G261" s="34" t="s">
        <v>112</v>
      </c>
      <c r="H261" s="34" t="s">
        <v>112</v>
      </c>
      <c r="I261" s="129" t="s">
        <v>112</v>
      </c>
      <c r="J261" s="134">
        <v>0</v>
      </c>
      <c r="K261" s="133">
        <v>0</v>
      </c>
      <c r="L261" s="131" t="s">
        <v>113</v>
      </c>
      <c r="M261" s="133" t="s">
        <v>113</v>
      </c>
      <c r="N261" s="137" t="s">
        <v>112</v>
      </c>
      <c r="O261" s="34" t="s">
        <v>112</v>
      </c>
      <c r="P261" s="39"/>
    </row>
    <row r="262" spans="1:16" ht="30" x14ac:dyDescent="0.25">
      <c r="A262" s="145">
        <f t="shared" ref="A262:A278" si="28">A261+1</f>
        <v>259</v>
      </c>
      <c r="B262" s="122" t="s">
        <v>81</v>
      </c>
      <c r="C262" s="73" t="s">
        <v>112</v>
      </c>
      <c r="D262" s="74" t="s">
        <v>189</v>
      </c>
      <c r="E262" s="84" t="s">
        <v>395</v>
      </c>
      <c r="F262" s="34" t="s">
        <v>112</v>
      </c>
      <c r="G262" s="34" t="s">
        <v>112</v>
      </c>
      <c r="H262" s="34" t="s">
        <v>112</v>
      </c>
      <c r="I262" s="129" t="s">
        <v>112</v>
      </c>
      <c r="J262" s="134">
        <v>0</v>
      </c>
      <c r="K262" s="133">
        <v>0</v>
      </c>
      <c r="L262" s="131" t="s">
        <v>113</v>
      </c>
      <c r="M262" s="133" t="s">
        <v>113</v>
      </c>
      <c r="N262" s="137" t="s">
        <v>112</v>
      </c>
      <c r="O262" s="34" t="s">
        <v>112</v>
      </c>
      <c r="P262" s="39"/>
    </row>
    <row r="263" spans="1:16" ht="30" x14ac:dyDescent="0.25">
      <c r="A263" s="145">
        <f t="shared" si="28"/>
        <v>260</v>
      </c>
      <c r="B263" s="122" t="s">
        <v>81</v>
      </c>
      <c r="C263" s="73" t="s">
        <v>112</v>
      </c>
      <c r="D263" s="74" t="s">
        <v>169</v>
      </c>
      <c r="E263" s="84" t="s">
        <v>396</v>
      </c>
      <c r="F263" s="34" t="s">
        <v>112</v>
      </c>
      <c r="G263" s="34" t="s">
        <v>112</v>
      </c>
      <c r="H263" s="34" t="s">
        <v>112</v>
      </c>
      <c r="I263" s="129" t="s">
        <v>112</v>
      </c>
      <c r="J263" s="134">
        <v>0</v>
      </c>
      <c r="K263" s="133">
        <v>0</v>
      </c>
      <c r="L263" s="131" t="s">
        <v>113</v>
      </c>
      <c r="M263" s="133" t="s">
        <v>113</v>
      </c>
      <c r="N263" s="137" t="s">
        <v>112</v>
      </c>
      <c r="O263" s="34" t="s">
        <v>112</v>
      </c>
      <c r="P263" s="39"/>
    </row>
    <row r="264" spans="1:16" ht="30" x14ac:dyDescent="0.25">
      <c r="A264" s="145">
        <f t="shared" si="28"/>
        <v>261</v>
      </c>
      <c r="B264" s="122" t="s">
        <v>81</v>
      </c>
      <c r="C264" s="73" t="s">
        <v>112</v>
      </c>
      <c r="D264" s="74" t="s">
        <v>114</v>
      </c>
      <c r="E264" s="84" t="s">
        <v>397</v>
      </c>
      <c r="F264" s="34" t="s">
        <v>112</v>
      </c>
      <c r="G264" s="34" t="s">
        <v>112</v>
      </c>
      <c r="H264" s="34" t="s">
        <v>112</v>
      </c>
      <c r="I264" s="129" t="s">
        <v>112</v>
      </c>
      <c r="J264" s="134">
        <v>0</v>
      </c>
      <c r="K264" s="133">
        <v>0</v>
      </c>
      <c r="L264" s="131" t="s">
        <v>113</v>
      </c>
      <c r="M264" s="133" t="s">
        <v>113</v>
      </c>
      <c r="N264" s="137" t="s">
        <v>112</v>
      </c>
      <c r="O264" s="34" t="s">
        <v>112</v>
      </c>
      <c r="P264" s="39"/>
    </row>
    <row r="265" spans="1:16" ht="30" x14ac:dyDescent="0.25">
      <c r="A265" s="145">
        <f t="shared" si="28"/>
        <v>262</v>
      </c>
      <c r="B265" s="122" t="s">
        <v>81</v>
      </c>
      <c r="C265" s="73" t="s">
        <v>112</v>
      </c>
      <c r="D265" s="74" t="s">
        <v>158</v>
      </c>
      <c r="E265" s="84" t="s">
        <v>398</v>
      </c>
      <c r="F265" s="34" t="s">
        <v>112</v>
      </c>
      <c r="G265" s="34" t="s">
        <v>112</v>
      </c>
      <c r="H265" s="34" t="s">
        <v>112</v>
      </c>
      <c r="I265" s="129" t="s">
        <v>112</v>
      </c>
      <c r="J265" s="134">
        <v>0</v>
      </c>
      <c r="K265" s="133">
        <v>0</v>
      </c>
      <c r="L265" s="131" t="s">
        <v>113</v>
      </c>
      <c r="M265" s="133" t="s">
        <v>113</v>
      </c>
      <c r="N265" s="137" t="s">
        <v>112</v>
      </c>
      <c r="O265" s="34" t="s">
        <v>112</v>
      </c>
      <c r="P265" s="39"/>
    </row>
    <row r="266" spans="1:16" ht="30" x14ac:dyDescent="0.25">
      <c r="A266" s="145">
        <f t="shared" si="28"/>
        <v>263</v>
      </c>
      <c r="B266" s="123" t="s">
        <v>82</v>
      </c>
      <c r="C266" s="73" t="s">
        <v>112</v>
      </c>
      <c r="D266" s="74" t="s">
        <v>158</v>
      </c>
      <c r="E266" s="84" t="s">
        <v>399</v>
      </c>
      <c r="F266" s="34" t="s">
        <v>112</v>
      </c>
      <c r="G266" s="34" t="s">
        <v>112</v>
      </c>
      <c r="H266" s="34" t="s">
        <v>112</v>
      </c>
      <c r="I266" s="129" t="s">
        <v>112</v>
      </c>
      <c r="J266" s="134">
        <v>0</v>
      </c>
      <c r="K266" s="133">
        <v>0</v>
      </c>
      <c r="L266" s="131" t="s">
        <v>113</v>
      </c>
      <c r="M266" s="133" t="s">
        <v>113</v>
      </c>
      <c r="N266" s="137" t="s">
        <v>112</v>
      </c>
      <c r="O266" s="34" t="s">
        <v>112</v>
      </c>
      <c r="P266" s="39"/>
    </row>
    <row r="267" spans="1:16" ht="30" x14ac:dyDescent="0.25">
      <c r="A267" s="145">
        <f t="shared" si="28"/>
        <v>264</v>
      </c>
      <c r="B267" s="123" t="s">
        <v>82</v>
      </c>
      <c r="C267" s="73" t="s">
        <v>112</v>
      </c>
      <c r="D267" s="74" t="s">
        <v>158</v>
      </c>
      <c r="E267" s="84" t="s">
        <v>400</v>
      </c>
      <c r="F267" s="34" t="s">
        <v>112</v>
      </c>
      <c r="G267" s="34" t="s">
        <v>112</v>
      </c>
      <c r="H267" s="34" t="s">
        <v>112</v>
      </c>
      <c r="I267" s="129" t="s">
        <v>112</v>
      </c>
      <c r="J267" s="134">
        <v>0</v>
      </c>
      <c r="K267" s="133">
        <v>0</v>
      </c>
      <c r="L267" s="131" t="s">
        <v>113</v>
      </c>
      <c r="M267" s="133" t="s">
        <v>113</v>
      </c>
      <c r="N267" s="137" t="s">
        <v>112</v>
      </c>
      <c r="O267" s="34" t="s">
        <v>112</v>
      </c>
      <c r="P267" s="39"/>
    </row>
    <row r="268" spans="1:16" ht="30" x14ac:dyDescent="0.25">
      <c r="A268" s="145">
        <f t="shared" si="28"/>
        <v>265</v>
      </c>
      <c r="B268" s="123" t="s">
        <v>82</v>
      </c>
      <c r="C268" s="73" t="s">
        <v>112</v>
      </c>
      <c r="D268" s="74" t="s">
        <v>169</v>
      </c>
      <c r="E268" s="74" t="s">
        <v>401</v>
      </c>
      <c r="F268" s="34" t="s">
        <v>112</v>
      </c>
      <c r="G268" s="34" t="s">
        <v>112</v>
      </c>
      <c r="H268" s="34" t="s">
        <v>112</v>
      </c>
      <c r="I268" s="129" t="s">
        <v>112</v>
      </c>
      <c r="J268" s="134">
        <v>0</v>
      </c>
      <c r="K268" s="133">
        <v>0</v>
      </c>
      <c r="L268" s="131" t="s">
        <v>113</v>
      </c>
      <c r="M268" s="133" t="s">
        <v>113</v>
      </c>
      <c r="N268" s="137" t="s">
        <v>112</v>
      </c>
      <c r="O268" s="34" t="s">
        <v>112</v>
      </c>
      <c r="P268" s="39"/>
    </row>
    <row r="269" spans="1:16" ht="30" x14ac:dyDescent="0.25">
      <c r="A269" s="145">
        <f t="shared" si="28"/>
        <v>266</v>
      </c>
      <c r="B269" s="123" t="s">
        <v>82</v>
      </c>
      <c r="C269" s="73" t="s">
        <v>112</v>
      </c>
      <c r="D269" s="74" t="s">
        <v>114</v>
      </c>
      <c r="E269" s="84" t="s">
        <v>402</v>
      </c>
      <c r="F269" s="34" t="s">
        <v>112</v>
      </c>
      <c r="G269" s="34" t="s">
        <v>112</v>
      </c>
      <c r="H269" s="34" t="s">
        <v>112</v>
      </c>
      <c r="I269" s="129" t="s">
        <v>112</v>
      </c>
      <c r="J269" s="134">
        <v>0</v>
      </c>
      <c r="K269" s="133">
        <v>0</v>
      </c>
      <c r="L269" s="131" t="s">
        <v>113</v>
      </c>
      <c r="M269" s="133" t="s">
        <v>113</v>
      </c>
      <c r="N269" s="137" t="s">
        <v>112</v>
      </c>
      <c r="O269" s="34" t="s">
        <v>112</v>
      </c>
      <c r="P269" s="39"/>
    </row>
    <row r="270" spans="1:16" ht="30" x14ac:dyDescent="0.25">
      <c r="A270" s="145">
        <f t="shared" si="28"/>
        <v>267</v>
      </c>
      <c r="B270" s="123" t="s">
        <v>82</v>
      </c>
      <c r="C270" s="73" t="s">
        <v>112</v>
      </c>
      <c r="D270" s="74" t="s">
        <v>169</v>
      </c>
      <c r="E270" s="74" t="s">
        <v>403</v>
      </c>
      <c r="F270" s="34" t="s">
        <v>112</v>
      </c>
      <c r="G270" s="34" t="s">
        <v>112</v>
      </c>
      <c r="H270" s="34" t="s">
        <v>112</v>
      </c>
      <c r="I270" s="129" t="s">
        <v>112</v>
      </c>
      <c r="J270" s="134">
        <v>0</v>
      </c>
      <c r="K270" s="133">
        <v>0</v>
      </c>
      <c r="L270" s="131" t="s">
        <v>113</v>
      </c>
      <c r="M270" s="133" t="s">
        <v>113</v>
      </c>
      <c r="N270" s="137" t="s">
        <v>112</v>
      </c>
      <c r="O270" s="34" t="s">
        <v>112</v>
      </c>
      <c r="P270" s="39"/>
    </row>
    <row r="271" spans="1:16" ht="30" x14ac:dyDescent="0.25">
      <c r="A271" s="145">
        <f t="shared" si="28"/>
        <v>268</v>
      </c>
      <c r="B271" s="123" t="s">
        <v>82</v>
      </c>
      <c r="C271" s="73" t="s">
        <v>112</v>
      </c>
      <c r="D271" s="74" t="s">
        <v>189</v>
      </c>
      <c r="E271" s="84" t="s">
        <v>404</v>
      </c>
      <c r="F271" s="34" t="s">
        <v>112</v>
      </c>
      <c r="G271" s="34" t="s">
        <v>112</v>
      </c>
      <c r="H271" s="34" t="s">
        <v>112</v>
      </c>
      <c r="I271" s="129" t="s">
        <v>112</v>
      </c>
      <c r="J271" s="134">
        <v>0</v>
      </c>
      <c r="K271" s="133">
        <v>0</v>
      </c>
      <c r="L271" s="131" t="s">
        <v>113</v>
      </c>
      <c r="M271" s="133" t="s">
        <v>113</v>
      </c>
      <c r="N271" s="137" t="s">
        <v>112</v>
      </c>
      <c r="O271" s="34" t="s">
        <v>112</v>
      </c>
      <c r="P271" s="39"/>
    </row>
    <row r="272" spans="1:16" ht="30" x14ac:dyDescent="0.25">
      <c r="A272" s="145">
        <f t="shared" si="28"/>
        <v>269</v>
      </c>
      <c r="B272" s="123" t="s">
        <v>82</v>
      </c>
      <c r="C272" s="73" t="s">
        <v>112</v>
      </c>
      <c r="D272" s="74" t="s">
        <v>154</v>
      </c>
      <c r="E272" s="84" t="s">
        <v>405</v>
      </c>
      <c r="F272" s="34" t="s">
        <v>112</v>
      </c>
      <c r="G272" s="34" t="s">
        <v>112</v>
      </c>
      <c r="H272" s="34" t="s">
        <v>112</v>
      </c>
      <c r="I272" s="129" t="s">
        <v>112</v>
      </c>
      <c r="J272" s="134">
        <v>0</v>
      </c>
      <c r="K272" s="133">
        <v>0</v>
      </c>
      <c r="L272" s="131" t="s">
        <v>113</v>
      </c>
      <c r="M272" s="133" t="s">
        <v>113</v>
      </c>
      <c r="N272" s="137" t="s">
        <v>112</v>
      </c>
      <c r="O272" s="34" t="s">
        <v>112</v>
      </c>
      <c r="P272" s="39"/>
    </row>
    <row r="273" spans="1:16" ht="30" x14ac:dyDescent="0.25">
      <c r="A273" s="145">
        <f t="shared" si="28"/>
        <v>270</v>
      </c>
      <c r="B273" s="123" t="s">
        <v>82</v>
      </c>
      <c r="C273" s="73" t="s">
        <v>112</v>
      </c>
      <c r="D273" s="74" t="s">
        <v>158</v>
      </c>
      <c r="E273" s="84" t="s">
        <v>406</v>
      </c>
      <c r="F273" s="34" t="s">
        <v>112</v>
      </c>
      <c r="G273" s="34" t="s">
        <v>112</v>
      </c>
      <c r="H273" s="34" t="s">
        <v>112</v>
      </c>
      <c r="I273" s="129" t="s">
        <v>112</v>
      </c>
      <c r="J273" s="134">
        <v>0</v>
      </c>
      <c r="K273" s="133">
        <v>0</v>
      </c>
      <c r="L273" s="131" t="s">
        <v>113</v>
      </c>
      <c r="M273" s="133" t="s">
        <v>113</v>
      </c>
      <c r="N273" s="137" t="s">
        <v>112</v>
      </c>
      <c r="O273" s="34" t="s">
        <v>112</v>
      </c>
      <c r="P273" s="39"/>
    </row>
    <row r="274" spans="1:16" ht="30" x14ac:dyDescent="0.25">
      <c r="A274" s="145">
        <f t="shared" si="28"/>
        <v>271</v>
      </c>
      <c r="B274" s="123" t="s">
        <v>82</v>
      </c>
      <c r="C274" s="73" t="s">
        <v>112</v>
      </c>
      <c r="D274" s="74" t="s">
        <v>114</v>
      </c>
      <c r="E274" s="84" t="s">
        <v>407</v>
      </c>
      <c r="F274" s="34" t="s">
        <v>112</v>
      </c>
      <c r="G274" s="34" t="s">
        <v>112</v>
      </c>
      <c r="H274" s="34" t="s">
        <v>112</v>
      </c>
      <c r="I274" s="129" t="s">
        <v>112</v>
      </c>
      <c r="J274" s="134">
        <v>0</v>
      </c>
      <c r="K274" s="133">
        <v>0</v>
      </c>
      <c r="L274" s="131" t="s">
        <v>113</v>
      </c>
      <c r="M274" s="133" t="s">
        <v>113</v>
      </c>
      <c r="N274" s="137" t="s">
        <v>112</v>
      </c>
      <c r="O274" s="34" t="s">
        <v>112</v>
      </c>
      <c r="P274" s="39"/>
    </row>
    <row r="275" spans="1:16" ht="30" x14ac:dyDescent="0.25">
      <c r="A275" s="145">
        <f t="shared" si="28"/>
        <v>272</v>
      </c>
      <c r="B275" s="123" t="s">
        <v>82</v>
      </c>
      <c r="C275" s="73" t="s">
        <v>112</v>
      </c>
      <c r="D275" s="74" t="s">
        <v>189</v>
      </c>
      <c r="E275" s="84" t="s">
        <v>408</v>
      </c>
      <c r="F275" s="34" t="s">
        <v>112</v>
      </c>
      <c r="G275" s="34" t="s">
        <v>112</v>
      </c>
      <c r="H275" s="34" t="s">
        <v>112</v>
      </c>
      <c r="I275" s="129" t="s">
        <v>112</v>
      </c>
      <c r="J275" s="134">
        <v>0</v>
      </c>
      <c r="K275" s="133">
        <v>0</v>
      </c>
      <c r="L275" s="131" t="s">
        <v>113</v>
      </c>
      <c r="M275" s="133" t="s">
        <v>113</v>
      </c>
      <c r="N275" s="137" t="s">
        <v>112</v>
      </c>
      <c r="O275" s="34" t="s">
        <v>112</v>
      </c>
      <c r="P275" s="39"/>
    </row>
    <row r="276" spans="1:16" ht="30" x14ac:dyDescent="0.25">
      <c r="A276" s="145">
        <f t="shared" si="28"/>
        <v>273</v>
      </c>
      <c r="B276" s="124" t="s">
        <v>83</v>
      </c>
      <c r="C276" s="73" t="s">
        <v>112</v>
      </c>
      <c r="D276" s="74" t="s">
        <v>169</v>
      </c>
      <c r="E276" s="84" t="s">
        <v>93</v>
      </c>
      <c r="F276" s="34" t="s">
        <v>112</v>
      </c>
      <c r="G276" s="34" t="s">
        <v>112</v>
      </c>
      <c r="H276" s="34" t="s">
        <v>112</v>
      </c>
      <c r="I276" s="129" t="s">
        <v>112</v>
      </c>
      <c r="J276" s="134">
        <v>0</v>
      </c>
      <c r="K276" s="133">
        <v>0</v>
      </c>
      <c r="L276" s="131" t="s">
        <v>113</v>
      </c>
      <c r="M276" s="133" t="s">
        <v>113</v>
      </c>
      <c r="N276" s="137" t="s">
        <v>112</v>
      </c>
      <c r="O276" s="34" t="s">
        <v>112</v>
      </c>
      <c r="P276" s="39"/>
    </row>
    <row r="277" spans="1:16" ht="30" x14ac:dyDescent="0.25">
      <c r="A277" s="145">
        <f t="shared" si="28"/>
        <v>274</v>
      </c>
      <c r="B277" s="124" t="s">
        <v>83</v>
      </c>
      <c r="C277" s="73" t="s">
        <v>112</v>
      </c>
      <c r="D277" s="74" t="s">
        <v>114</v>
      </c>
      <c r="E277" s="84" t="s">
        <v>409</v>
      </c>
      <c r="F277" s="34" t="s">
        <v>112</v>
      </c>
      <c r="G277" s="34" t="s">
        <v>112</v>
      </c>
      <c r="H277" s="34" t="s">
        <v>112</v>
      </c>
      <c r="I277" s="129" t="s">
        <v>112</v>
      </c>
      <c r="J277" s="134">
        <v>0</v>
      </c>
      <c r="K277" s="133">
        <v>0</v>
      </c>
      <c r="L277" s="131" t="s">
        <v>113</v>
      </c>
      <c r="M277" s="133" t="s">
        <v>113</v>
      </c>
      <c r="N277" s="137" t="s">
        <v>112</v>
      </c>
      <c r="O277" s="34" t="s">
        <v>112</v>
      </c>
      <c r="P277" s="39"/>
    </row>
    <row r="278" spans="1:16" ht="30.75" thickBot="1" x14ac:dyDescent="0.3">
      <c r="A278" s="145">
        <f t="shared" si="28"/>
        <v>275</v>
      </c>
      <c r="B278" s="124" t="s">
        <v>83</v>
      </c>
      <c r="C278" s="73" t="s">
        <v>112</v>
      </c>
      <c r="D278" s="74" t="s">
        <v>158</v>
      </c>
      <c r="E278" s="84" t="s">
        <v>410</v>
      </c>
      <c r="F278" s="34" t="s">
        <v>112</v>
      </c>
      <c r="G278" s="34" t="s">
        <v>112</v>
      </c>
      <c r="H278" s="34" t="s">
        <v>112</v>
      </c>
      <c r="I278" s="129" t="s">
        <v>112</v>
      </c>
      <c r="J278" s="135">
        <v>0</v>
      </c>
      <c r="K278" s="136">
        <v>0</v>
      </c>
      <c r="L278" s="147" t="s">
        <v>113</v>
      </c>
      <c r="M278" s="136" t="s">
        <v>113</v>
      </c>
      <c r="N278" s="137" t="s">
        <v>112</v>
      </c>
      <c r="O278" s="34" t="s">
        <v>112</v>
      </c>
      <c r="P278" s="39"/>
    </row>
  </sheetData>
  <sheetProtection algorithmName="SHA-512" hashValue="VY+4AXx7o2ejDbZWK/CMtIr6Uchk3xdHObt/Q2fkuubWeE6zH33vYEEM3lWy1naPpvoHU1mOWGwhiwyyr5qo5A==" saltValue="TyACyVWrUyHou3CWaaR/RQ==" spinCount="100000" sheet="1" formatCells="0" formatColumns="0" formatRows="0" sort="0" autoFilter="0" pivotTables="0"/>
  <autoFilter ref="A3:O278" xr:uid="{00000000-0009-0000-0000-000005000000}"/>
  <sortState xmlns:xlrd2="http://schemas.microsoft.com/office/spreadsheetml/2017/richdata2" ref="B4:O38">
    <sortCondition ref="B4:B38"/>
    <sortCondition ref="C4:C38"/>
    <sortCondition ref="D4:D38"/>
  </sortState>
  <dataConsolidate/>
  <mergeCells count="12">
    <mergeCell ref="Q140:Z140"/>
    <mergeCell ref="Q155:Z155"/>
    <mergeCell ref="J2:K2"/>
    <mergeCell ref="L2:M2"/>
    <mergeCell ref="Q44:Z44"/>
    <mergeCell ref="Q45:Z45"/>
    <mergeCell ref="Q46:Z46"/>
    <mergeCell ref="Q47:Z47"/>
    <mergeCell ref="Q48:Y48"/>
    <mergeCell ref="Q50:Z50"/>
    <mergeCell ref="Q125:Z127"/>
    <mergeCell ref="Q138:Z138"/>
  </mergeCells>
  <conditionalFormatting sqref="Y265:Z1048576 Y47:Z47 Y43:Z45 Y92:Z92 Y81:Z81 Y69:Z69 Y72:Z77 Y260:Z260 Y117:Z120 Y203:Z213 Y222:Z255">
    <cfRule type="expression" priority="4422">
      <formula>$A46=$AB$9</formula>
    </cfRule>
  </conditionalFormatting>
  <conditionalFormatting sqref="Z51 Z111:Z124 Z1:Z4 Z7:Z47 Z65:Z97 Z156:Z1048576">
    <cfRule type="expression" dxfId="28" priority="4433">
      <formula>A1=$AB$9</formula>
    </cfRule>
  </conditionalFormatting>
  <conditionalFormatting sqref="Z48:Z49 Y91:Z91 Y82:Z82 Y93:Z94 Y111:Z113 Y218:Z221 Y214:Z216 Y256:Z259 Y261:Z264">
    <cfRule type="expression" priority="4438">
      <formula>$A52=$AB$9</formula>
    </cfRule>
  </conditionalFormatting>
  <conditionalFormatting sqref="Y129:Z129 Y125:Z126">
    <cfRule type="expression" priority="4447">
      <formula>$A100=$AB$9</formula>
    </cfRule>
  </conditionalFormatting>
  <conditionalFormatting sqref="Y95:Z95">
    <cfRule type="expression" priority="4449">
      <formula>#REF!=$AB$9</formula>
    </cfRule>
  </conditionalFormatting>
  <conditionalFormatting sqref="Y90:Z90 Y70:Z71 Y83:Z84 Y88:Z88 Y217:Z217">
    <cfRule type="expression" priority="4450">
      <formula>$A75=$AB$9</formula>
    </cfRule>
  </conditionalFormatting>
  <conditionalFormatting sqref="Y51:Z51 Y65:Z65 Y114:Z114 Y46:Z46 Y89:Z89 Y96:Z97 Y60:Z62 Y140:Z173">
    <cfRule type="expression" priority="4454">
      <formula>#REF!=$AB$9</formula>
    </cfRule>
  </conditionalFormatting>
  <conditionalFormatting sqref="Y121:Z121 Y66:Z68">
    <cfRule type="expression" priority="4462">
      <formula>#REF!=$AB$9</formula>
    </cfRule>
  </conditionalFormatting>
  <conditionalFormatting sqref="Z48:Z49">
    <cfRule type="expression" dxfId="27" priority="4466">
      <formula>#REF!=$AB$9</formula>
    </cfRule>
  </conditionalFormatting>
  <conditionalFormatting sqref="Y78:Z78">
    <cfRule type="expression" priority="4467">
      <formula>#REF!=$AB$9</formula>
    </cfRule>
  </conditionalFormatting>
  <conditionalFormatting sqref="Y24:Z24">
    <cfRule type="expression" priority="4468">
      <formula>#REF!=$AB$9</formula>
    </cfRule>
  </conditionalFormatting>
  <conditionalFormatting sqref="Y139:Z139 Y135:Z135 Y137:Z137">
    <cfRule type="expression" priority="4478">
      <formula>$A104=$AB$9</formula>
    </cfRule>
  </conditionalFormatting>
  <conditionalFormatting sqref="Z63">
    <cfRule type="expression" dxfId="26" priority="4479">
      <formula>A109=$AB$9</formula>
    </cfRule>
  </conditionalFormatting>
  <conditionalFormatting sqref="Y79:Z80 Y122:Z122 Y202:Z202 Y115:Z116">
    <cfRule type="expression" priority="4480">
      <formula>$A81=$AB$9</formula>
    </cfRule>
  </conditionalFormatting>
  <conditionalFormatting sqref="Z125:Z128">
    <cfRule type="expression" dxfId="25" priority="4487">
      <formula>A98=$AB$9</formula>
    </cfRule>
  </conditionalFormatting>
  <conditionalFormatting sqref="Z50">
    <cfRule type="expression" dxfId="24" priority="4488">
      <formula>A110=$AB$9</formula>
    </cfRule>
  </conditionalFormatting>
  <conditionalFormatting sqref="Y174:Z192">
    <cfRule type="expression" priority="4495">
      <formula>$A202=$AB$9</formula>
    </cfRule>
  </conditionalFormatting>
  <conditionalFormatting sqref="Z138 Z136">
    <cfRule type="expression" dxfId="23" priority="4520">
      <formula>A101=$AB$9</formula>
    </cfRule>
  </conditionalFormatting>
  <conditionalFormatting sqref="Y124:Z124">
    <cfRule type="expression" priority="4542">
      <formula>$A174=$AB$9</formula>
    </cfRule>
  </conditionalFormatting>
  <conditionalFormatting sqref="Z137 Z135">
    <cfRule type="expression" dxfId="22" priority="4548">
      <formula>A101=$AB$9</formula>
    </cfRule>
  </conditionalFormatting>
  <conditionalFormatting sqref="Y7:Z11 Y31:Z32">
    <cfRule type="expression" priority="4586">
      <formula>$A51=$AB$9</formula>
    </cfRule>
  </conditionalFormatting>
  <conditionalFormatting sqref="Y35:Z36">
    <cfRule type="expression" priority="4589">
      <formula>$A56=$AB$9</formula>
    </cfRule>
  </conditionalFormatting>
  <conditionalFormatting sqref="Y29:Z30 Y37:Z38">
    <cfRule type="expression" priority="4590">
      <formula>$A58=$AB$9</formula>
    </cfRule>
  </conditionalFormatting>
  <conditionalFormatting sqref="Y27:Z37">
    <cfRule type="expression" priority="4594">
      <formula>$A49=$AB$9</formula>
    </cfRule>
  </conditionalFormatting>
  <conditionalFormatting sqref="Y31:Z38">
    <cfRule type="expression" priority="4596">
      <formula>$A61=$AB$9</formula>
    </cfRule>
  </conditionalFormatting>
  <conditionalFormatting sqref="Y1:Z4 AB5:AB6 Y5:Y6">
    <cfRule type="expression" priority="4603">
      <formula>$A43=$AB$9</formula>
    </cfRule>
  </conditionalFormatting>
  <conditionalFormatting sqref="Y38:Z38">
    <cfRule type="expression" priority="4605">
      <formula>$A61=$AB$9</formula>
    </cfRule>
  </conditionalFormatting>
  <conditionalFormatting sqref="Y35:Z36">
    <cfRule type="expression" priority="4607">
      <formula>$A66=$AB$9</formula>
    </cfRule>
  </conditionalFormatting>
  <conditionalFormatting sqref="Y27:Z28">
    <cfRule type="expression" priority="4609">
      <formula>$A85=$AB$9</formula>
    </cfRule>
  </conditionalFormatting>
  <conditionalFormatting sqref="Y12:Z16 Y63:Z63">
    <cfRule type="expression" priority="4610">
      <formula>$A61=$AB$9</formula>
    </cfRule>
  </conditionalFormatting>
  <conditionalFormatting sqref="Z139 Z134">
    <cfRule type="expression" dxfId="21" priority="4627">
      <formula>A101=$AB$9</formula>
    </cfRule>
  </conditionalFormatting>
  <conditionalFormatting sqref="Y123:Z123">
    <cfRule type="expression" priority="4628">
      <formula>$A155=$AB$9</formula>
    </cfRule>
  </conditionalFormatting>
  <conditionalFormatting sqref="Z155">
    <cfRule type="expression" dxfId="20" priority="4638">
      <formula>A105=$AB$9</formula>
    </cfRule>
  </conditionalFormatting>
  <conditionalFormatting sqref="AB5:AB6">
    <cfRule type="expression" dxfId="19" priority="1">
      <formula>C5=$AB$9</formula>
    </cfRule>
  </conditionalFormatting>
  <conditionalFormatting sqref="Y201:Z201">
    <cfRule type="expression" priority="4928">
      <formula>$A216=$AB$9</formula>
    </cfRule>
  </conditionalFormatting>
  <conditionalFormatting sqref="Y66:Z66">
    <cfRule type="expression" dxfId="18" priority="5167">
      <formula>OR($A1=$AB$9,$A1=#REF!,$A1=$AB$17, $A1=$AB$19,$A1=#REF!, $A1=$AB$22)</formula>
    </cfRule>
  </conditionalFormatting>
  <conditionalFormatting sqref="Y65:Z65">
    <cfRule type="expression" dxfId="17" priority="5168">
      <formula>OR($A2=$AB$9,$A2=#REF!,$A2=$AB$17, $A2=$AB$19,$A2=#REF!, $A2=$AB$22)</formula>
    </cfRule>
  </conditionalFormatting>
  <conditionalFormatting sqref="Y47">
    <cfRule type="expression" dxfId="16" priority="5169">
      <formula>OR(A1=$AB$9,A1=#REF!,A1=$AB$17,A1=$AB$19, A1=#REF!, A1=$AB$22)</formula>
    </cfRule>
  </conditionalFormatting>
  <conditionalFormatting sqref="Z43">
    <cfRule type="expression" dxfId="15" priority="5170">
      <formula>OR(A1=$AB$9, A1=#REF!, A1=$AB$17, A1=$AB$19, A1=#REF!, A1=$AB$22)</formula>
    </cfRule>
  </conditionalFormatting>
  <conditionalFormatting sqref="Y51:Z51 Z48:Z49 Y46:Z47">
    <cfRule type="expression" dxfId="14" priority="5171">
      <formula>OR(#REF!=$AB$9,#REF!=#REF!,#REF!=$AB$17, #REF!=$AB$19,#REF!=#REF!, #REF!=$AB$22)</formula>
    </cfRule>
  </conditionalFormatting>
  <conditionalFormatting sqref="Z153:Z154">
    <cfRule type="expression" dxfId="13" priority="5180">
      <formula>A106=$AB$9</formula>
    </cfRule>
  </conditionalFormatting>
  <conditionalFormatting sqref="Z152">
    <cfRule type="expression" dxfId="12" priority="5189">
      <formula>A106=$AB$9</formula>
    </cfRule>
  </conditionalFormatting>
  <conditionalFormatting sqref="Z151">
    <cfRule type="expression" dxfId="11" priority="5198">
      <formula>A106=$AB$9</formula>
    </cfRule>
  </conditionalFormatting>
  <conditionalFormatting sqref="Z150">
    <cfRule type="expression" dxfId="10" priority="5207">
      <formula>A106=$AB$9</formula>
    </cfRule>
  </conditionalFormatting>
  <conditionalFormatting sqref="Z145:Z147">
    <cfRule type="expression" dxfId="9" priority="5216">
      <formula>A106=$AB$9</formula>
    </cfRule>
  </conditionalFormatting>
  <conditionalFormatting sqref="Z148:Z149">
    <cfRule type="expression" dxfId="8" priority="5226">
      <formula>A107=$AB$9</formula>
    </cfRule>
  </conditionalFormatting>
  <conditionalFormatting sqref="Y200:Z200">
    <cfRule type="expression" priority="5235">
      <formula>$A217=$AB$9</formula>
    </cfRule>
  </conditionalFormatting>
  <conditionalFormatting sqref="Y199:Z199">
    <cfRule type="expression" priority="5244">
      <formula>$A217=$AB$9</formula>
    </cfRule>
  </conditionalFormatting>
  <conditionalFormatting sqref="Y197:Z198">
    <cfRule type="expression" priority="5253">
      <formula>$A217=$AB$9</formula>
    </cfRule>
  </conditionalFormatting>
  <conditionalFormatting sqref="Z140:Z144">
    <cfRule type="expression" dxfId="7" priority="5281">
      <formula>A104=$AB$9</formula>
    </cfRule>
  </conditionalFormatting>
  <conditionalFormatting sqref="Y138:Z138">
    <cfRule type="expression" priority="5289">
      <formula>$A105=$AB$9</formula>
    </cfRule>
  </conditionalFormatting>
  <conditionalFormatting sqref="Y193:Z196">
    <cfRule type="expression" priority="5295">
      <formula>$A217=$AB$9</formula>
    </cfRule>
  </conditionalFormatting>
  <conditionalFormatting sqref="Y136:Z136">
    <cfRule type="expression" priority="5303">
      <formula>$A104=$AB$9</formula>
    </cfRule>
  </conditionalFormatting>
  <conditionalFormatting sqref="Y127:Z128">
    <cfRule type="expression" priority="5304">
      <formula>$A103=$AB$9</formula>
    </cfRule>
  </conditionalFormatting>
  <conditionalFormatting sqref="Y134:Z134">
    <cfRule type="expression" priority="5312">
      <formula>$A104=$AB$9</formula>
    </cfRule>
  </conditionalFormatting>
  <conditionalFormatting sqref="Z133">
    <cfRule type="expression" dxfId="6" priority="5315">
      <formula>A101=$AB$9</formula>
    </cfRule>
  </conditionalFormatting>
  <conditionalFormatting sqref="Y133:Z133">
    <cfRule type="expression" priority="5323">
      <formula>$A104=$AB$9</formula>
    </cfRule>
  </conditionalFormatting>
  <conditionalFormatting sqref="Z132">
    <cfRule type="expression" dxfId="5" priority="5326">
      <formula>A101=$AB$9</formula>
    </cfRule>
  </conditionalFormatting>
  <conditionalFormatting sqref="Y132:Z132">
    <cfRule type="expression" priority="5338">
      <formula>$A104=$AB$9</formula>
    </cfRule>
  </conditionalFormatting>
  <conditionalFormatting sqref="Z131">
    <cfRule type="expression" dxfId="4" priority="5341">
      <formula>A101=$AB$9</formula>
    </cfRule>
  </conditionalFormatting>
  <conditionalFormatting sqref="Y131:Z131">
    <cfRule type="expression" priority="5349">
      <formula>$A104=$AB$9</formula>
    </cfRule>
  </conditionalFormatting>
  <conditionalFormatting sqref="Z130">
    <cfRule type="expression" dxfId="3" priority="5352">
      <formula>A101=$AB$9</formula>
    </cfRule>
  </conditionalFormatting>
  <conditionalFormatting sqref="Y130:Z130">
    <cfRule type="expression" priority="5360">
      <formula>$A104=$AB$9</formula>
    </cfRule>
  </conditionalFormatting>
  <conditionalFormatting sqref="Z129">
    <cfRule type="expression" dxfId="2" priority="5363">
      <formula>A101=$AB$9</formula>
    </cfRule>
  </conditionalFormatting>
  <conditionalFormatting sqref="Y33:Z34">
    <cfRule type="expression" priority="5426">
      <formula>$A68=$AB$9</formula>
    </cfRule>
  </conditionalFormatting>
  <conditionalFormatting sqref="Z60:Z62">
    <cfRule type="expression" dxfId="1" priority="5444">
      <formula>A106=$AB$9</formula>
    </cfRule>
  </conditionalFormatting>
  <conditionalFormatting sqref="Y67:Z68">
    <cfRule type="expression" dxfId="0" priority="5489">
      <formula>OR($A2=$AB$9,$A2=#REF!,$A2=$AB$17, $A2=$AB$19,$A2=#REF!, $A2=$AB$22)</formula>
    </cfRule>
  </conditionalFormatting>
  <conditionalFormatting sqref="Y31:Z32 Y39:Z40">
    <cfRule type="expression" priority="5501">
      <formula>$A77=$AB$9</formula>
    </cfRule>
  </conditionalFormatting>
  <conditionalFormatting sqref="Y39:Z41">
    <cfRule type="expression" priority="5534">
      <formula>$A66=$AB$9</formula>
    </cfRule>
  </conditionalFormatting>
  <conditionalFormatting sqref="Y22:Z23">
    <cfRule type="expression" priority="5544">
      <formula>$A79=$AB$9</formula>
    </cfRule>
  </conditionalFormatting>
  <conditionalFormatting sqref="Y39:Z41">
    <cfRule type="expression" priority="5564">
      <formula>$A73=$AB$9</formula>
    </cfRule>
  </conditionalFormatting>
  <conditionalFormatting sqref="Y39:Z41">
    <cfRule type="expression" priority="5565">
      <formula>$A79=$AB$9</formula>
    </cfRule>
  </conditionalFormatting>
  <conditionalFormatting sqref="Y42:Z42">
    <cfRule type="expression" priority="5573">
      <formula>$A88=$AB$9</formula>
    </cfRule>
  </conditionalFormatting>
  <conditionalFormatting sqref="Y42:Z42">
    <cfRule type="expression" priority="5638">
      <formula>$A68=$AB$9</formula>
    </cfRule>
  </conditionalFormatting>
  <conditionalFormatting sqref="Y25:Z26">
    <cfRule type="expression" priority="5639">
      <formula>$A81=$AB$9</formula>
    </cfRule>
  </conditionalFormatting>
  <conditionalFormatting sqref="Y50:Z50">
    <cfRule type="expression" priority="5640">
      <formula>$A114=$AB$9</formula>
    </cfRule>
  </conditionalFormatting>
  <conditionalFormatting sqref="Y42:Z42">
    <cfRule type="expression" priority="5641">
      <formula>$A75=$AB$9</formula>
    </cfRule>
  </conditionalFormatting>
  <conditionalFormatting sqref="Y42:Z42">
    <cfRule type="expression" priority="5642">
      <formula>$A81=$AB$9</formula>
    </cfRule>
  </conditionalFormatting>
  <conditionalFormatting sqref="Y17:Z21">
    <cfRule type="expression" priority="5643">
      <formula>$A70=$AB$9</formula>
    </cfRule>
  </conditionalFormatting>
  <conditionalFormatting sqref="Y85:Z87">
    <cfRule type="expression" priority="5657">
      <formula>$A91=$AB$9</formula>
    </cfRule>
  </conditionalFormatting>
  <conditionalFormatting sqref="Y29:Z38">
    <cfRule type="expression" priority="5662">
      <formula>$A88=$AB$9</formula>
    </cfRule>
  </conditionalFormatting>
  <conditionalFormatting sqref="Y41:Z41">
    <cfRule type="expression" priority="5667">
      <formula>$A88=$AB$9</formula>
    </cfRule>
  </conditionalFormatting>
  <hyperlinks>
    <hyperlink ref="Q46" r:id="rId1" xr:uid="{00000000-0004-0000-0500-000000000000}"/>
  </hyperlinks>
  <pageMargins left="0.7" right="0.7" top="0.75" bottom="0.75" header="0.3" footer="0.3"/>
  <pageSetup scale="27"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7841806FBF6548AAF6655D25087CF4" ma:contentTypeVersion="6" ma:contentTypeDescription="Create a new document." ma:contentTypeScope="" ma:versionID="6e5dee25ead112dafde2ad16e1f2691b">
  <xsd:schema xmlns:xsd="http://www.w3.org/2001/XMLSchema" xmlns:xs="http://www.w3.org/2001/XMLSchema" xmlns:p="http://schemas.microsoft.com/office/2006/metadata/properties" xmlns:ns2="015fe376-55b6-46ec-ba2b-102320879b19" xmlns:ns3="cbddf734-021f-4629-a1ca-360fa2de26cd" targetNamespace="http://schemas.microsoft.com/office/2006/metadata/properties" ma:root="true" ma:fieldsID="9c3dba584972565e187d2562ed012204" ns2:_="" ns3:_="">
    <xsd:import namespace="015fe376-55b6-46ec-ba2b-102320879b19"/>
    <xsd:import namespace="cbddf734-021f-4629-a1ca-360fa2de26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fe376-55b6-46ec-ba2b-102320879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ddf734-021f-4629-a1ca-360fa2de26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EA83E-63CC-4DB4-A61B-F7751C283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fe376-55b6-46ec-ba2b-102320879b19"/>
    <ds:schemaRef ds:uri="cbddf734-021f-4629-a1ca-360fa2de2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9FCF9A-26F7-4BA0-ACE8-63D4EB2665F4}">
  <ds:schemaRefs>
    <ds:schemaRef ds:uri="55894003-98dc-4f3e-8669-85b90bdbcc8c"/>
    <ds:schemaRef ds:uri="http://purl.org/dc/elements/1.1/"/>
    <ds:schemaRef ds:uri="http://schemas.microsoft.com/office/2006/metadata/properties"/>
    <ds:schemaRef ds:uri="http://purl.org/dc/terms/"/>
    <ds:schemaRef ds:uri="d0706217-df7c-4bf4-936d-b09aa3b837af"/>
    <ds:schemaRef ds:uri="http://schemas.microsoft.com/office/2006/documentManagement/types"/>
    <ds:schemaRef ds:uri="http://schemas.microsoft.com/office/infopath/2007/PartnerControls"/>
    <ds:schemaRef ds:uri="http://schemas.openxmlformats.org/package/2006/metadata/core-properties"/>
    <ds:schemaRef ds:uri="5c2490db-6e42-4989-a0fb-d6ff54a6a7de"/>
    <ds:schemaRef ds:uri="http://www.w3.org/XML/1998/namespace"/>
    <ds:schemaRef ds:uri="http://purl.org/dc/dcmitype/"/>
  </ds:schemaRefs>
</ds:datastoreItem>
</file>

<file path=customXml/itemProps3.xml><?xml version="1.0" encoding="utf-8"?>
<ds:datastoreItem xmlns:ds="http://schemas.openxmlformats.org/officeDocument/2006/customXml" ds:itemID="{FD1DEB82-FB4B-4409-B551-4B169D376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Portada e instrucciones</vt:lpstr>
      <vt:lpstr>Resumen de opciones de CCE</vt:lpstr>
      <vt:lpstr>Opción A Selección de modelo de</vt:lpstr>
      <vt:lpstr>Opción B Selección de modelo de</vt:lpstr>
      <vt:lpstr>Opción C Selección modelo CCE</vt:lpstr>
      <vt:lpstr>Lista precios mod CCE especif.</vt:lpstr>
      <vt:lpstr>_1.Cámarasdefrío</vt:lpstr>
      <vt:lpstr>_10.CongeladorSDDsinconexióndered</vt:lpstr>
      <vt:lpstr>_11.Registradordetemperatura_30DTR</vt:lpstr>
      <vt:lpstr>_12.Dispositivodemonitoreoremotodetemperatura_RTMD</vt:lpstr>
      <vt:lpstr>_13.Portavacunasestándar</vt:lpstr>
      <vt:lpstr>_14.Portavacunasconcontroldecongelamiento</vt:lpstr>
      <vt:lpstr>_15.Cajasfrigoríficasestándarparavacunas</vt:lpstr>
      <vt:lpstr>_16.Cajasfrigoríficasconcontroldecongelamiento</vt:lpstr>
      <vt:lpstr>_17.Reguladoresdevoltajeparaequipos</vt:lpstr>
      <vt:lpstr>_18.Bolsasdehielo</vt:lpstr>
      <vt:lpstr>_19.PiezasparanuevosequiposILRsincongelador</vt:lpstr>
      <vt:lpstr>_2.Cámarasdefríoconcongelador</vt:lpstr>
      <vt:lpstr>_20.PiezasparanuevosequiposILRconcongelador</vt:lpstr>
      <vt:lpstr>_21.Piezasparanuevoscongeladores</vt:lpstr>
      <vt:lpstr>_22.PiezasparanuevosequiposSDDsincongelador</vt:lpstr>
      <vt:lpstr>_23.PiezasparanuevosequiposSDDconcongelador</vt:lpstr>
      <vt:lpstr>_24.PiezasparanuevoscongeladoresSDD</vt:lpstr>
      <vt:lpstr>_3.Arrendamientoacortoplazodecámarasdefrío</vt:lpstr>
      <vt:lpstr>_4.Arrendamientodecámarasdefríoocámaracongeladora</vt:lpstr>
      <vt:lpstr>_5.ILRconconexiónderedsincongelador</vt:lpstr>
      <vt:lpstr>_6.ILRconconexiónderedycongelador</vt:lpstr>
      <vt:lpstr>_7.Congeladoresconconexióndered</vt:lpstr>
      <vt:lpstr>_8.RefrigeradoresSDDsinconexiónderedsincongelador</vt:lpstr>
      <vt:lpstr>_9.RefrigeradoresSDDsinconexiónderedconcongelador</vt:lpstr>
      <vt:lpstr>equipmentwithnoservicecost</vt:lpstr>
      <vt:lpstr>typeofequipment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CHAI</cp:lastModifiedBy>
  <cp:revision/>
  <dcterms:created xsi:type="dcterms:W3CDTF">2017-03-23T13:52:16Z</dcterms:created>
  <dcterms:modified xsi:type="dcterms:W3CDTF">2021-02-11T15:33:58Z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0x010100307841806FBF6548AAF6655D25087CF4</vt:lpwstr>
  </property>
  <property fmtid="{D5CDD505-2E9C-101B-9397-08002B2CF9AE}" pid="10" name="TaxKeyword">
    <vt:lpwstr/>
  </property>
  <property fmtid="{D5CDD505-2E9C-101B-9397-08002B2CF9AE}" pid="11" name="TaxKeywordTaxHTField">
    <vt:lpwstr/>
  </property>
  <property fmtid="{D5CDD505-2E9C-101B-9397-08002B2CF9AE}" pid="12" name="_dlc_DocIdItemGuid">
    <vt:lpwstr>ff5d8d50-e719-4dad-ac67-2ba7b49f9de4</vt:lpwstr>
  </property>
</Properties>
</file>