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vinet.sharepoint.com/teams/fop/fin/Documents/Finance/FPA/Donor Forecasting/Web updates/2023/H1 2023/Sent to RM/"/>
    </mc:Choice>
  </mc:AlternateContent>
  <xr:revisionPtr revIDLastSave="13" documentId="8_{5AF9E7C6-AF7A-4D08-B68A-05E311D4CC96}" xr6:coauthVersionLast="47" xr6:coauthVersionMax="47" xr10:uidLastSave="{1AB7030E-2D68-475A-9B28-6C8FCBAE4A5A}"/>
  <bookViews>
    <workbookView xWindow="-120" yWindow="-120" windowWidth="29040" windowHeight="15840" xr2:uid="{00000000-000D-0000-FFFF-FFFF00000000}"/>
  </bookViews>
  <sheets>
    <sheet name="2000-2023 Cash Receipts" sheetId="5" r:id="rId1"/>
  </sheets>
  <definedNames>
    <definedName name="_xlnm.Print_Area" localSheetId="0">'2000-2023 Cash Receipts'!$A$1:$AI$188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7" i="5" l="1"/>
  <c r="Q127" i="5"/>
  <c r="P127" i="5"/>
  <c r="M127" i="5"/>
  <c r="L127" i="5"/>
  <c r="K127" i="5"/>
  <c r="J127" i="5"/>
  <c r="I127" i="5"/>
  <c r="H127" i="5"/>
  <c r="G127" i="5"/>
  <c r="F127" i="5"/>
  <c r="E127" i="5"/>
  <c r="D127" i="5"/>
  <c r="C127" i="5"/>
  <c r="AO78" i="5" l="1"/>
  <c r="AG78" i="5"/>
  <c r="AB78" i="5"/>
  <c r="U78" i="5"/>
  <c r="AI78" i="5" s="1"/>
  <c r="AQ78" i="5" s="1"/>
  <c r="N78" i="5"/>
  <c r="AL75" i="5" l="1"/>
  <c r="AO75" i="5" s="1"/>
  <c r="AG75" i="5"/>
  <c r="AB75" i="5"/>
  <c r="U75" i="5"/>
  <c r="N75" i="5"/>
  <c r="AM126" i="5"/>
  <c r="AI75" i="5" l="1"/>
  <c r="AQ75" i="5" s="1"/>
  <c r="AL126" i="5"/>
  <c r="AM155" i="5" l="1"/>
  <c r="AO150" i="5"/>
  <c r="AE89" i="5"/>
  <c r="AE126" i="5"/>
  <c r="AF126" i="5"/>
  <c r="AF89" i="5"/>
  <c r="AN89" i="5"/>
  <c r="AK126" i="5"/>
  <c r="AK127" i="5" s="1"/>
  <c r="AN126" i="5"/>
  <c r="AN29" i="5"/>
  <c r="AN143" i="5"/>
  <c r="AO143" i="5" s="1"/>
  <c r="AN121" i="5"/>
  <c r="AN12" i="5"/>
  <c r="AF125" i="5"/>
  <c r="AF123" i="5"/>
  <c r="AO100" i="5"/>
  <c r="AG100" i="5"/>
  <c r="AB100" i="5"/>
  <c r="U100" i="5"/>
  <c r="N100" i="5"/>
  <c r="AF95" i="5"/>
  <c r="AF60" i="5"/>
  <c r="AO52" i="5"/>
  <c r="AG52" i="5"/>
  <c r="AB52" i="5"/>
  <c r="U52" i="5"/>
  <c r="N52" i="5"/>
  <c r="AF7" i="5"/>
  <c r="AM161" i="5"/>
  <c r="AM151" i="5"/>
  <c r="AM141" i="5"/>
  <c r="AM138" i="5"/>
  <c r="AM147" i="5" s="1"/>
  <c r="AM124" i="5"/>
  <c r="AM89" i="5"/>
  <c r="AM127" i="5" s="1"/>
  <c r="AM55" i="5"/>
  <c r="AM49" i="5"/>
  <c r="AM39" i="5"/>
  <c r="AM32" i="5"/>
  <c r="AM31" i="5"/>
  <c r="AM29" i="5"/>
  <c r="AM25" i="5"/>
  <c r="AM21" i="5"/>
  <c r="AM20" i="5"/>
  <c r="AM15" i="5"/>
  <c r="AM12" i="5"/>
  <c r="AE131" i="5"/>
  <c r="AE119" i="5"/>
  <c r="AE95" i="5"/>
  <c r="AE72" i="5"/>
  <c r="AE61" i="5"/>
  <c r="AE59" i="5"/>
  <c r="AE57" i="5"/>
  <c r="AE49" i="5"/>
  <c r="AE42" i="5"/>
  <c r="AE39" i="5"/>
  <c r="AE29" i="5"/>
  <c r="AE23" i="5"/>
  <c r="AL40" i="5"/>
  <c r="AF127" i="5" l="1"/>
  <c r="AE127" i="5"/>
  <c r="AN127" i="5"/>
  <c r="AM157" i="5"/>
  <c r="AE63" i="5"/>
  <c r="AI100" i="5"/>
  <c r="AQ100" i="5" s="1"/>
  <c r="AI52" i="5"/>
  <c r="AQ52" i="5" s="1"/>
  <c r="AM63" i="5"/>
  <c r="AM129" i="5" s="1"/>
  <c r="AM134" i="5" s="1"/>
  <c r="AL25" i="5"/>
  <c r="AE129" i="5" l="1"/>
  <c r="AE134" i="5" s="1"/>
  <c r="AL42" i="5"/>
  <c r="AK42" i="5"/>
  <c r="AL20" i="5"/>
  <c r="AO44" i="5" l="1"/>
  <c r="AG44" i="5"/>
  <c r="AB44" i="5"/>
  <c r="U44" i="5"/>
  <c r="N44" i="5"/>
  <c r="AO11" i="5"/>
  <c r="AG11" i="5"/>
  <c r="AB11" i="5"/>
  <c r="U11" i="5"/>
  <c r="N11" i="5"/>
  <c r="AO123" i="5"/>
  <c r="AG123" i="5"/>
  <c r="AB123" i="5"/>
  <c r="U123" i="5"/>
  <c r="N123" i="5"/>
  <c r="AI11" i="5" l="1"/>
  <c r="AQ11" i="5" s="1"/>
  <c r="AI44" i="5"/>
  <c r="AQ44" i="5" s="1"/>
  <c r="AI123" i="5"/>
  <c r="AQ123" i="5" s="1"/>
  <c r="AO153" i="5"/>
  <c r="AO139" i="5"/>
  <c r="AO82" i="5"/>
  <c r="AG82" i="5"/>
  <c r="AB82" i="5"/>
  <c r="U82" i="5"/>
  <c r="N82" i="5"/>
  <c r="AO124" i="5"/>
  <c r="AG124" i="5"/>
  <c r="AB124" i="5"/>
  <c r="U124" i="5"/>
  <c r="N124" i="5"/>
  <c r="AI124" i="5" l="1"/>
  <c r="AQ124" i="5" s="1"/>
  <c r="AI82" i="5"/>
  <c r="AQ82" i="5" s="1"/>
  <c r="AG59" i="5" l="1"/>
  <c r="AO70" i="5"/>
  <c r="AG70" i="5"/>
  <c r="AB70" i="5"/>
  <c r="U70" i="5"/>
  <c r="N70" i="5"/>
  <c r="AO59" i="5"/>
  <c r="AB59" i="5"/>
  <c r="U59" i="5"/>
  <c r="N59" i="5"/>
  <c r="AO56" i="5"/>
  <c r="AG56" i="5"/>
  <c r="AB56" i="5"/>
  <c r="U56" i="5"/>
  <c r="N56" i="5"/>
  <c r="AO80" i="5"/>
  <c r="AG80" i="5"/>
  <c r="AB80" i="5"/>
  <c r="U80" i="5"/>
  <c r="N80" i="5"/>
  <c r="AI70" i="5" l="1"/>
  <c r="AQ70" i="5" s="1"/>
  <c r="AI80" i="5"/>
  <c r="AQ80" i="5" s="1"/>
  <c r="AI59" i="5"/>
  <c r="AQ59" i="5" s="1"/>
  <c r="AI56" i="5"/>
  <c r="AQ56" i="5" s="1"/>
  <c r="AO142" i="5" l="1"/>
  <c r="AO151" i="5"/>
  <c r="AK157" i="5"/>
  <c r="AN147" i="5"/>
  <c r="AK147" i="5"/>
  <c r="AL147" i="5"/>
  <c r="AO149" i="5"/>
  <c r="AO137" i="5"/>
  <c r="AN157" i="5" l="1"/>
  <c r="AO92" i="5"/>
  <c r="AG92" i="5"/>
  <c r="AB92" i="5"/>
  <c r="U92" i="5"/>
  <c r="N92" i="5"/>
  <c r="AO87" i="5"/>
  <c r="AG87" i="5"/>
  <c r="AB87" i="5"/>
  <c r="U87" i="5"/>
  <c r="N87" i="5"/>
  <c r="AI87" i="5" l="1"/>
  <c r="AQ87" i="5" s="1"/>
  <c r="AI92" i="5"/>
  <c r="AQ92" i="5" s="1"/>
  <c r="AO55" i="5" l="1"/>
  <c r="AO160" i="5"/>
  <c r="AO159" i="5"/>
  <c r="AO156" i="5"/>
  <c r="AO154" i="5"/>
  <c r="AO152" i="5"/>
  <c r="AO146" i="5"/>
  <c r="AO145" i="5"/>
  <c r="AO144" i="5"/>
  <c r="AO141" i="5"/>
  <c r="AO140" i="5"/>
  <c r="AO138" i="5"/>
  <c r="AO126" i="5"/>
  <c r="AO125" i="5"/>
  <c r="AO122" i="5"/>
  <c r="AO120" i="5"/>
  <c r="AO119" i="5"/>
  <c r="AO118" i="5"/>
  <c r="AO117" i="5"/>
  <c r="AO116" i="5"/>
  <c r="AO115" i="5"/>
  <c r="AO114" i="5"/>
  <c r="AO113" i="5"/>
  <c r="AO112" i="5"/>
  <c r="AO111" i="5"/>
  <c r="AO110" i="5"/>
  <c r="AO109" i="5"/>
  <c r="AO108" i="5"/>
  <c r="AO106" i="5"/>
  <c r="AO105" i="5"/>
  <c r="AO104" i="5"/>
  <c r="AO102" i="5"/>
  <c r="AO101" i="5"/>
  <c r="AO99" i="5"/>
  <c r="AO98" i="5"/>
  <c r="AO97" i="5"/>
  <c r="AO95" i="5"/>
  <c r="AO94" i="5"/>
  <c r="AO91" i="5"/>
  <c r="AO90" i="5"/>
  <c r="AO93" i="5"/>
  <c r="AO88" i="5"/>
  <c r="AO86" i="5"/>
  <c r="AO85" i="5"/>
  <c r="AO84" i="5"/>
  <c r="AO83" i="5"/>
  <c r="AO81" i="5"/>
  <c r="AO79" i="5"/>
  <c r="AO77" i="5"/>
  <c r="AO74" i="5"/>
  <c r="AO73" i="5"/>
  <c r="AO68" i="5"/>
  <c r="AO66" i="5"/>
  <c r="AO69" i="5"/>
  <c r="AO67" i="5"/>
  <c r="AO65" i="5"/>
  <c r="AO62" i="5"/>
  <c r="AO60" i="5"/>
  <c r="AO58" i="5"/>
  <c r="AO57" i="5"/>
  <c r="AO54" i="5"/>
  <c r="AO53" i="5"/>
  <c r="AO50" i="5"/>
  <c r="AO46" i="5"/>
  <c r="AO43" i="5"/>
  <c r="AO41" i="5"/>
  <c r="AO40" i="5"/>
  <c r="AO37" i="5"/>
  <c r="AO36" i="5"/>
  <c r="AO35" i="5"/>
  <c r="AO34" i="5"/>
  <c r="AO33" i="5"/>
  <c r="AO26" i="5"/>
  <c r="AO24" i="5"/>
  <c r="AO23" i="5"/>
  <c r="AO20" i="5"/>
  <c r="AO19" i="5"/>
  <c r="AO17" i="5"/>
  <c r="AO16" i="5"/>
  <c r="AO15" i="5"/>
  <c r="AO13" i="5"/>
  <c r="AO12" i="5"/>
  <c r="AO10" i="5"/>
  <c r="AO9" i="5"/>
  <c r="AN161" i="5"/>
  <c r="AG132" i="5"/>
  <c r="AG126" i="5"/>
  <c r="AG125" i="5"/>
  <c r="AG122" i="5"/>
  <c r="AG121" i="5"/>
  <c r="AG120" i="5"/>
  <c r="AG119" i="5"/>
  <c r="AG118" i="5"/>
  <c r="AG117" i="5"/>
  <c r="AG116" i="5"/>
  <c r="AG115" i="5"/>
  <c r="AG114" i="5"/>
  <c r="AG113" i="5"/>
  <c r="AG112" i="5"/>
  <c r="AG111" i="5"/>
  <c r="AG110" i="5"/>
  <c r="AG109" i="5"/>
  <c r="AG108" i="5"/>
  <c r="AG107" i="5"/>
  <c r="AG106" i="5"/>
  <c r="AG105" i="5"/>
  <c r="AG104" i="5"/>
  <c r="AG103" i="5"/>
  <c r="AG102" i="5"/>
  <c r="AG101" i="5"/>
  <c r="AG99" i="5"/>
  <c r="AG98" i="5"/>
  <c r="AG97" i="5"/>
  <c r="AG96" i="5"/>
  <c r="AG94" i="5"/>
  <c r="AG91" i="5"/>
  <c r="AG90" i="5"/>
  <c r="AG89" i="5"/>
  <c r="AG93" i="5"/>
  <c r="AG88" i="5"/>
  <c r="AG86" i="5"/>
  <c r="AG85" i="5"/>
  <c r="AG84" i="5"/>
  <c r="AG83" i="5"/>
  <c r="AG81" i="5"/>
  <c r="AG79" i="5"/>
  <c r="AG77" i="5"/>
  <c r="AG76" i="5"/>
  <c r="AG74" i="5"/>
  <c r="AG73" i="5"/>
  <c r="AG71" i="5"/>
  <c r="AG68" i="5"/>
  <c r="AG66" i="5"/>
  <c r="AG69" i="5"/>
  <c r="AG67" i="5"/>
  <c r="AG65" i="5"/>
  <c r="AG62" i="5"/>
  <c r="AG58" i="5"/>
  <c r="AG55" i="5"/>
  <c r="AG54" i="5"/>
  <c r="AG53" i="5"/>
  <c r="AG51" i="5"/>
  <c r="AG50" i="5"/>
  <c r="AG49" i="5"/>
  <c r="AG48" i="5"/>
  <c r="AG47" i="5"/>
  <c r="AG46" i="5"/>
  <c r="AG45" i="5"/>
  <c r="AG43" i="5"/>
  <c r="AG41" i="5"/>
  <c r="AG40" i="5"/>
  <c r="AG39" i="5"/>
  <c r="AG38" i="5"/>
  <c r="AG37" i="5"/>
  <c r="AG36" i="5"/>
  <c r="AG35" i="5"/>
  <c r="AG34" i="5"/>
  <c r="AG33" i="5"/>
  <c r="AG32" i="5"/>
  <c r="AG31" i="5"/>
  <c r="AG30" i="5"/>
  <c r="AG29" i="5"/>
  <c r="AG28" i="5"/>
  <c r="AG27" i="5"/>
  <c r="AG25" i="5"/>
  <c r="AG24" i="5"/>
  <c r="AG22" i="5"/>
  <c r="AG21" i="5"/>
  <c r="AG19" i="5"/>
  <c r="AG18" i="5"/>
  <c r="AG17" i="5"/>
  <c r="AG16" i="5"/>
  <c r="AG15" i="5"/>
  <c r="AG14" i="5"/>
  <c r="AG13" i="5"/>
  <c r="AG12" i="5"/>
  <c r="AG10" i="5"/>
  <c r="AG9" i="5"/>
  <c r="AG8" i="5"/>
  <c r="AG7" i="5"/>
  <c r="AF63" i="5"/>
  <c r="AL155" i="5"/>
  <c r="AO147" i="5" l="1"/>
  <c r="AO155" i="5"/>
  <c r="AO157" i="5" s="1"/>
  <c r="AL157" i="5"/>
  <c r="AN63" i="5"/>
  <c r="AN129" i="5" s="1"/>
  <c r="AO21" i="5"/>
  <c r="AF129" i="5"/>
  <c r="AF134" i="5" s="1"/>
  <c r="AN134" i="5" l="1"/>
  <c r="AD72" i="5"/>
  <c r="AL14" i="5"/>
  <c r="AO14" i="5" s="1"/>
  <c r="AL29" i="5"/>
  <c r="AL161" i="5"/>
  <c r="AK161" i="5"/>
  <c r="AB125" i="5"/>
  <c r="U125" i="5"/>
  <c r="N125" i="5"/>
  <c r="AL121" i="5"/>
  <c r="AO121" i="5" s="1"/>
  <c r="AB117" i="5"/>
  <c r="U117" i="5"/>
  <c r="N117" i="5"/>
  <c r="AB118" i="5"/>
  <c r="U118" i="5"/>
  <c r="N118" i="5"/>
  <c r="AL89" i="5"/>
  <c r="AO89" i="5" s="1"/>
  <c r="AB113" i="5"/>
  <c r="U113" i="5"/>
  <c r="N113" i="5"/>
  <c r="AB83" i="5"/>
  <c r="U83" i="5"/>
  <c r="N83" i="5"/>
  <c r="AB109" i="5"/>
  <c r="U109" i="5"/>
  <c r="N109" i="5"/>
  <c r="AB111" i="5"/>
  <c r="U111" i="5"/>
  <c r="N111" i="5"/>
  <c r="AL107" i="5"/>
  <c r="AO107" i="5" s="1"/>
  <c r="AB106" i="5"/>
  <c r="U106" i="5"/>
  <c r="N106" i="5"/>
  <c r="AB102" i="5"/>
  <c r="U102" i="5"/>
  <c r="N102" i="5"/>
  <c r="AO96" i="5"/>
  <c r="AB88" i="5"/>
  <c r="U88" i="5"/>
  <c r="N88" i="5"/>
  <c r="AB86" i="5"/>
  <c r="U86" i="5"/>
  <c r="N86" i="5"/>
  <c r="AB85" i="5"/>
  <c r="U85" i="5"/>
  <c r="N85" i="5"/>
  <c r="AB93" i="5"/>
  <c r="U93" i="5"/>
  <c r="N93" i="5"/>
  <c r="AB77" i="5"/>
  <c r="U77" i="5"/>
  <c r="N77" i="5"/>
  <c r="AB81" i="5"/>
  <c r="U81" i="5"/>
  <c r="N81" i="5"/>
  <c r="AL76" i="5"/>
  <c r="AO76" i="5" s="1"/>
  <c r="AB76" i="5"/>
  <c r="U76" i="5"/>
  <c r="N76" i="5"/>
  <c r="AB74" i="5"/>
  <c r="U74" i="5"/>
  <c r="N74" i="5"/>
  <c r="AB73" i="5"/>
  <c r="U73" i="5"/>
  <c r="N73" i="5"/>
  <c r="AB79" i="5"/>
  <c r="U79" i="5"/>
  <c r="N79" i="5"/>
  <c r="AL72" i="5"/>
  <c r="AO72" i="5" s="1"/>
  <c r="AB67" i="5"/>
  <c r="U67" i="5"/>
  <c r="N67" i="5"/>
  <c r="AG72" i="5" l="1"/>
  <c r="AI102" i="5"/>
  <c r="AQ102" i="5" s="1"/>
  <c r="AI111" i="5"/>
  <c r="AQ111" i="5" s="1"/>
  <c r="AI73" i="5"/>
  <c r="AQ73" i="5" s="1"/>
  <c r="AI88" i="5"/>
  <c r="AQ88" i="5" s="1"/>
  <c r="AI106" i="5"/>
  <c r="AQ106" i="5" s="1"/>
  <c r="AI83" i="5"/>
  <c r="AQ83" i="5" s="1"/>
  <c r="AI67" i="5"/>
  <c r="AQ67" i="5" s="1"/>
  <c r="AI77" i="5"/>
  <c r="AQ77" i="5" s="1"/>
  <c r="AI125" i="5"/>
  <c r="AQ125" i="5" s="1"/>
  <c r="AI109" i="5"/>
  <c r="AQ109" i="5" s="1"/>
  <c r="AI113" i="5"/>
  <c r="AQ113" i="5" s="1"/>
  <c r="AI85" i="5"/>
  <c r="AQ85" i="5" s="1"/>
  <c r="AI74" i="5"/>
  <c r="AQ74" i="5" s="1"/>
  <c r="AI117" i="5"/>
  <c r="AQ117" i="5" s="1"/>
  <c r="AI118" i="5"/>
  <c r="AQ118" i="5" s="1"/>
  <c r="AI76" i="5"/>
  <c r="AQ76" i="5" s="1"/>
  <c r="AI79" i="5"/>
  <c r="AQ79" i="5" s="1"/>
  <c r="AI81" i="5"/>
  <c r="AQ81" i="5" s="1"/>
  <c r="AI93" i="5"/>
  <c r="AQ93" i="5" s="1"/>
  <c r="AI86" i="5"/>
  <c r="AQ86" i="5" s="1"/>
  <c r="AO161" i="5"/>
  <c r="AB69" i="5" l="1"/>
  <c r="U69" i="5"/>
  <c r="N69" i="5"/>
  <c r="AB65" i="5"/>
  <c r="U65" i="5"/>
  <c r="N65" i="5"/>
  <c r="AL61" i="5"/>
  <c r="AO61" i="5" s="1"/>
  <c r="AD61" i="5"/>
  <c r="AG61" i="5" s="1"/>
  <c r="AB61" i="5"/>
  <c r="U61" i="5"/>
  <c r="N61" i="5"/>
  <c r="AB54" i="5"/>
  <c r="U54" i="5"/>
  <c r="N54" i="5"/>
  <c r="AB110" i="5"/>
  <c r="U110" i="5"/>
  <c r="N110" i="5"/>
  <c r="AL51" i="5"/>
  <c r="AO51" i="5" s="1"/>
  <c r="AL47" i="5"/>
  <c r="AO47" i="5" s="1"/>
  <c r="AL45" i="5"/>
  <c r="AO45" i="5" s="1"/>
  <c r="AO42" i="5"/>
  <c r="AL39" i="5"/>
  <c r="AO39" i="5" s="1"/>
  <c r="AB36" i="5"/>
  <c r="U36" i="5"/>
  <c r="N36" i="5"/>
  <c r="AB37" i="5"/>
  <c r="U37" i="5"/>
  <c r="N37" i="5"/>
  <c r="AB33" i="5"/>
  <c r="U33" i="5"/>
  <c r="N33" i="5"/>
  <c r="AA35" i="5"/>
  <c r="AB34" i="5"/>
  <c r="U34" i="5"/>
  <c r="N34" i="5"/>
  <c r="AL32" i="5"/>
  <c r="AO32" i="5" s="1"/>
  <c r="AL31" i="5"/>
  <c r="AO31" i="5" s="1"/>
  <c r="AL30" i="5"/>
  <c r="AO30" i="5" s="1"/>
  <c r="AL49" i="5"/>
  <c r="AO49" i="5" s="1"/>
  <c r="AL28" i="5"/>
  <c r="AO28" i="5" s="1"/>
  <c r="AL27" i="5"/>
  <c r="AO27" i="5" s="1"/>
  <c r="AL22" i="5"/>
  <c r="AO22" i="5" s="1"/>
  <c r="AB17" i="5"/>
  <c r="U17" i="5"/>
  <c r="N17" i="5"/>
  <c r="AB9" i="5"/>
  <c r="U9" i="5"/>
  <c r="N9" i="5"/>
  <c r="AL8" i="5"/>
  <c r="AO8" i="5" s="1"/>
  <c r="AD95" i="5"/>
  <c r="AD60" i="5"/>
  <c r="AG60" i="5" s="1"/>
  <c r="AD57" i="5"/>
  <c r="AG57" i="5" s="1"/>
  <c r="AB50" i="5"/>
  <c r="U50" i="5"/>
  <c r="N50" i="5"/>
  <c r="AG95" i="5" l="1"/>
  <c r="AG127" i="5" s="1"/>
  <c r="AD127" i="5"/>
  <c r="AI34" i="5"/>
  <c r="AQ34" i="5" s="1"/>
  <c r="AI65" i="5"/>
  <c r="AI9" i="5"/>
  <c r="AQ9" i="5" s="1"/>
  <c r="AI37" i="5"/>
  <c r="AQ37" i="5" s="1"/>
  <c r="AI50" i="5"/>
  <c r="AQ50" i="5" s="1"/>
  <c r="AI54" i="5"/>
  <c r="AQ54" i="5" s="1"/>
  <c r="AI36" i="5"/>
  <c r="AQ36" i="5" s="1"/>
  <c r="AI110" i="5"/>
  <c r="AQ110" i="5" s="1"/>
  <c r="AI61" i="5"/>
  <c r="AQ61" i="5" s="1"/>
  <c r="AI17" i="5"/>
  <c r="AQ17" i="5" s="1"/>
  <c r="AI33" i="5"/>
  <c r="AQ33" i="5" s="1"/>
  <c r="AI69" i="5"/>
  <c r="AQ69" i="5" s="1"/>
  <c r="AQ65" i="5" l="1"/>
  <c r="AD42" i="5"/>
  <c r="AG42" i="5" s="1"/>
  <c r="AD26" i="5"/>
  <c r="AG26" i="5" s="1"/>
  <c r="AD23" i="5"/>
  <c r="AG23" i="5" s="1"/>
  <c r="AD20" i="5"/>
  <c r="AG20" i="5" s="1"/>
  <c r="AG63" i="5" l="1"/>
  <c r="AG129" i="5" s="1"/>
  <c r="AB112" i="5" l="1"/>
  <c r="U112" i="5"/>
  <c r="N112" i="5"/>
  <c r="AI112" i="5" l="1"/>
  <c r="AQ112" i="5" s="1"/>
  <c r="AB96" i="5"/>
  <c r="U96" i="5"/>
  <c r="N96" i="5"/>
  <c r="AI96" i="5" l="1"/>
  <c r="AQ96" i="5" s="1"/>
  <c r="AB101" i="5"/>
  <c r="U101" i="5"/>
  <c r="N101" i="5"/>
  <c r="AI101" i="5" l="1"/>
  <c r="AQ101" i="5" s="1"/>
  <c r="Z91" i="5" l="1"/>
  <c r="Y91" i="5"/>
  <c r="X91" i="5"/>
  <c r="W91" i="5"/>
  <c r="U91" i="5"/>
  <c r="N91" i="5"/>
  <c r="AB91" i="5" l="1"/>
  <c r="AI91" i="5" l="1"/>
  <c r="AQ91" i="5" s="1"/>
  <c r="AL103" i="5" l="1"/>
  <c r="AO103" i="5" s="1"/>
  <c r="AB103" i="5"/>
  <c r="U103" i="5"/>
  <c r="N103" i="5"/>
  <c r="AL131" i="5"/>
  <c r="AO131" i="5" s="1"/>
  <c r="AB122" i="5"/>
  <c r="U122" i="5"/>
  <c r="N122" i="5"/>
  <c r="AB121" i="5"/>
  <c r="U121" i="5"/>
  <c r="N121" i="5"/>
  <c r="AB116" i="5"/>
  <c r="U116" i="5"/>
  <c r="N116" i="5"/>
  <c r="AB107" i="5"/>
  <c r="U107" i="5"/>
  <c r="N107" i="5"/>
  <c r="AB99" i="5"/>
  <c r="U99" i="5"/>
  <c r="N99" i="5"/>
  <c r="AB97" i="5"/>
  <c r="U97" i="5"/>
  <c r="N97" i="5"/>
  <c r="AB89" i="5"/>
  <c r="U89" i="5"/>
  <c r="N89" i="5"/>
  <c r="AL71" i="5"/>
  <c r="AO71" i="5" s="1"/>
  <c r="AO127" i="5" s="1"/>
  <c r="AB71" i="5"/>
  <c r="U71" i="5"/>
  <c r="N71" i="5"/>
  <c r="AI89" i="5" l="1"/>
  <c r="AQ89" i="5" s="1"/>
  <c r="AI122" i="5"/>
  <c r="AQ122" i="5" s="1"/>
  <c r="AI99" i="5"/>
  <c r="AQ99" i="5" s="1"/>
  <c r="AI116" i="5"/>
  <c r="AQ116" i="5" s="1"/>
  <c r="AI71" i="5"/>
  <c r="AI97" i="5"/>
  <c r="AQ97" i="5" s="1"/>
  <c r="AI121" i="5"/>
  <c r="AQ121" i="5" s="1"/>
  <c r="AI103" i="5"/>
  <c r="AQ103" i="5" s="1"/>
  <c r="AI107" i="5"/>
  <c r="AQ107" i="5" s="1"/>
  <c r="AL127" i="5"/>
  <c r="AQ71" i="5" l="1"/>
  <c r="AL48" i="5"/>
  <c r="AO48" i="5" s="1"/>
  <c r="AB46" i="5"/>
  <c r="U46" i="5"/>
  <c r="N46" i="5"/>
  <c r="AB31" i="5"/>
  <c r="U31" i="5"/>
  <c r="N31" i="5"/>
  <c r="AO25" i="5"/>
  <c r="AB24" i="5"/>
  <c r="U24" i="5"/>
  <c r="N24" i="5"/>
  <c r="AL18" i="5"/>
  <c r="AO18" i="5" s="1"/>
  <c r="AB10" i="5"/>
  <c r="U10" i="5"/>
  <c r="N10" i="5"/>
  <c r="AL7" i="5"/>
  <c r="AO7" i="5" s="1"/>
  <c r="AD131" i="5"/>
  <c r="AG131" i="5" s="1"/>
  <c r="AG134" i="5" s="1"/>
  <c r="AB47" i="5"/>
  <c r="U47" i="5"/>
  <c r="N47" i="5"/>
  <c r="AB12" i="5"/>
  <c r="U12" i="5"/>
  <c r="N12" i="5"/>
  <c r="AI31" i="5" l="1"/>
  <c r="AQ31" i="5" s="1"/>
  <c r="AI47" i="5"/>
  <c r="AQ47" i="5" s="1"/>
  <c r="AI24" i="5"/>
  <c r="AQ24" i="5" s="1"/>
  <c r="AI12" i="5"/>
  <c r="AQ12" i="5" s="1"/>
  <c r="AI46" i="5"/>
  <c r="AQ46" i="5" s="1"/>
  <c r="AI10" i="5"/>
  <c r="AQ10" i="5" s="1"/>
  <c r="AL63" i="5"/>
  <c r="AB53" i="5" l="1"/>
  <c r="U53" i="5"/>
  <c r="N53" i="5"/>
  <c r="AB94" i="5"/>
  <c r="U94" i="5"/>
  <c r="N94" i="5"/>
  <c r="AB45" i="5"/>
  <c r="U45" i="5"/>
  <c r="N45" i="5"/>
  <c r="AB114" i="5"/>
  <c r="U114" i="5"/>
  <c r="N114" i="5"/>
  <c r="AB13" i="5"/>
  <c r="U13" i="5"/>
  <c r="N13" i="5"/>
  <c r="AB41" i="5"/>
  <c r="U41" i="5"/>
  <c r="N41" i="5"/>
  <c r="AI41" i="5" l="1"/>
  <c r="AQ41" i="5" s="1"/>
  <c r="AI94" i="5"/>
  <c r="AQ94" i="5" s="1"/>
  <c r="AI114" i="5"/>
  <c r="AQ114" i="5" s="1"/>
  <c r="AI13" i="5"/>
  <c r="AQ13" i="5" s="1"/>
  <c r="AI45" i="5"/>
  <c r="AQ45" i="5" s="1"/>
  <c r="AI53" i="5"/>
  <c r="AQ53" i="5" s="1"/>
  <c r="AL129" i="5"/>
  <c r="AL134" i="5" s="1"/>
  <c r="AB8" i="5" l="1"/>
  <c r="U8" i="5"/>
  <c r="N8" i="5"/>
  <c r="AI8" i="5" l="1"/>
  <c r="AQ8" i="5" s="1"/>
  <c r="AK29" i="5"/>
  <c r="AO29" i="5" s="1"/>
  <c r="AA29" i="5"/>
  <c r="AD63" i="5" l="1"/>
  <c r="AD129" i="5" s="1"/>
  <c r="AD134" i="5" s="1"/>
  <c r="AB120" i="5"/>
  <c r="U120" i="5"/>
  <c r="N120" i="5"/>
  <c r="AI120" i="5" l="1"/>
  <c r="AQ120" i="5" s="1"/>
  <c r="AA38" i="5"/>
  <c r="AB108" i="5" l="1"/>
  <c r="U108" i="5"/>
  <c r="N108" i="5"/>
  <c r="AI108" i="5" l="1"/>
  <c r="AQ108" i="5" s="1"/>
  <c r="AB40" i="5"/>
  <c r="U40" i="5"/>
  <c r="N40" i="5"/>
  <c r="AK38" i="5"/>
  <c r="AI40" i="5" l="1"/>
  <c r="AQ40" i="5" s="1"/>
  <c r="AO38" i="5"/>
  <c r="AO63" i="5" s="1"/>
  <c r="AO129" i="5" s="1"/>
  <c r="AO134" i="5" s="1"/>
  <c r="AB115" i="5" l="1"/>
  <c r="U115" i="5"/>
  <c r="N115" i="5"/>
  <c r="AI115" i="5" l="1"/>
  <c r="AQ115" i="5" s="1"/>
  <c r="AB19" i="5"/>
  <c r="U19" i="5"/>
  <c r="N19" i="5"/>
  <c r="AA131" i="5"/>
  <c r="AA132" i="5"/>
  <c r="AA58" i="5"/>
  <c r="AA51" i="5"/>
  <c r="AA39" i="5"/>
  <c r="AI19" i="5" l="1"/>
  <c r="AQ19" i="5" s="1"/>
  <c r="AA119" i="5" l="1"/>
  <c r="AA95" i="5"/>
  <c r="AA72" i="5"/>
  <c r="AA23" i="5"/>
  <c r="AB21" i="5"/>
  <c r="U21" i="5"/>
  <c r="N21" i="5"/>
  <c r="AA7" i="5"/>
  <c r="AA68" i="5"/>
  <c r="AA127" i="5" l="1"/>
  <c r="AI21" i="5"/>
  <c r="AQ21" i="5" s="1"/>
  <c r="AB185" i="5" l="1"/>
  <c r="U185" i="5"/>
  <c r="U186" i="5" s="1"/>
  <c r="AB182" i="5"/>
  <c r="AB181" i="5"/>
  <c r="U182" i="5"/>
  <c r="U181" i="5"/>
  <c r="AB119" i="5"/>
  <c r="AB105" i="5"/>
  <c r="AB104" i="5"/>
  <c r="AB98" i="5"/>
  <c r="AB90" i="5"/>
  <c r="AB84" i="5"/>
  <c r="AB68" i="5"/>
  <c r="AB62" i="5"/>
  <c r="AB58" i="5"/>
  <c r="AB55" i="5"/>
  <c r="AB49" i="5"/>
  <c r="AB48" i="5"/>
  <c r="AB43" i="5"/>
  <c r="AB38" i="5"/>
  <c r="AB35" i="5"/>
  <c r="AB32" i="5"/>
  <c r="AB30" i="5"/>
  <c r="AB28" i="5"/>
  <c r="AB27" i="5"/>
  <c r="AB25" i="5"/>
  <c r="AB22" i="5"/>
  <c r="AB18" i="5"/>
  <c r="AB16" i="5"/>
  <c r="AB15" i="5"/>
  <c r="U131" i="5"/>
  <c r="U126" i="5"/>
  <c r="U119" i="5"/>
  <c r="U105" i="5"/>
  <c r="U104" i="5"/>
  <c r="U98" i="5"/>
  <c r="U90" i="5"/>
  <c r="U68" i="5"/>
  <c r="U66" i="5"/>
  <c r="U62" i="5"/>
  <c r="U58" i="5"/>
  <c r="U57" i="5"/>
  <c r="U55" i="5"/>
  <c r="U51" i="5"/>
  <c r="U49" i="5"/>
  <c r="U48" i="5"/>
  <c r="U43" i="5"/>
  <c r="U39" i="5"/>
  <c r="U38" i="5"/>
  <c r="U35" i="5"/>
  <c r="U32" i="5"/>
  <c r="U30" i="5"/>
  <c r="U29" i="5"/>
  <c r="U28" i="5"/>
  <c r="U27" i="5"/>
  <c r="U25" i="5"/>
  <c r="U22" i="5"/>
  <c r="U20" i="5"/>
  <c r="U18" i="5"/>
  <c r="U16" i="5"/>
  <c r="U15" i="5"/>
  <c r="N132" i="5"/>
  <c r="N131" i="5"/>
  <c r="N126" i="5"/>
  <c r="N119" i="5"/>
  <c r="N105" i="5"/>
  <c r="N104" i="5"/>
  <c r="N98" i="5"/>
  <c r="N95" i="5"/>
  <c r="N90" i="5"/>
  <c r="N84" i="5"/>
  <c r="N72" i="5"/>
  <c r="N68" i="5"/>
  <c r="N66" i="5"/>
  <c r="N62" i="5"/>
  <c r="N60" i="5"/>
  <c r="N58" i="5"/>
  <c r="N57" i="5"/>
  <c r="N55" i="5"/>
  <c r="N51" i="5"/>
  <c r="N49" i="5"/>
  <c r="N48" i="5"/>
  <c r="N43" i="5"/>
  <c r="N42" i="5"/>
  <c r="N39" i="5"/>
  <c r="N38" i="5"/>
  <c r="N35" i="5"/>
  <c r="N32" i="5"/>
  <c r="N30" i="5"/>
  <c r="N29" i="5"/>
  <c r="N28" i="5"/>
  <c r="N27" i="5"/>
  <c r="N26" i="5"/>
  <c r="N25" i="5"/>
  <c r="N23" i="5"/>
  <c r="N22" i="5"/>
  <c r="N20" i="5"/>
  <c r="N18" i="5"/>
  <c r="N16" i="5"/>
  <c r="N15" i="5"/>
  <c r="N14" i="5"/>
  <c r="N7" i="5"/>
  <c r="N127" i="5" l="1"/>
  <c r="AI15" i="5"/>
  <c r="AQ15" i="5" s="1"/>
  <c r="AI16" i="5"/>
  <c r="AQ16" i="5" s="1"/>
  <c r="AI35" i="5"/>
  <c r="AQ35" i="5" s="1"/>
  <c r="AI32" i="5"/>
  <c r="AQ32" i="5" s="1"/>
  <c r="AI18" i="5"/>
  <c r="AQ18" i="5" s="1"/>
  <c r="AI62" i="5"/>
  <c r="AQ62" i="5" s="1"/>
  <c r="AI104" i="5"/>
  <c r="AQ104" i="5" s="1"/>
  <c r="AI49" i="5"/>
  <c r="AQ49" i="5" s="1"/>
  <c r="AI28" i="5"/>
  <c r="AQ28" i="5" s="1"/>
  <c r="AI55" i="5"/>
  <c r="AQ55" i="5" s="1"/>
  <c r="AI105" i="5"/>
  <c r="AQ105" i="5" s="1"/>
  <c r="AI27" i="5"/>
  <c r="AQ27" i="5" s="1"/>
  <c r="AI30" i="5"/>
  <c r="AQ30" i="5" s="1"/>
  <c r="AI58" i="5"/>
  <c r="AQ58" i="5" s="1"/>
  <c r="AI119" i="5"/>
  <c r="AQ119" i="5" s="1"/>
  <c r="AI38" i="5"/>
  <c r="AQ38" i="5" s="1"/>
  <c r="AI22" i="5"/>
  <c r="AQ22" i="5" s="1"/>
  <c r="AI43" i="5"/>
  <c r="AQ43" i="5" s="1"/>
  <c r="AI90" i="5"/>
  <c r="AQ90" i="5" s="1"/>
  <c r="AI68" i="5"/>
  <c r="AQ68" i="5" s="1"/>
  <c r="AI25" i="5"/>
  <c r="AQ25" i="5" s="1"/>
  <c r="AI48" i="5"/>
  <c r="AQ48" i="5" s="1"/>
  <c r="AI98" i="5"/>
  <c r="AQ98" i="5" s="1"/>
  <c r="U183" i="5"/>
  <c r="U188" i="5" s="1"/>
  <c r="AI185" i="5"/>
  <c r="AI182" i="5"/>
  <c r="N63" i="5"/>
  <c r="AI181" i="5"/>
  <c r="AB186" i="5"/>
  <c r="AB183" i="5"/>
  <c r="N129" i="5" l="1"/>
  <c r="N134" i="5" s="1"/>
  <c r="AB188" i="5"/>
  <c r="AA186" i="5"/>
  <c r="Z186" i="5"/>
  <c r="Y186" i="5"/>
  <c r="X186" i="5"/>
  <c r="W186" i="5"/>
  <c r="T186" i="5"/>
  <c r="AI186" i="5"/>
  <c r="AA183" i="5"/>
  <c r="Z183" i="5"/>
  <c r="Y183" i="5"/>
  <c r="X183" i="5"/>
  <c r="W183" i="5"/>
  <c r="T183" i="5"/>
  <c r="S183" i="5"/>
  <c r="S188" i="5" s="1"/>
  <c r="Z132" i="5"/>
  <c r="Y132" i="5"/>
  <c r="X132" i="5"/>
  <c r="W132" i="5"/>
  <c r="T132" i="5"/>
  <c r="S132" i="5"/>
  <c r="P132" i="5"/>
  <c r="Z131" i="5"/>
  <c r="AB131" i="5" s="1"/>
  <c r="Z95" i="5"/>
  <c r="Y95" i="5"/>
  <c r="X95" i="5"/>
  <c r="W95" i="5"/>
  <c r="T95" i="5"/>
  <c r="T127" i="5" s="1"/>
  <c r="S95" i="5"/>
  <c r="S84" i="5"/>
  <c r="U84" i="5" s="1"/>
  <c r="AI84" i="5" s="1"/>
  <c r="Z72" i="5"/>
  <c r="Y72" i="5"/>
  <c r="Y127" i="5" s="1"/>
  <c r="X72" i="5"/>
  <c r="W72" i="5"/>
  <c r="W127" i="5" s="1"/>
  <c r="S72" i="5"/>
  <c r="Z66" i="5"/>
  <c r="AK63" i="5"/>
  <c r="W63" i="5"/>
  <c r="R63" i="5"/>
  <c r="Q63" i="5"/>
  <c r="P63" i="5"/>
  <c r="M63" i="5"/>
  <c r="L63" i="5"/>
  <c r="K63" i="5"/>
  <c r="J63" i="5"/>
  <c r="I63" i="5"/>
  <c r="H63" i="5"/>
  <c r="G63" i="5"/>
  <c r="F63" i="5"/>
  <c r="E63" i="5"/>
  <c r="D63" i="5"/>
  <c r="C63" i="5"/>
  <c r="Y60" i="5"/>
  <c r="AB60" i="5" s="1"/>
  <c r="T60" i="5"/>
  <c r="Z57" i="5"/>
  <c r="AB57" i="5" s="1"/>
  <c r="AI57" i="5" s="1"/>
  <c r="Z51" i="5"/>
  <c r="Y51" i="5"/>
  <c r="X51" i="5"/>
  <c r="Z42" i="5"/>
  <c r="Y42" i="5"/>
  <c r="X42" i="5"/>
  <c r="S42" i="5"/>
  <c r="Z39" i="5"/>
  <c r="Y39" i="5"/>
  <c r="X39" i="5"/>
  <c r="AA63" i="5"/>
  <c r="Z29" i="5"/>
  <c r="Y29" i="5"/>
  <c r="X29" i="5"/>
  <c r="Z26" i="5"/>
  <c r="AB26" i="5" s="1"/>
  <c r="S26" i="5"/>
  <c r="Z23" i="5"/>
  <c r="Y23" i="5"/>
  <c r="X23" i="5"/>
  <c r="T23" i="5"/>
  <c r="S23" i="5"/>
  <c r="Z20" i="5"/>
  <c r="Y20" i="5"/>
  <c r="X14" i="5"/>
  <c r="AB14" i="5" s="1"/>
  <c r="S14" i="5"/>
  <c r="U14" i="5" s="1"/>
  <c r="Z7" i="5"/>
  <c r="X7" i="5"/>
  <c r="S7" i="5"/>
  <c r="X127" i="5" l="1"/>
  <c r="AB66" i="5"/>
  <c r="Z127" i="5"/>
  <c r="U72" i="5"/>
  <c r="S127" i="5"/>
  <c r="AI14" i="5"/>
  <c r="AQ14" i="5" s="1"/>
  <c r="AI131" i="5"/>
  <c r="AQ131" i="5" s="1"/>
  <c r="AI66" i="5"/>
  <c r="U23" i="5"/>
  <c r="U95" i="5"/>
  <c r="AQ57" i="5"/>
  <c r="AQ84" i="5"/>
  <c r="AB95" i="5"/>
  <c r="AB51" i="5"/>
  <c r="F129" i="5"/>
  <c r="F134" i="5" s="1"/>
  <c r="P129" i="5"/>
  <c r="P134" i="5" s="1"/>
  <c r="X188" i="5"/>
  <c r="U132" i="5"/>
  <c r="AB42" i="5"/>
  <c r="AK129" i="5"/>
  <c r="AK134" i="5" s="1"/>
  <c r="AB126" i="5"/>
  <c r="AI126" i="5" s="1"/>
  <c r="Y63" i="5"/>
  <c r="AB20" i="5"/>
  <c r="AI20" i="5" s="1"/>
  <c r="U26" i="5"/>
  <c r="U42" i="5"/>
  <c r="S63" i="5"/>
  <c r="U7" i="5"/>
  <c r="Z63" i="5"/>
  <c r="X63" i="5"/>
  <c r="AB7" i="5"/>
  <c r="U60" i="5"/>
  <c r="T63" i="5"/>
  <c r="AB132" i="5"/>
  <c r="AI132" i="5" s="1"/>
  <c r="Y188" i="5"/>
  <c r="AB23" i="5"/>
  <c r="AB72" i="5"/>
  <c r="AI72" i="5" s="1"/>
  <c r="AB29" i="5"/>
  <c r="AI29" i="5" s="1"/>
  <c r="AB39" i="5"/>
  <c r="AI39" i="5" s="1"/>
  <c r="AA129" i="5"/>
  <c r="AA134" i="5" s="1"/>
  <c r="W188" i="5"/>
  <c r="AI183" i="5"/>
  <c r="AI188" i="5" s="1"/>
  <c r="AA188" i="5"/>
  <c r="J129" i="5"/>
  <c r="J134" i="5" s="1"/>
  <c r="M129" i="5"/>
  <c r="M134" i="5" s="1"/>
  <c r="T188" i="5"/>
  <c r="Z188" i="5"/>
  <c r="K129" i="5"/>
  <c r="K134" i="5" s="1"/>
  <c r="C129" i="5"/>
  <c r="C134" i="5" s="1"/>
  <c r="G129" i="5"/>
  <c r="G134" i="5" s="1"/>
  <c r="Q129" i="5"/>
  <c r="Q134" i="5" s="1"/>
  <c r="L129" i="5"/>
  <c r="L134" i="5" s="1"/>
  <c r="H129" i="5"/>
  <c r="H134" i="5" s="1"/>
  <c r="R129" i="5"/>
  <c r="R134" i="5" s="1"/>
  <c r="D129" i="5"/>
  <c r="D134" i="5" s="1"/>
  <c r="I129" i="5"/>
  <c r="I134" i="5" s="1"/>
  <c r="E129" i="5"/>
  <c r="E134" i="5" s="1"/>
  <c r="U127" i="5" l="1"/>
  <c r="AQ66" i="5"/>
  <c r="AB127" i="5"/>
  <c r="W129" i="5"/>
  <c r="W134" i="5" s="1"/>
  <c r="AI23" i="5"/>
  <c r="AQ23" i="5" s="1"/>
  <c r="AI42" i="5"/>
  <c r="AQ42" i="5" s="1"/>
  <c r="AI7" i="5"/>
  <c r="AQ7" i="5" s="1"/>
  <c r="AI95" i="5"/>
  <c r="AQ95" i="5" s="1"/>
  <c r="AI26" i="5"/>
  <c r="AQ26" i="5" s="1"/>
  <c r="AI60" i="5"/>
  <c r="AQ60" i="5" s="1"/>
  <c r="AI51" i="5"/>
  <c r="AQ51" i="5" s="1"/>
  <c r="Y129" i="5"/>
  <c r="Y134" i="5" s="1"/>
  <c r="AQ132" i="5"/>
  <c r="AQ72" i="5"/>
  <c r="AQ126" i="5"/>
  <c r="AQ29" i="5"/>
  <c r="AQ39" i="5"/>
  <c r="AQ20" i="5"/>
  <c r="T129" i="5"/>
  <c r="T134" i="5" s="1"/>
  <c r="Z129" i="5"/>
  <c r="Z134" i="5" s="1"/>
  <c r="X129" i="5"/>
  <c r="X134" i="5" s="1"/>
  <c r="AB63" i="5"/>
  <c r="U63" i="5"/>
  <c r="S129" i="5"/>
  <c r="S134" i="5" s="1"/>
  <c r="AI127" i="5" l="1"/>
  <c r="AQ127" i="5"/>
  <c r="AI63" i="5"/>
  <c r="U129" i="5"/>
  <c r="U134" i="5" s="1"/>
  <c r="AQ63" i="5"/>
  <c r="AB129" i="5"/>
  <c r="AB134" i="5" s="1"/>
  <c r="AQ129" i="5" l="1"/>
  <c r="AQ134" i="5" s="1"/>
  <c r="AI129" i="5"/>
  <c r="AI134" i="5" s="1"/>
</calcChain>
</file>

<file path=xl/sharedStrings.xml><?xml version="1.0" encoding="utf-8"?>
<sst xmlns="http://schemas.openxmlformats.org/spreadsheetml/2006/main" count="182" uniqueCount="156">
  <si>
    <t>Cash Received by Gavi</t>
  </si>
  <si>
    <t>in US$ millions</t>
  </si>
  <si>
    <t>COVAX AMC</t>
  </si>
  <si>
    <r>
      <t xml:space="preserve">GRAND TOTAL 
</t>
    </r>
    <r>
      <rPr>
        <b/>
        <sz val="9"/>
        <rFont val="Arial"/>
        <family val="2"/>
      </rPr>
      <t>(incl. COVAX AMC)</t>
    </r>
  </si>
  <si>
    <t>DONOR</t>
  </si>
  <si>
    <t>2000-2010 TOTAL</t>
  </si>
  <si>
    <t>2011-2015 TOTAL</t>
  </si>
  <si>
    <t>2016-2020 TOTAL</t>
  </si>
  <si>
    <t>GRAND TOTAL</t>
  </si>
  <si>
    <t>TOTAL</t>
  </si>
  <si>
    <t>Austria</t>
  </si>
  <si>
    <t>Bahrain</t>
  </si>
  <si>
    <t>Belgium</t>
  </si>
  <si>
    <t>Bhutan</t>
  </si>
  <si>
    <t>Burkina Faso</t>
  </si>
  <si>
    <t>Canada</t>
  </si>
  <si>
    <t>Colombia</t>
  </si>
  <si>
    <t>Croatia</t>
  </si>
  <si>
    <t>Denmark</t>
  </si>
  <si>
    <t>Estonia</t>
  </si>
  <si>
    <t>Finland</t>
  </si>
  <si>
    <t>France</t>
  </si>
  <si>
    <t>Germany</t>
  </si>
  <si>
    <t>Greece</t>
  </si>
  <si>
    <t>India</t>
  </si>
  <si>
    <t>Ireland</t>
  </si>
  <si>
    <t>Italy</t>
  </si>
  <si>
    <t>Kuwait</t>
  </si>
  <si>
    <t>Liechtenstein</t>
  </si>
  <si>
    <t>Luxembourg</t>
  </si>
  <si>
    <t>Malaysia</t>
  </si>
  <si>
    <t>Malta</t>
  </si>
  <si>
    <t>Mauritius</t>
  </si>
  <si>
    <t>Mexico</t>
  </si>
  <si>
    <t>Moldova</t>
  </si>
  <si>
    <t>Monaco</t>
  </si>
  <si>
    <t>Netherlands</t>
  </si>
  <si>
    <t>New Zealand</t>
  </si>
  <si>
    <t>Niger</t>
  </si>
  <si>
    <t xml:space="preserve">Norway </t>
  </si>
  <si>
    <t>Oman</t>
  </si>
  <si>
    <t>Philippines</t>
  </si>
  <si>
    <t>Poland</t>
  </si>
  <si>
    <t>Portugal</t>
  </si>
  <si>
    <t>Qatar</t>
  </si>
  <si>
    <t>Russia</t>
  </si>
  <si>
    <t>Saudi Arabia</t>
  </si>
  <si>
    <t>Singapore</t>
  </si>
  <si>
    <t>Slovenia</t>
  </si>
  <si>
    <t>Stadt Zug</t>
  </si>
  <si>
    <t xml:space="preserve">Sweden </t>
  </si>
  <si>
    <t>Switzerland</t>
  </si>
  <si>
    <t>Uganda</t>
  </si>
  <si>
    <t>United Kingdom</t>
  </si>
  <si>
    <t>United States</t>
  </si>
  <si>
    <t>Vietnam</t>
  </si>
  <si>
    <t>Donor Governments and EC</t>
  </si>
  <si>
    <t>AerCap Ireland Limited</t>
  </si>
  <si>
    <t>Alight Solutions</t>
  </si>
  <si>
    <t>Al Ansari Exchange</t>
  </si>
  <si>
    <t>Alwaleed Philanthropies</t>
  </si>
  <si>
    <t>Analog Devices Foundation</t>
  </si>
  <si>
    <t>Arm Limited</t>
  </si>
  <si>
    <t>Asia Philanthropy Circle</t>
  </si>
  <si>
    <t>Bill &amp; Melinda Gates Foundation</t>
  </si>
  <si>
    <t>BlackBerry</t>
  </si>
  <si>
    <t>Centene Charitable Foundation</t>
  </si>
  <si>
    <t>Charities Trust</t>
  </si>
  <si>
    <t>Coca-Cola Foundation</t>
  </si>
  <si>
    <t>CODE(RED) Campaign</t>
  </si>
  <si>
    <t>Collins Aerospace (Goodrich Corporation)</t>
  </si>
  <si>
    <t>Dolby Laboratories Charitable Fund</t>
  </si>
  <si>
    <t>ELMA Vaccines and Immunization Foundation</t>
  </si>
  <si>
    <t>Epiroc AB</t>
  </si>
  <si>
    <t>Etsy</t>
  </si>
  <si>
    <t>Gamers Without Borders</t>
  </si>
  <si>
    <t>Gates Philanthropy Partners</t>
  </si>
  <si>
    <t>Kerk in Actie</t>
  </si>
  <si>
    <t>King Baudouin Foundation</t>
  </si>
  <si>
    <t>Google.org</t>
  </si>
  <si>
    <t>His Highness Sheikh Mohamed bin Zayed Al Nahyan</t>
  </si>
  <si>
    <t>International Federation of Pharmaceutical Wholesalers (IFPW)</t>
  </si>
  <si>
    <t>KS Relief</t>
  </si>
  <si>
    <t>"la Caixa" Foundation</t>
  </si>
  <si>
    <t>McHugh O'Donovan Foundation</t>
  </si>
  <si>
    <t>OPEC Fund for International Development (OFID)</t>
  </si>
  <si>
    <t>PagerDuty</t>
  </si>
  <si>
    <t>Portuguese private sector</t>
  </si>
  <si>
    <t>Pratt &amp; Whitney</t>
  </si>
  <si>
    <t>Proctor &amp; Gamble</t>
  </si>
  <si>
    <t>Reed Hastings and Patty Quillin</t>
  </si>
  <si>
    <t>Rockefeller Foundation</t>
  </si>
  <si>
    <t>Russell Reynolds Associates</t>
  </si>
  <si>
    <t>Salesforce</t>
  </si>
  <si>
    <t>Shell International B.V.</t>
  </si>
  <si>
    <t>SMBC Aviation Capital Limited</t>
  </si>
  <si>
    <t>Sovereign Order of Malta</t>
  </si>
  <si>
    <t>Spotify</t>
  </si>
  <si>
    <t>Stanley Black &amp; Decker</t>
  </si>
  <si>
    <t>Symasia Foundation</t>
  </si>
  <si>
    <t>Thistledown Foundation</t>
  </si>
  <si>
    <t>TikTok</t>
  </si>
  <si>
    <t>Twilio</t>
  </si>
  <si>
    <t>UBS Optimus Foundation</t>
  </si>
  <si>
    <t>UPS</t>
  </si>
  <si>
    <t>Vaccine Forward Initiative</t>
  </si>
  <si>
    <t>Visa Foundation</t>
  </si>
  <si>
    <t>Workday Foundation</t>
  </si>
  <si>
    <t>Foundations, organisations, corporations and institutions</t>
  </si>
  <si>
    <t>Sub-total</t>
  </si>
  <si>
    <t>Total contributions</t>
  </si>
  <si>
    <t>Vaccine Delivery and/or Logistics to Gavi COVAX AMC</t>
  </si>
  <si>
    <t>COVAX Dose Sharing - Ancillary Costs</t>
  </si>
  <si>
    <t>COVAX Humanitarian Buffer</t>
  </si>
  <si>
    <t>Notes:</t>
  </si>
  <si>
    <r>
      <t xml:space="preserve">Cash Received by Gavi </t>
    </r>
    <r>
      <rPr>
        <b/>
        <sz val="14"/>
        <color rgb="FF000000"/>
        <rFont val="Calibri"/>
        <family val="2"/>
        <scheme val="minor"/>
      </rPr>
      <t>(in support of Gavi for its role supporting the Polio Eradication and Endgame Strategic Plan 2013-2020)</t>
    </r>
  </si>
  <si>
    <t>Private Contributions</t>
  </si>
  <si>
    <t>WHO Foundation - Go Give One Campaign</t>
  </si>
  <si>
    <t>Croda Foundation</t>
  </si>
  <si>
    <t>European Commission</t>
  </si>
  <si>
    <t>Wellcome Trust</t>
  </si>
  <si>
    <r>
      <t>Australia</t>
    </r>
    <r>
      <rPr>
        <vertAlign val="superscript"/>
        <sz val="10"/>
        <rFont val="Arial"/>
        <family val="2"/>
      </rPr>
      <t>1</t>
    </r>
  </si>
  <si>
    <r>
      <t>Brazil</t>
    </r>
    <r>
      <rPr>
        <vertAlign val="superscript"/>
        <sz val="10"/>
        <rFont val="Arial"/>
        <family val="2"/>
      </rPr>
      <t>1</t>
    </r>
  </si>
  <si>
    <r>
      <t>China</t>
    </r>
    <r>
      <rPr>
        <vertAlign val="superscript"/>
        <sz val="10"/>
        <rFont val="Arial"/>
        <family val="2"/>
      </rPr>
      <t>1</t>
    </r>
  </si>
  <si>
    <r>
      <t>European Commission (EC)</t>
    </r>
    <r>
      <rPr>
        <vertAlign val="superscript"/>
        <sz val="10"/>
        <rFont val="Arial"/>
        <family val="2"/>
      </rPr>
      <t>1</t>
    </r>
  </si>
  <si>
    <r>
      <t>Iceland</t>
    </r>
    <r>
      <rPr>
        <vertAlign val="superscript"/>
        <sz val="10"/>
        <rFont val="Arial"/>
        <family val="2"/>
      </rPr>
      <t>1</t>
    </r>
  </si>
  <si>
    <r>
      <t>Japan</t>
    </r>
    <r>
      <rPr>
        <vertAlign val="superscript"/>
        <sz val="10"/>
        <rFont val="Arial"/>
        <family val="2"/>
      </rPr>
      <t>1</t>
    </r>
  </si>
  <si>
    <r>
      <t>Norway</t>
    </r>
    <r>
      <rPr>
        <vertAlign val="superscript"/>
        <sz val="10"/>
        <rFont val="Arial"/>
        <family val="2"/>
      </rPr>
      <t>1</t>
    </r>
  </si>
  <si>
    <r>
      <t>Palau</t>
    </r>
    <r>
      <rPr>
        <vertAlign val="superscript"/>
        <sz val="10"/>
        <rFont val="Arial"/>
        <family val="2"/>
      </rPr>
      <t>1</t>
    </r>
  </si>
  <si>
    <r>
      <t>Republic of Korea</t>
    </r>
    <r>
      <rPr>
        <vertAlign val="superscript"/>
        <sz val="10"/>
        <rFont val="Arial"/>
        <family val="2"/>
      </rPr>
      <t>1</t>
    </r>
  </si>
  <si>
    <r>
      <t>Spain</t>
    </r>
    <r>
      <rPr>
        <vertAlign val="superscript"/>
        <sz val="10"/>
        <rFont val="Arial"/>
        <family val="2"/>
      </rPr>
      <t>2</t>
    </r>
  </si>
  <si>
    <r>
      <t>United Kingdom</t>
    </r>
    <r>
      <rPr>
        <vertAlign val="superscript"/>
        <sz val="10"/>
        <rFont val="Arial"/>
        <family val="2"/>
      </rPr>
      <t>1</t>
    </r>
  </si>
  <si>
    <r>
      <t>Mastercard</t>
    </r>
    <r>
      <rPr>
        <vertAlign val="superscript"/>
        <sz val="10"/>
        <rFont val="Arial"/>
        <family val="2"/>
      </rPr>
      <t>3</t>
    </r>
  </si>
  <si>
    <r>
      <t>Toyota Tsusho</t>
    </r>
    <r>
      <rPr>
        <vertAlign val="superscript"/>
        <sz val="10"/>
        <rFont val="Arial"/>
        <family val="2"/>
      </rPr>
      <t>4</t>
    </r>
  </si>
  <si>
    <r>
      <t>Unilever</t>
    </r>
    <r>
      <rPr>
        <vertAlign val="superscript"/>
        <sz val="10"/>
        <rFont val="Arial"/>
        <family val="2"/>
      </rPr>
      <t>5</t>
    </r>
  </si>
  <si>
    <r>
      <t>Other private</t>
    </r>
    <r>
      <rPr>
        <vertAlign val="superscript"/>
        <sz val="10"/>
        <rFont val="Arial"/>
        <family val="2"/>
      </rPr>
      <t>6</t>
    </r>
  </si>
  <si>
    <r>
      <t>IFFIm Proceeds</t>
    </r>
    <r>
      <rPr>
        <b/>
        <vertAlign val="superscript"/>
        <sz val="10"/>
        <rFont val="Arial"/>
        <family val="2"/>
      </rPr>
      <t>7,8</t>
    </r>
  </si>
  <si>
    <r>
      <t>PCV AMC Proceeds</t>
    </r>
    <r>
      <rPr>
        <b/>
        <vertAlign val="superscript"/>
        <sz val="10"/>
        <rFont val="Arial"/>
        <family val="2"/>
      </rPr>
      <t>9</t>
    </r>
  </si>
  <si>
    <t>1 - Contribution amounts include cash donations to the COVAX facility from funds remaining from SFP commitments and/or dose sharing activities</t>
  </si>
  <si>
    <t>2 - Includes contributions from the Basque Agency for Development Cooperation and the Catalan Agency for Development Cooperation</t>
  </si>
  <si>
    <t>4 - Toyota Tsusho contributed 100,000,000 Japanese yen to the Gavi COVAX AMC. In addition, Toyota Tsusho has donated five Vaccine Land Cruisers to Gavi which are specifically designed for last-mile vaccine delivery and which have been prequalified by WHO.</t>
  </si>
  <si>
    <t>6 - Includes contributions from other private sector corporations, foundations, individuals, institutions and organisations</t>
  </si>
  <si>
    <t>7 - IFFIm Proceeds:  cash disbursements from the World Bank: to the GFA (2006-2012), to Gavi (2013-2022)</t>
  </si>
  <si>
    <t>8 - In 2018, the Gavi Alliance Board approved Gavi supporting research and development of new vaccines by the Coalition for Epidemic Preparedness Innovations (CEPI) through an IFFIm transaction of NOK 600 million (US$ 66 million) to frontload an equivalent Norway grant for this purpose. Subsequently in 2020, the Gavi Alliance Board approved Gavi supporting research and development of new COVID-19 vaccines by CEPI, through a similar IFFIm arrangement. To date, IFFIm has raised US$ 206 million for this initiative supported by additional grants from Norway and Italy.</t>
  </si>
  <si>
    <t>9 - AMC Proceeds: cash transfers from the World Bank to Gavi</t>
  </si>
  <si>
    <t>3 - Mastercard has contributed: (i) US$15 million to support the COVAX AMC with a US$ 15 million grant for the purchase of COVID-19 vaccines, US$ 10 million of which was matched, by the Bill &amp; Melinda Gates Foundation (US$ 2 million) and Gates Philanthropy Partners (US$ 8 million); and (ii) a US$ 10 million cash contribution to support the implementation of digital solutions to Gavi Core programs (no match). In addition, Mastercard conducted a consumer-based fundraising campaign through its donation platform that raised a total of US$ 2.5 million.</t>
  </si>
  <si>
    <t>2021-2023 TOTAL</t>
  </si>
  <si>
    <t>Proceeds, as of 30 June 2023</t>
  </si>
  <si>
    <t>Scotland</t>
  </si>
  <si>
    <t>Power of Nutrition</t>
  </si>
  <si>
    <t>Japan</t>
  </si>
  <si>
    <t>Australia</t>
  </si>
  <si>
    <t>5 - Unilever and Cisco provide resources to Gavi on a leveraged partnership project</t>
  </si>
  <si>
    <r>
      <t>Cisco</t>
    </r>
    <r>
      <rPr>
        <vertAlign val="superscript"/>
        <sz val="10"/>
        <rFont val="Arial"/>
        <family val="2"/>
      </rPr>
      <t>5</t>
    </r>
  </si>
  <si>
    <t>Children's Investment Fund Foundation (CIFF)</t>
  </si>
  <si>
    <t>The Church of Jesus Christ of Latter-day Saints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</si>
</sst>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-* #,##0.00\ _€_-;\-* #,##0.00\ _€_-;_-* &quot;-&quot;??\ _€_-;_-@_-"/>
    <numFmt numFmtId="167" formatCode="_-* #,##0_-;\-* #,##0_-;_-* &quot;-&quot;??_-;_-@_-"/>
    <numFmt numFmtId="168" formatCode="#,##0.0000"/>
    <numFmt numFmtId="169" formatCode="0.0000000"/>
    <numFmt numFmtId="170" formatCode="_(* #,##0.0_);_(* \(#,##0.0\);_(* &quot;-&quot;_);_(@_)"/>
    <numFmt numFmtId="171" formatCode="_(* #,##0.000000_);_(* \(#,##0.000000\);_(* &quot;-&quot;_);_(@_)"/>
    <numFmt numFmtId="172" formatCode="#,##0.000000"/>
    <numFmt numFmtId="173" formatCode="_(* #,##0.00000000_);_(* \(#,##0.00000000\);_(* &quot;-&quot;_);_(@_)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color rgb="FF0070C0"/>
      <name val="Arial"/>
      <family val="2"/>
    </font>
    <font>
      <u/>
      <sz val="10"/>
      <name val="Arial"/>
      <family val="2"/>
    </font>
    <font>
      <sz val="10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FEFE1"/>
        <bgColor indexed="64"/>
      </patternFill>
    </fill>
    <fill>
      <patternFill patternType="solid">
        <fgColor rgb="FFDEDAC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E4E4"/>
        <bgColor theme="0" tint="-0.14996795556505021"/>
      </patternFill>
    </fill>
    <fill>
      <patternFill patternType="mediumGray">
        <fgColor theme="0" tint="-0.24994659260841701"/>
        <bgColor theme="3" tint="0.79998168889431442"/>
      </patternFill>
    </fill>
    <fill>
      <patternFill patternType="mediumGray">
        <fgColor theme="0" tint="-0.24994659260841701"/>
        <bgColor rgb="FFFFFF00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/>
      <top/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14996795556505021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medium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theme="0" tint="-0.14996795556505021"/>
      </bottom>
      <diagonal/>
    </border>
    <border>
      <left style="thin">
        <color indexed="64"/>
      </left>
      <right/>
      <top/>
      <bottom style="medium">
        <color theme="0" tint="-0.1499679555650502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/>
    <xf numFmtId="0" fontId="4" fillId="0" borderId="0" xfId="0" applyFont="1"/>
    <xf numFmtId="3" fontId="5" fillId="0" borderId="0" xfId="0" applyNumberFormat="1" applyFont="1"/>
    <xf numFmtId="3" fontId="0" fillId="0" borderId="0" xfId="0" applyNumberFormat="1"/>
    <xf numFmtId="3" fontId="5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9" fillId="0" borderId="0" xfId="0" applyNumberFormat="1" applyFont="1"/>
    <xf numFmtId="3" fontId="3" fillId="0" borderId="3" xfId="0" applyNumberFormat="1" applyFont="1" applyBorder="1" applyAlignment="1">
      <alignment horizontal="left" vertical="center"/>
    </xf>
    <xf numFmtId="165" fontId="7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3" fontId="3" fillId="0" borderId="9" xfId="0" applyNumberFormat="1" applyFont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Alignment="1">
      <alignment horizontal="left" vertical="center" wrapText="1"/>
    </xf>
    <xf numFmtId="165" fontId="8" fillId="0" borderId="0" xfId="0" applyNumberFormat="1" applyFont="1" applyAlignment="1">
      <alignment horizontal="right" vertical="center"/>
    </xf>
    <xf numFmtId="3" fontId="3" fillId="0" borderId="3" xfId="0" applyNumberFormat="1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left" vertical="center"/>
    </xf>
    <xf numFmtId="165" fontId="8" fillId="0" borderId="0" xfId="2" applyNumberFormat="1" applyFont="1" applyFill="1" applyBorder="1" applyAlignment="1">
      <alignment horizontal="right" vertical="center"/>
    </xf>
    <xf numFmtId="3" fontId="11" fillId="4" borderId="1" xfId="0" applyNumberFormat="1" applyFont="1" applyFill="1" applyBorder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/>
    </xf>
    <xf numFmtId="3" fontId="6" fillId="4" borderId="1" xfId="0" applyNumberFormat="1" applyFont="1" applyFill="1" applyBorder="1" applyAlignment="1">
      <alignment horizontal="left" vertical="center"/>
    </xf>
    <xf numFmtId="1" fontId="0" fillId="0" borderId="0" xfId="0" applyNumberFormat="1"/>
    <xf numFmtId="0" fontId="9" fillId="0" borderId="0" xfId="0" applyFont="1"/>
    <xf numFmtId="168" fontId="0" fillId="2" borderId="3" xfId="1" applyNumberFormat="1" applyFont="1" applyFill="1" applyBorder="1" applyAlignment="1">
      <alignment vertical="center"/>
    </xf>
    <xf numFmtId="3" fontId="0" fillId="0" borderId="12" xfId="0" applyNumberFormat="1" applyBorder="1" applyAlignment="1">
      <alignment horizontal="left" vertical="center"/>
    </xf>
    <xf numFmtId="3" fontId="0" fillId="0" borderId="3" xfId="0" applyNumberFormat="1" applyBorder="1" applyAlignment="1">
      <alignment horizontal="left" vertical="center"/>
    </xf>
    <xf numFmtId="0" fontId="15" fillId="0" borderId="0" xfId="0" applyFont="1"/>
    <xf numFmtId="3" fontId="3" fillId="0" borderId="1" xfId="0" applyNumberFormat="1" applyFont="1" applyBorder="1" applyAlignment="1">
      <alignment horizontal="left" vertical="center" wrapText="1"/>
    </xf>
    <xf numFmtId="0" fontId="17" fillId="0" borderId="0" xfId="0" applyFont="1"/>
    <xf numFmtId="3" fontId="18" fillId="0" borderId="0" xfId="0" applyNumberFormat="1" applyFont="1"/>
    <xf numFmtId="0" fontId="0" fillId="0" borderId="0" xfId="0" applyAlignment="1">
      <alignment horizontal="left" indent="1"/>
    </xf>
    <xf numFmtId="165" fontId="7" fillId="0" borderId="6" xfId="0" applyNumberFormat="1" applyFont="1" applyBorder="1" applyAlignment="1">
      <alignment horizontal="right" vertical="center"/>
    </xf>
    <xf numFmtId="3" fontId="0" fillId="0" borderId="3" xfId="0" applyNumberFormat="1" applyBorder="1" applyAlignment="1">
      <alignment horizontal="left" vertical="center" wrapText="1"/>
    </xf>
    <xf numFmtId="165" fontId="7" fillId="2" borderId="3" xfId="1" applyNumberFormat="1" applyFont="1" applyFill="1" applyBorder="1" applyAlignment="1">
      <alignment vertical="center"/>
    </xf>
    <xf numFmtId="165" fontId="7" fillId="2" borderId="6" xfId="1" applyNumberFormat="1" applyFont="1" applyFill="1" applyBorder="1" applyAlignment="1">
      <alignment vertical="center"/>
    </xf>
    <xf numFmtId="169" fontId="0" fillId="0" borderId="0" xfId="0" applyNumberFormat="1"/>
    <xf numFmtId="3" fontId="0" fillId="0" borderId="4" xfId="0" applyNumberForma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0" fontId="19" fillId="7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4" xfId="1" applyNumberFormat="1" applyFont="1" applyFill="1" applyBorder="1" applyAlignment="1">
      <alignment horizontal="right" vertical="center"/>
    </xf>
    <xf numFmtId="3" fontId="7" fillId="0" borderId="4" xfId="0" applyNumberFormat="1" applyFont="1" applyBorder="1"/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/>
    <xf numFmtId="3" fontId="7" fillId="0" borderId="6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3" fontId="7" fillId="0" borderId="3" xfId="1" applyNumberFormat="1" applyFont="1" applyFill="1" applyBorder="1" applyAlignment="1">
      <alignment horizontal="right" vertical="center"/>
    </xf>
    <xf numFmtId="3" fontId="7" fillId="0" borderId="8" xfId="2" applyNumberFormat="1" applyFont="1" applyBorder="1" applyAlignment="1">
      <alignment horizontal="right" vertical="center"/>
    </xf>
    <xf numFmtId="3" fontId="7" fillId="2" borderId="3" xfId="0" applyNumberFormat="1" applyFont="1" applyFill="1" applyBorder="1" applyAlignment="1">
      <alignment horizontal="right" vertical="center"/>
    </xf>
    <xf numFmtId="3" fontId="7" fillId="0" borderId="6" xfId="0" applyNumberFormat="1" applyFont="1" applyBorder="1"/>
    <xf numFmtId="3" fontId="7" fillId="0" borderId="9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12" xfId="1" applyNumberFormat="1" applyFont="1" applyFill="1" applyBorder="1" applyAlignment="1">
      <alignment horizontal="right" vertical="center"/>
    </xf>
    <xf numFmtId="3" fontId="7" fillId="0" borderId="12" xfId="0" applyNumberFormat="1" applyFont="1" applyBorder="1"/>
    <xf numFmtId="3" fontId="8" fillId="3" borderId="1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7" fillId="0" borderId="4" xfId="0" applyNumberFormat="1" applyFont="1" applyBorder="1" applyAlignment="1">
      <alignment vertical="center"/>
    </xf>
    <xf numFmtId="3" fontId="7" fillId="2" borderId="4" xfId="1" applyNumberFormat="1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2" borderId="3" xfId="1" applyNumberFormat="1" applyFont="1" applyFill="1" applyBorder="1" applyAlignment="1">
      <alignment vertical="center"/>
    </xf>
    <xf numFmtId="3" fontId="7" fillId="2" borderId="6" xfId="1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7" fillId="0" borderId="3" xfId="1" applyNumberFormat="1" applyFont="1" applyFill="1" applyBorder="1" applyAlignment="1">
      <alignment vertical="center"/>
    </xf>
    <xf numFmtId="3" fontId="7" fillId="0" borderId="6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center"/>
    </xf>
    <xf numFmtId="3" fontId="7" fillId="0" borderId="0" xfId="0" applyNumberFormat="1" applyFont="1"/>
    <xf numFmtId="3" fontId="8" fillId="3" borderId="1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horizontal="right" vertical="center"/>
    </xf>
    <xf numFmtId="3" fontId="12" fillId="4" borderId="1" xfId="2" applyNumberFormat="1" applyFont="1" applyFill="1" applyBorder="1" applyAlignment="1">
      <alignment horizontal="right" vertical="center"/>
    </xf>
    <xf numFmtId="3" fontId="8" fillId="3" borderId="2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vertical="center"/>
    </xf>
    <xf numFmtId="3" fontId="7" fillId="2" borderId="2" xfId="1" applyNumberFormat="1" applyFont="1" applyFill="1" applyBorder="1" applyAlignment="1">
      <alignment vertical="center"/>
    </xf>
    <xf numFmtId="41" fontId="6" fillId="7" borderId="4" xfId="0" applyNumberFormat="1" applyFont="1" applyFill="1" applyBorder="1" applyAlignment="1">
      <alignment horizontal="right" vertical="center"/>
    </xf>
    <xf numFmtId="41" fontId="6" fillId="7" borderId="3" xfId="0" applyNumberFormat="1" applyFont="1" applyFill="1" applyBorder="1" applyAlignment="1">
      <alignment horizontal="right" vertical="center"/>
    </xf>
    <xf numFmtId="41" fontId="6" fillId="7" borderId="3" xfId="0" applyNumberFormat="1" applyFont="1" applyFill="1" applyBorder="1"/>
    <xf numFmtId="41" fontId="6" fillId="7" borderId="12" xfId="0" applyNumberFormat="1" applyFont="1" applyFill="1" applyBorder="1" applyAlignment="1">
      <alignment horizontal="right" vertical="center"/>
    </xf>
    <xf numFmtId="41" fontId="6" fillId="7" borderId="4" xfId="0" applyNumberFormat="1" applyFont="1" applyFill="1" applyBorder="1" applyAlignment="1">
      <alignment vertical="center"/>
    </xf>
    <xf numFmtId="41" fontId="6" fillId="7" borderId="3" xfId="0" applyNumberFormat="1" applyFont="1" applyFill="1" applyBorder="1" applyAlignment="1">
      <alignment vertical="center"/>
    </xf>
    <xf numFmtId="41" fontId="6" fillId="7" borderId="3" xfId="1" applyNumberFormat="1" applyFont="1" applyFill="1" applyBorder="1" applyAlignment="1">
      <alignment vertical="center"/>
    </xf>
    <xf numFmtId="41" fontId="6" fillId="3" borderId="1" xfId="2" applyNumberFormat="1" applyFont="1" applyFill="1" applyBorder="1" applyAlignment="1">
      <alignment vertical="center"/>
    </xf>
    <xf numFmtId="41" fontId="6" fillId="8" borderId="14" xfId="0" applyNumberFormat="1" applyFont="1" applyFill="1" applyBorder="1" applyAlignment="1">
      <alignment horizontal="right" vertical="center"/>
    </xf>
    <xf numFmtId="41" fontId="6" fillId="8" borderId="15" xfId="0" applyNumberFormat="1" applyFont="1" applyFill="1" applyBorder="1" applyAlignment="1">
      <alignment horizontal="right" vertical="center"/>
    </xf>
    <xf numFmtId="41" fontId="6" fillId="8" borderId="16" xfId="0" applyNumberFormat="1" applyFont="1" applyFill="1" applyBorder="1" applyAlignment="1">
      <alignment horizontal="right" vertical="center"/>
    </xf>
    <xf numFmtId="41" fontId="6" fillId="8" borderId="14" xfId="0" applyNumberFormat="1" applyFont="1" applyFill="1" applyBorder="1" applyAlignment="1">
      <alignment vertical="center"/>
    </xf>
    <xf numFmtId="41" fontId="6" fillId="8" borderId="15" xfId="0" applyNumberFormat="1" applyFont="1" applyFill="1" applyBorder="1" applyAlignment="1">
      <alignment vertical="center"/>
    </xf>
    <xf numFmtId="41" fontId="6" fillId="8" borderId="16" xfId="0" applyNumberFormat="1" applyFont="1" applyFill="1" applyBorder="1" applyAlignment="1">
      <alignment vertical="center"/>
    </xf>
    <xf numFmtId="41" fontId="6" fillId="8" borderId="4" xfId="0" applyNumberFormat="1" applyFont="1" applyFill="1" applyBorder="1" applyAlignment="1">
      <alignment horizontal="right" vertical="center"/>
    </xf>
    <xf numFmtId="41" fontId="6" fillId="8" borderId="4" xfId="0" applyNumberFormat="1" applyFont="1" applyFill="1" applyBorder="1" applyAlignment="1">
      <alignment vertical="center"/>
    </xf>
    <xf numFmtId="4" fontId="7" fillId="2" borderId="3" xfId="1" applyNumberFormat="1" applyFont="1" applyFill="1" applyBorder="1" applyAlignment="1">
      <alignment vertical="center"/>
    </xf>
    <xf numFmtId="41" fontId="8" fillId="0" borderId="0" xfId="2" applyNumberFormat="1" applyFont="1" applyFill="1" applyBorder="1" applyAlignment="1">
      <alignment horizontal="right" vertical="center"/>
    </xf>
    <xf numFmtId="41" fontId="11" fillId="9" borderId="1" xfId="2" applyNumberFormat="1" applyFont="1" applyFill="1" applyBorder="1" applyAlignment="1">
      <alignment horizontal="right" vertical="center"/>
    </xf>
    <xf numFmtId="41" fontId="6" fillId="10" borderId="1" xfId="0" applyNumberFormat="1" applyFont="1" applyFill="1" applyBorder="1" applyAlignment="1">
      <alignment horizontal="right" vertical="center"/>
    </xf>
    <xf numFmtId="41" fontId="6" fillId="10" borderId="1" xfId="2" applyNumberFormat="1" applyFont="1" applyFill="1" applyBorder="1" applyAlignment="1">
      <alignment vertical="center"/>
    </xf>
    <xf numFmtId="171" fontId="8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41" fontId="7" fillId="5" borderId="21" xfId="0" applyNumberFormat="1" applyFont="1" applyFill="1" applyBorder="1" applyAlignment="1">
      <alignment horizontal="right" vertical="center"/>
    </xf>
    <xf numFmtId="41" fontId="7" fillId="5" borderId="22" xfId="0" applyNumberFormat="1" applyFont="1" applyFill="1" applyBorder="1" applyAlignment="1">
      <alignment horizontal="right" vertical="center"/>
    </xf>
    <xf numFmtId="170" fontId="7" fillId="5" borderId="22" xfId="0" applyNumberFormat="1" applyFont="1" applyFill="1" applyBorder="1" applyAlignment="1">
      <alignment horizontal="right" vertical="center"/>
    </xf>
    <xf numFmtId="41" fontId="6" fillId="6" borderId="19" xfId="0" applyNumberFormat="1" applyFont="1" applyFill="1" applyBorder="1" applyAlignment="1">
      <alignment horizontal="right" vertical="center"/>
    </xf>
    <xf numFmtId="41" fontId="7" fillId="5" borderId="23" xfId="0" applyNumberFormat="1" applyFont="1" applyFill="1" applyBorder="1" applyAlignment="1">
      <alignment horizontal="right" vertical="center"/>
    </xf>
    <xf numFmtId="41" fontId="6" fillId="6" borderId="20" xfId="0" applyNumberFormat="1" applyFont="1" applyFill="1" applyBorder="1" applyAlignment="1">
      <alignment horizontal="right" vertical="center"/>
    </xf>
    <xf numFmtId="0" fontId="6" fillId="5" borderId="23" xfId="0" applyFont="1" applyFill="1" applyBorder="1" applyAlignment="1">
      <alignment horizontal="center" vertical="center" wrapText="1"/>
    </xf>
    <xf numFmtId="41" fontId="8" fillId="5" borderId="25" xfId="0" applyNumberFormat="1" applyFont="1" applyFill="1" applyBorder="1" applyAlignment="1">
      <alignment horizontal="right" vertical="center"/>
    </xf>
    <xf numFmtId="41" fontId="8" fillId="5" borderId="26" xfId="0" applyNumberFormat="1" applyFont="1" applyFill="1" applyBorder="1" applyAlignment="1">
      <alignment horizontal="right" vertical="center"/>
    </xf>
    <xf numFmtId="170" fontId="8" fillId="5" borderId="26" xfId="0" applyNumberFormat="1" applyFont="1" applyFill="1" applyBorder="1" applyAlignment="1">
      <alignment horizontal="right" vertical="center"/>
    </xf>
    <xf numFmtId="41" fontId="8" fillId="5" borderId="24" xfId="0" applyNumberFormat="1" applyFont="1" applyFill="1" applyBorder="1" applyAlignment="1">
      <alignment horizontal="right" vertical="center"/>
    </xf>
    <xf numFmtId="0" fontId="19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0" fillId="0" borderId="0" xfId="0" applyFont="1"/>
    <xf numFmtId="3" fontId="3" fillId="0" borderId="4" xfId="0" applyNumberFormat="1" applyFont="1" applyBorder="1" applyAlignment="1">
      <alignment horizontal="left" vertical="center" wrapText="1"/>
    </xf>
    <xf numFmtId="168" fontId="0" fillId="2" borderId="28" xfId="1" applyNumberFormat="1" applyFont="1" applyFill="1" applyBorder="1" applyAlignment="1">
      <alignment vertical="center"/>
    </xf>
    <xf numFmtId="168" fontId="0" fillId="2" borderId="13" xfId="1" applyNumberFormat="1" applyFont="1" applyFill="1" applyBorder="1" applyAlignment="1">
      <alignment vertical="center"/>
    </xf>
    <xf numFmtId="172" fontId="21" fillId="0" borderId="0" xfId="0" applyNumberFormat="1" applyFont="1"/>
    <xf numFmtId="0" fontId="21" fillId="0" borderId="0" xfId="0" applyFont="1"/>
    <xf numFmtId="41" fontId="0" fillId="0" borderId="0" xfId="0" applyNumberFormat="1"/>
    <xf numFmtId="0" fontId="22" fillId="0" borderId="0" xfId="0" applyFont="1"/>
    <xf numFmtId="171" fontId="0" fillId="0" borderId="0" xfId="0" applyNumberFormat="1"/>
    <xf numFmtId="0" fontId="6" fillId="5" borderId="2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41" fontId="7" fillId="5" borderId="30" xfId="0" applyNumberFormat="1" applyFont="1" applyFill="1" applyBorder="1" applyAlignment="1">
      <alignment horizontal="right" vertical="center"/>
    </xf>
    <xf numFmtId="41" fontId="7" fillId="5" borderId="31" xfId="0" applyNumberFormat="1" applyFont="1" applyFill="1" applyBorder="1" applyAlignment="1">
      <alignment horizontal="right" vertical="center"/>
    </xf>
    <xf numFmtId="41" fontId="7" fillId="5" borderId="29" xfId="0" applyNumberFormat="1" applyFont="1" applyFill="1" applyBorder="1" applyAlignment="1">
      <alignment horizontal="right" vertical="center"/>
    </xf>
    <xf numFmtId="41" fontId="6" fillId="6" borderId="32" xfId="0" applyNumberFormat="1" applyFont="1" applyFill="1" applyBorder="1" applyAlignment="1">
      <alignment horizontal="right" vertical="center"/>
    </xf>
    <xf numFmtId="43" fontId="0" fillId="0" borderId="0" xfId="0" applyNumberFormat="1"/>
    <xf numFmtId="41" fontId="0" fillId="0" borderId="0" xfId="0" applyNumberFormat="1" applyAlignment="1">
      <alignment horizontal="right"/>
    </xf>
    <xf numFmtId="3" fontId="0" fillId="0" borderId="2" xfId="0" applyNumberFormat="1" applyBorder="1" applyAlignment="1">
      <alignment horizontal="left" vertical="center"/>
    </xf>
    <xf numFmtId="0" fontId="6" fillId="5" borderId="32" xfId="0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left" vertical="center" wrapText="1"/>
    </xf>
    <xf numFmtId="173" fontId="23" fillId="0" borderId="0" xfId="0" applyNumberFormat="1" applyFont="1"/>
    <xf numFmtId="168" fontId="0" fillId="0" borderId="0" xfId="0" applyNumberFormat="1"/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9" fillId="0" borderId="1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41" fontId="7" fillId="5" borderId="25" xfId="0" applyNumberFormat="1" applyFont="1" applyFill="1" applyBorder="1" applyAlignment="1">
      <alignment horizontal="right" vertical="center"/>
    </xf>
    <xf numFmtId="41" fontId="7" fillId="5" borderId="26" xfId="0" applyNumberFormat="1" applyFont="1" applyFill="1" applyBorder="1" applyAlignment="1">
      <alignment horizontal="right" vertical="center"/>
    </xf>
    <xf numFmtId="41" fontId="7" fillId="5" borderId="24" xfId="0" applyNumberFormat="1" applyFont="1" applyFill="1" applyBorder="1" applyAlignment="1">
      <alignment horizontal="right" vertical="center"/>
    </xf>
    <xf numFmtId="41" fontId="23" fillId="0" borderId="0" xfId="0" applyNumberFormat="1" applyFont="1"/>
  </cellXfs>
  <cellStyles count="8">
    <cellStyle name="Comma" xfId="1" builtinId="3"/>
    <cellStyle name="Comma 2" xfId="3" xr:uid="{00000000-0005-0000-0000-000001000000}"/>
    <cellStyle name="Comma 2 2" xfId="5" xr:uid="{00000000-0005-0000-0000-000002000000}"/>
    <cellStyle name="Comma 3" xfId="7" xr:uid="{0952F9DE-CD73-48EC-8ABA-CAEC56639382}"/>
    <cellStyle name="Comma_Sheet1" xfId="2" xr:uid="{00000000-0005-0000-0000-000003000000}"/>
    <cellStyle name="Normal" xfId="0" builtinId="0"/>
    <cellStyle name="Normal 2" xfId="4" xr:uid="{00000000-0005-0000-0000-000005000000}"/>
    <cellStyle name="Normal 2 2" xfId="6" xr:uid="{00000000-0005-0000-0000-000006000000}"/>
  </cellStyles>
  <dxfs count="0"/>
  <tableStyles count="0" defaultTableStyle="TableStyleMedium2" defaultPivotStyle="PivotStyleLight16"/>
  <colors>
    <mruColors>
      <color rgb="FF0000FF"/>
      <color rgb="FFD3CDB1"/>
      <color rgb="FFE4E4E4"/>
      <color rgb="FFDEDAC4"/>
      <color rgb="FFEFEFE1"/>
      <color rgb="FFE4E4D2"/>
      <color rgb="FFEAEA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0</xdr:col>
      <xdr:colOff>1640351</xdr:colOff>
      <xdr:row>0</xdr:row>
      <xdr:rowOff>777974</xdr:rowOff>
    </xdr:to>
    <xdr:pic>
      <xdr:nvPicPr>
        <xdr:cNvPr id="2" name="Picture 1" descr="Description: Description: Description: Description: cid:image001.png@01CFBDF7.83202F10">
          <a:extLst>
            <a:ext uri="{FF2B5EF4-FFF2-40B4-BE49-F238E27FC236}">
              <a16:creationId xmlns:a16="http://schemas.microsoft.com/office/drawing/2014/main" id="{D1AA2D7A-4915-425F-ACE4-3CCFA53C18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" y="0"/>
          <a:ext cx="1608602" cy="777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A42D-2783-43F0-B01B-8FBCA71E5B27}">
  <sheetPr>
    <pageSetUpPr fitToPage="1"/>
  </sheetPr>
  <dimension ref="A1:AS188"/>
  <sheetViews>
    <sheetView showGridLines="0" tabSelected="1" zoomScale="80" zoomScaleNormal="80" zoomScaleSheetLayoutView="11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10.28515625" defaultRowHeight="12.75" outlineLevelCol="1" x14ac:dyDescent="0.2"/>
  <cols>
    <col min="1" max="1" width="32.7109375" customWidth="1"/>
    <col min="2" max="2" width="2.5703125" customWidth="1"/>
    <col min="3" max="13" width="7.7109375" hidden="1" customWidth="1" outlineLevel="1"/>
    <col min="14" max="14" width="11.85546875" customWidth="1" collapsed="1"/>
    <col min="15" max="15" width="2.5703125" customWidth="1"/>
    <col min="16" max="17" width="7.7109375" hidden="1" customWidth="1" outlineLevel="1"/>
    <col min="18" max="20" width="7.85546875" hidden="1" customWidth="1" outlineLevel="1"/>
    <col min="21" max="21" width="11.85546875" customWidth="1" collapsed="1"/>
    <col min="22" max="22" width="2.5703125" customWidth="1"/>
    <col min="23" max="23" width="7.85546875" hidden="1" customWidth="1" outlineLevel="1"/>
    <col min="24" max="24" width="8" hidden="1" customWidth="1" outlineLevel="1"/>
    <col min="25" max="25" width="7.85546875" hidden="1" customWidth="1" outlineLevel="1"/>
    <col min="26" max="27" width="8" hidden="1" customWidth="1" outlineLevel="1"/>
    <col min="28" max="28" width="11.85546875" customWidth="1" collapsed="1"/>
    <col min="29" max="29" width="2.5703125" customWidth="1"/>
    <col min="30" max="32" width="8.7109375" customWidth="1" outlineLevel="1"/>
    <col min="33" max="33" width="13.140625" customWidth="1"/>
    <col min="34" max="34" width="2.5703125" customWidth="1"/>
    <col min="35" max="35" width="13.42578125" customWidth="1"/>
    <col min="36" max="36" width="4.42578125" customWidth="1"/>
    <col min="37" max="40" width="8.7109375" customWidth="1"/>
    <col min="41" max="41" width="13.140625" customWidth="1"/>
    <col min="42" max="42" width="2.5703125" customWidth="1"/>
    <col min="43" max="43" width="13.42578125" customWidth="1"/>
    <col min="44" max="44" width="2.7109375" customWidth="1"/>
    <col min="45" max="45" width="16.85546875" customWidth="1"/>
    <col min="46" max="46" width="12.7109375" bestFit="1" customWidth="1"/>
  </cols>
  <sheetData>
    <row r="1" spans="1:43" ht="70.5" customHeight="1" x14ac:dyDescent="0.2"/>
    <row r="2" spans="1:43" ht="23.25" customHeight="1" x14ac:dyDescent="0.45">
      <c r="A2" s="28" t="s">
        <v>0</v>
      </c>
      <c r="P2" s="1"/>
      <c r="Q2" s="1"/>
      <c r="R2" s="1"/>
      <c r="S2" s="1"/>
      <c r="T2" s="1"/>
      <c r="U2" s="1"/>
      <c r="W2" s="1"/>
      <c r="Y2" s="1"/>
      <c r="Z2" s="1"/>
      <c r="AA2" s="1"/>
      <c r="AB2" s="1"/>
      <c r="AD2" s="24"/>
      <c r="AE2" s="1"/>
      <c r="AF2" s="1"/>
      <c r="AG2" s="1"/>
    </row>
    <row r="3" spans="1:43" ht="15.75" x14ac:dyDescent="0.25">
      <c r="A3" s="2" t="s">
        <v>147</v>
      </c>
      <c r="P3" s="1"/>
      <c r="Q3" s="1"/>
      <c r="R3" s="1"/>
      <c r="S3" s="1"/>
      <c r="T3" s="1"/>
      <c r="U3" s="1"/>
      <c r="W3" s="1"/>
      <c r="X3" s="1"/>
      <c r="Y3" s="1"/>
      <c r="Z3" s="1"/>
      <c r="AA3" s="1"/>
      <c r="AB3" s="1"/>
      <c r="AD3" s="1"/>
      <c r="AE3" s="1"/>
      <c r="AF3" s="1"/>
      <c r="AG3" s="1"/>
      <c r="AL3" s="126"/>
    </row>
    <row r="4" spans="1:43" ht="16.5" thickBot="1" x14ac:dyDescent="0.3">
      <c r="A4" s="3" t="s">
        <v>1</v>
      </c>
      <c r="C4" s="4"/>
      <c r="D4" s="4"/>
      <c r="E4" s="4"/>
      <c r="F4" s="4"/>
      <c r="G4" s="4"/>
      <c r="H4" s="4"/>
      <c r="I4" s="4"/>
      <c r="J4" s="4"/>
      <c r="W4" s="11"/>
      <c r="X4" s="11"/>
      <c r="Y4" s="11"/>
      <c r="Z4" s="11"/>
      <c r="AA4" s="11"/>
    </row>
    <row r="5" spans="1:43" ht="33" customHeight="1" thickBot="1" x14ac:dyDescent="0.3">
      <c r="A5" s="31"/>
      <c r="C5" s="4"/>
      <c r="D5" s="4"/>
      <c r="E5" s="4"/>
      <c r="F5" s="4"/>
      <c r="G5" s="4"/>
      <c r="H5" s="4"/>
      <c r="I5" s="4"/>
      <c r="J5" s="4"/>
      <c r="AK5" s="143" t="s">
        <v>2</v>
      </c>
      <c r="AL5" s="144"/>
      <c r="AM5" s="144"/>
      <c r="AN5" s="144"/>
      <c r="AO5" s="145"/>
      <c r="AQ5" s="140" t="s">
        <v>3</v>
      </c>
    </row>
    <row r="6" spans="1:43" ht="30.75" thickBot="1" x14ac:dyDescent="0.25">
      <c r="A6" s="39" t="s">
        <v>4</v>
      </c>
      <c r="C6" s="6">
        <v>2000</v>
      </c>
      <c r="D6" s="6">
        <v>2001</v>
      </c>
      <c r="E6" s="6">
        <v>2002</v>
      </c>
      <c r="F6" s="6">
        <v>2003</v>
      </c>
      <c r="G6" s="6">
        <v>2004</v>
      </c>
      <c r="H6" s="7">
        <v>2005</v>
      </c>
      <c r="I6" s="6">
        <v>2006</v>
      </c>
      <c r="J6" s="7">
        <v>2007</v>
      </c>
      <c r="K6" s="6">
        <v>2008</v>
      </c>
      <c r="L6" s="7">
        <v>2009</v>
      </c>
      <c r="M6" s="7">
        <v>2010</v>
      </c>
      <c r="N6" s="40" t="s">
        <v>5</v>
      </c>
      <c r="P6" s="7">
        <v>2011</v>
      </c>
      <c r="Q6" s="7">
        <v>2012</v>
      </c>
      <c r="R6" s="7">
        <v>2013</v>
      </c>
      <c r="S6" s="7">
        <v>2014</v>
      </c>
      <c r="T6" s="7">
        <v>2015</v>
      </c>
      <c r="U6" s="40" t="s">
        <v>6</v>
      </c>
      <c r="W6" s="7">
        <v>2016</v>
      </c>
      <c r="X6" s="7">
        <v>2017</v>
      </c>
      <c r="Y6" s="7">
        <v>2018</v>
      </c>
      <c r="Z6" s="7">
        <v>2019</v>
      </c>
      <c r="AA6" s="7">
        <v>2020</v>
      </c>
      <c r="AB6" s="40" t="s">
        <v>7</v>
      </c>
      <c r="AD6" s="7">
        <v>2021</v>
      </c>
      <c r="AE6" s="7">
        <v>2022</v>
      </c>
      <c r="AF6" s="7">
        <v>2023</v>
      </c>
      <c r="AG6" s="40" t="s">
        <v>146</v>
      </c>
      <c r="AI6" s="41" t="s">
        <v>8</v>
      </c>
      <c r="AK6" s="111">
        <v>2020</v>
      </c>
      <c r="AL6" s="127">
        <v>2021</v>
      </c>
      <c r="AM6" s="136">
        <v>2022</v>
      </c>
      <c r="AN6" s="128">
        <v>2023</v>
      </c>
      <c r="AO6" s="116" t="s">
        <v>9</v>
      </c>
      <c r="AQ6" s="141"/>
    </row>
    <row r="7" spans="1:43" ht="15" thickBot="1" x14ac:dyDescent="0.25">
      <c r="A7" s="135" t="s">
        <v>121</v>
      </c>
      <c r="C7" s="42"/>
      <c r="D7" s="42"/>
      <c r="E7" s="42"/>
      <c r="F7" s="42"/>
      <c r="G7" s="42"/>
      <c r="H7" s="43"/>
      <c r="I7" s="43">
        <v>5</v>
      </c>
      <c r="J7" s="44">
        <v>5</v>
      </c>
      <c r="K7" s="45">
        <v>5</v>
      </c>
      <c r="L7" s="43">
        <v>5</v>
      </c>
      <c r="M7" s="43">
        <v>8.6</v>
      </c>
      <c r="N7" s="82">
        <f>SUM(C7:M7)</f>
        <v>28.6</v>
      </c>
      <c r="P7" s="43">
        <v>48.844000000000001</v>
      </c>
      <c r="Q7" s="43">
        <v>56.485500000000002</v>
      </c>
      <c r="R7" s="43">
        <v>48.277250000000002</v>
      </c>
      <c r="S7" s="43">
        <f>45.79575+42.825</f>
        <v>88.620750000000001</v>
      </c>
      <c r="T7" s="43"/>
      <c r="U7" s="82">
        <f>SUM(P7:T7)</f>
        <v>242.22750000000002</v>
      </c>
      <c r="W7" s="43">
        <v>37.579124999999998</v>
      </c>
      <c r="X7" s="43">
        <f>1.852+13.65175</f>
        <v>15.50375</v>
      </c>
      <c r="Y7" s="43"/>
      <c r="Z7" s="43">
        <f>22.31575+20.4070375+24.071875</f>
        <v>66.794662500000001</v>
      </c>
      <c r="AA7" s="43">
        <f>7.665+29.44425</f>
        <v>37.109250000000003</v>
      </c>
      <c r="AB7" s="82">
        <f>SUM(W7:AA7)</f>
        <v>156.98678749999999</v>
      </c>
      <c r="AD7" s="43">
        <v>20.913</v>
      </c>
      <c r="AE7" s="43"/>
      <c r="AF7" s="43">
        <f>37.19+29.752+14.86609534</f>
        <v>81.808095339999994</v>
      </c>
      <c r="AG7" s="82">
        <f>SUM(AD7:AF7)</f>
        <v>102.72109533999999</v>
      </c>
      <c r="AI7" s="90">
        <f>SUM(AB7,U7,N7,AG7)</f>
        <v>530.53538284000001</v>
      </c>
      <c r="AJ7" s="32"/>
      <c r="AK7" s="105">
        <v>28.511231739999999</v>
      </c>
      <c r="AL7" s="129">
        <f>1.90273211+3.09078161</f>
        <v>4.9935137200000002</v>
      </c>
      <c r="AM7" s="129">
        <v>56.088769999999997</v>
      </c>
      <c r="AN7" s="146"/>
      <c r="AO7" s="112">
        <f>SUM(AK7:AN7)</f>
        <v>89.593515459999992</v>
      </c>
      <c r="AQ7" s="90">
        <f>SUM(AI7,AO7)</f>
        <v>620.12889829999995</v>
      </c>
    </row>
    <row r="8" spans="1:43" ht="13.5" thickBot="1" x14ac:dyDescent="0.25">
      <c r="A8" s="27" t="s">
        <v>10</v>
      </c>
      <c r="C8" s="42"/>
      <c r="D8" s="49"/>
      <c r="E8" s="42"/>
      <c r="F8" s="42"/>
      <c r="G8" s="49"/>
      <c r="H8" s="46"/>
      <c r="I8" s="42"/>
      <c r="J8" s="42"/>
      <c r="K8" s="47"/>
      <c r="L8" s="42"/>
      <c r="M8" s="42"/>
      <c r="N8" s="83">
        <f t="shared" ref="N8:N12" si="0">SUM(C8:M8)</f>
        <v>0</v>
      </c>
      <c r="P8" s="42"/>
      <c r="Q8" s="48"/>
      <c r="R8" s="48"/>
      <c r="S8" s="48"/>
      <c r="T8" s="48"/>
      <c r="U8" s="83">
        <f t="shared" ref="U8:U12" si="1">SUM(P8:T8)</f>
        <v>0</v>
      </c>
      <c r="W8" s="48"/>
      <c r="X8" s="48"/>
      <c r="Y8" s="48"/>
      <c r="Z8" s="48"/>
      <c r="AA8" s="48"/>
      <c r="AB8" s="83">
        <f t="shared" ref="AB8:AB12" si="2">SUM(W8:AA8)</f>
        <v>0</v>
      </c>
      <c r="AD8" s="48"/>
      <c r="AE8" s="48"/>
      <c r="AF8" s="48"/>
      <c r="AG8" s="83">
        <f t="shared" ref="AG8:AG62" si="3">SUM(AD8:AF8)</f>
        <v>0</v>
      </c>
      <c r="AI8" s="91">
        <f t="shared" ref="AI8:AI62" si="4">SUM(AB8,U8,N8,AG8)</f>
        <v>0</v>
      </c>
      <c r="AJ8" s="32"/>
      <c r="AK8" s="106"/>
      <c r="AL8" s="130">
        <f>2.83512+2.94775+2.82975</f>
        <v>8.6126199999999997</v>
      </c>
      <c r="AM8" s="130"/>
      <c r="AN8" s="147"/>
      <c r="AO8" s="113">
        <f t="shared" ref="AO8:AO62" si="5">SUM(AK8:AN8)</f>
        <v>8.6126199999999997</v>
      </c>
      <c r="AQ8" s="91">
        <f t="shared" ref="AQ8:AQ62" si="6">SUM(AI8,AO8)</f>
        <v>8.6126199999999997</v>
      </c>
    </row>
    <row r="9" spans="1:43" ht="13.5" thickBot="1" x14ac:dyDescent="0.25">
      <c r="A9" s="27" t="s">
        <v>11</v>
      </c>
      <c r="C9" s="42"/>
      <c r="D9" s="49"/>
      <c r="E9" s="42"/>
      <c r="F9" s="42"/>
      <c r="G9" s="49"/>
      <c r="H9" s="46"/>
      <c r="I9" s="42"/>
      <c r="J9" s="42"/>
      <c r="K9" s="47"/>
      <c r="L9" s="42"/>
      <c r="M9" s="42"/>
      <c r="N9" s="83">
        <f t="shared" ref="N9" si="7">SUM(C9:M9)</f>
        <v>0</v>
      </c>
      <c r="P9" s="42"/>
      <c r="Q9" s="48"/>
      <c r="R9" s="48"/>
      <c r="S9" s="48"/>
      <c r="T9" s="48"/>
      <c r="U9" s="83">
        <f t="shared" ref="U9" si="8">SUM(P9:T9)</f>
        <v>0</v>
      </c>
      <c r="W9" s="48"/>
      <c r="X9" s="48"/>
      <c r="Y9" s="48"/>
      <c r="Z9" s="48"/>
      <c r="AA9" s="48"/>
      <c r="AB9" s="83">
        <f t="shared" ref="AB9" si="9">SUM(W9:AA9)</f>
        <v>0</v>
      </c>
      <c r="AD9" s="48"/>
      <c r="AE9" s="48"/>
      <c r="AF9" s="48"/>
      <c r="AG9" s="83">
        <f t="shared" si="3"/>
        <v>0</v>
      </c>
      <c r="AI9" s="91">
        <f t="shared" si="4"/>
        <v>0</v>
      </c>
      <c r="AJ9" s="32"/>
      <c r="AK9" s="106"/>
      <c r="AL9" s="130">
        <v>2.5</v>
      </c>
      <c r="AM9" s="130"/>
      <c r="AN9" s="147"/>
      <c r="AO9" s="113">
        <f t="shared" si="5"/>
        <v>2.5</v>
      </c>
      <c r="AQ9" s="91">
        <f t="shared" ref="AQ9" si="10">SUM(AI9,AO9)</f>
        <v>2.5</v>
      </c>
    </row>
    <row r="10" spans="1:43" ht="13.5" thickBot="1" x14ac:dyDescent="0.25">
      <c r="A10" s="27" t="s">
        <v>12</v>
      </c>
      <c r="C10" s="42"/>
      <c r="D10" s="49"/>
      <c r="E10" s="42"/>
      <c r="F10" s="42"/>
      <c r="G10" s="49"/>
      <c r="H10" s="46"/>
      <c r="I10" s="42"/>
      <c r="J10" s="42"/>
      <c r="K10" s="47"/>
      <c r="L10" s="42"/>
      <c r="M10" s="42"/>
      <c r="N10" s="83">
        <f t="shared" ref="N10:N11" si="11">SUM(C10:M10)</f>
        <v>0</v>
      </c>
      <c r="P10" s="42"/>
      <c r="Q10" s="48"/>
      <c r="R10" s="48"/>
      <c r="S10" s="48"/>
      <c r="T10" s="48"/>
      <c r="U10" s="83">
        <f t="shared" ref="U10:U11" si="12">SUM(P10:T10)</f>
        <v>0</v>
      </c>
      <c r="W10" s="48"/>
      <c r="X10" s="48"/>
      <c r="Y10" s="48"/>
      <c r="Z10" s="48"/>
      <c r="AA10" s="48"/>
      <c r="AB10" s="83">
        <f t="shared" ref="AB10:AB11" si="13">SUM(W10:AA10)</f>
        <v>0</v>
      </c>
      <c r="AD10" s="48"/>
      <c r="AE10" s="48"/>
      <c r="AF10" s="48">
        <v>3.2271000000000001</v>
      </c>
      <c r="AG10" s="83">
        <f t="shared" si="3"/>
        <v>3.2271000000000001</v>
      </c>
      <c r="AI10" s="91">
        <f t="shared" si="4"/>
        <v>3.2271000000000001</v>
      </c>
      <c r="AJ10" s="32"/>
      <c r="AK10" s="106"/>
      <c r="AL10" s="130">
        <v>4.8844000000000003</v>
      </c>
      <c r="AM10" s="130">
        <v>4.5464000000000002</v>
      </c>
      <c r="AN10" s="147"/>
      <c r="AO10" s="113">
        <f t="shared" si="5"/>
        <v>9.4308000000000014</v>
      </c>
      <c r="AQ10" s="91">
        <f t="shared" ref="AQ10:AQ11" si="14">SUM(AI10,AO10)</f>
        <v>12.657900000000001</v>
      </c>
    </row>
    <row r="11" spans="1:43" ht="13.5" thickBot="1" x14ac:dyDescent="0.25">
      <c r="A11" s="27" t="s">
        <v>13</v>
      </c>
      <c r="C11" s="42"/>
      <c r="D11" s="49"/>
      <c r="E11" s="42"/>
      <c r="F11" s="42"/>
      <c r="G11" s="49"/>
      <c r="H11" s="46"/>
      <c r="I11" s="42"/>
      <c r="J11" s="42"/>
      <c r="K11" s="47"/>
      <c r="L11" s="42"/>
      <c r="M11" s="42"/>
      <c r="N11" s="83">
        <f t="shared" si="11"/>
        <v>0</v>
      </c>
      <c r="P11" s="42"/>
      <c r="Q11" s="48"/>
      <c r="R11" s="48"/>
      <c r="S11" s="48"/>
      <c r="T11" s="48"/>
      <c r="U11" s="83">
        <f t="shared" si="12"/>
        <v>0</v>
      </c>
      <c r="W11" s="48"/>
      <c r="X11" s="48"/>
      <c r="Y11" s="48"/>
      <c r="Z11" s="48"/>
      <c r="AA11" s="48"/>
      <c r="AB11" s="83">
        <f t="shared" si="13"/>
        <v>0</v>
      </c>
      <c r="AD11" s="48"/>
      <c r="AE11" s="48"/>
      <c r="AF11" s="48"/>
      <c r="AG11" s="83">
        <f t="shared" ref="AG11" si="15">SUM(AD11:AF11)</f>
        <v>0</v>
      </c>
      <c r="AI11" s="91">
        <f t="shared" ref="AI11" si="16">SUM(AB11,U11,N11,AG11)</f>
        <v>0</v>
      </c>
      <c r="AJ11" s="32"/>
      <c r="AK11" s="106"/>
      <c r="AL11" s="130">
        <v>5.0000000000000001E-3</v>
      </c>
      <c r="AM11" s="130"/>
      <c r="AN11" s="147"/>
      <c r="AO11" s="113">
        <f t="shared" ref="AO11" si="17">SUM(AK11:AN11)</f>
        <v>5.0000000000000001E-3</v>
      </c>
      <c r="AQ11" s="91">
        <f t="shared" si="14"/>
        <v>5.0000000000000001E-3</v>
      </c>
    </row>
    <row r="12" spans="1:43" ht="15" thickBot="1" x14ac:dyDescent="0.25">
      <c r="A12" s="27" t="s">
        <v>122</v>
      </c>
      <c r="C12" s="42"/>
      <c r="D12" s="49"/>
      <c r="E12" s="42"/>
      <c r="F12" s="42"/>
      <c r="G12" s="49"/>
      <c r="H12" s="46"/>
      <c r="I12" s="42"/>
      <c r="J12" s="42"/>
      <c r="K12" s="47"/>
      <c r="L12" s="42"/>
      <c r="M12" s="42"/>
      <c r="N12" s="83">
        <f t="shared" si="0"/>
        <v>0</v>
      </c>
      <c r="P12" s="42"/>
      <c r="Q12" s="48"/>
      <c r="R12" s="48"/>
      <c r="S12" s="48"/>
      <c r="T12" s="48"/>
      <c r="U12" s="83">
        <f t="shared" si="1"/>
        <v>0</v>
      </c>
      <c r="W12" s="48"/>
      <c r="X12" s="48"/>
      <c r="Y12" s="48"/>
      <c r="Z12" s="48"/>
      <c r="AA12" s="48"/>
      <c r="AB12" s="83">
        <f t="shared" si="2"/>
        <v>0</v>
      </c>
      <c r="AD12" s="48"/>
      <c r="AE12" s="48"/>
      <c r="AF12" s="48"/>
      <c r="AG12" s="83">
        <f t="shared" si="3"/>
        <v>0</v>
      </c>
      <c r="AI12" s="91">
        <f t="shared" si="4"/>
        <v>0</v>
      </c>
      <c r="AJ12" s="32"/>
      <c r="AK12" s="106"/>
      <c r="AL12" s="130"/>
      <c r="AM12" s="130">
        <f>2.30364+20.4768</f>
        <v>22.780440000000002</v>
      </c>
      <c r="AN12" s="147">
        <f>86.71254+34.20474</f>
        <v>120.91728000000001</v>
      </c>
      <c r="AO12" s="113">
        <f t="shared" si="5"/>
        <v>143.69772</v>
      </c>
      <c r="AQ12" s="91">
        <f t="shared" si="6"/>
        <v>143.69772</v>
      </c>
    </row>
    <row r="13" spans="1:43" ht="13.5" thickBot="1" x14ac:dyDescent="0.25">
      <c r="A13" s="27" t="s">
        <v>14</v>
      </c>
      <c r="C13" s="42"/>
      <c r="D13" s="49"/>
      <c r="E13" s="42"/>
      <c r="F13" s="42"/>
      <c r="G13" s="49"/>
      <c r="H13" s="46"/>
      <c r="I13" s="42"/>
      <c r="J13" s="42"/>
      <c r="K13" s="47"/>
      <c r="L13" s="42"/>
      <c r="M13" s="42"/>
      <c r="N13" s="83">
        <f t="shared" ref="N13" si="18">SUM(C13:M13)</f>
        <v>0</v>
      </c>
      <c r="P13" s="42"/>
      <c r="Q13" s="48"/>
      <c r="R13" s="48"/>
      <c r="S13" s="48"/>
      <c r="T13" s="48"/>
      <c r="U13" s="83">
        <f t="shared" ref="U13" si="19">SUM(P13:T13)</f>
        <v>0</v>
      </c>
      <c r="W13" s="48"/>
      <c r="X13" s="48"/>
      <c r="Y13" s="48"/>
      <c r="Z13" s="48"/>
      <c r="AA13" s="48"/>
      <c r="AB13" s="83">
        <f t="shared" ref="AB13" si="20">SUM(W13:AA13)</f>
        <v>0</v>
      </c>
      <c r="AD13" s="48">
        <v>1</v>
      </c>
      <c r="AE13" s="48"/>
      <c r="AF13" s="48"/>
      <c r="AG13" s="83">
        <f t="shared" si="3"/>
        <v>1</v>
      </c>
      <c r="AI13" s="91">
        <f t="shared" si="4"/>
        <v>1</v>
      </c>
      <c r="AJ13" s="32"/>
      <c r="AK13" s="106"/>
      <c r="AL13" s="130"/>
      <c r="AM13" s="130"/>
      <c r="AN13" s="147"/>
      <c r="AO13" s="113">
        <f t="shared" si="5"/>
        <v>0</v>
      </c>
      <c r="AQ13" s="91">
        <f t="shared" ref="AQ13" si="21">SUM(AI13,AO13)</f>
        <v>1</v>
      </c>
    </row>
    <row r="14" spans="1:43" ht="13.5" thickBot="1" x14ac:dyDescent="0.25">
      <c r="A14" s="9" t="s">
        <v>15</v>
      </c>
      <c r="C14" s="42"/>
      <c r="D14" s="42"/>
      <c r="E14" s="42">
        <v>1.88035602</v>
      </c>
      <c r="F14" s="42">
        <v>4.7554213499999998</v>
      </c>
      <c r="G14" s="42">
        <v>9.0627342500000001</v>
      </c>
      <c r="H14" s="46">
        <v>130.86864059999999</v>
      </c>
      <c r="I14" s="42">
        <v>5.1903114199999996</v>
      </c>
      <c r="J14" s="42"/>
      <c r="K14" s="47"/>
      <c r="L14" s="42"/>
      <c r="M14" s="42"/>
      <c r="N14" s="83">
        <f t="shared" ref="N14:N62" si="22">SUM(C14:M14)</f>
        <v>151.75746364</v>
      </c>
      <c r="P14" s="42">
        <v>20.736000000000001</v>
      </c>
      <c r="Q14" s="48">
        <v>15.128593039999998</v>
      </c>
      <c r="R14" s="48">
        <v>38.974714310000003</v>
      </c>
      <c r="S14" s="48">
        <f>18.32844575+18.32844575</f>
        <v>36.6568915</v>
      </c>
      <c r="T14" s="48">
        <v>8.0340000000000007</v>
      </c>
      <c r="U14" s="83">
        <f t="shared" ref="U14:U62" si="23">SUM(P14:T14)</f>
        <v>119.53019885000002</v>
      </c>
      <c r="W14" s="48">
        <v>77.10330716</v>
      </c>
      <c r="X14" s="48">
        <f>76.26582082+16.27927621</f>
        <v>92.545097029999994</v>
      </c>
      <c r="Y14" s="48">
        <v>76.86314084</v>
      </c>
      <c r="Z14" s="48">
        <v>94.881251149999997</v>
      </c>
      <c r="AA14" s="48">
        <v>68.355820251599994</v>
      </c>
      <c r="AB14" s="83">
        <f t="shared" ref="AB14:AB62" si="24">SUM(W14:AA14)</f>
        <v>409.7486164316</v>
      </c>
      <c r="AD14" s="48">
        <v>73.72460212</v>
      </c>
      <c r="AE14" s="48">
        <v>73.183004999999994</v>
      </c>
      <c r="AF14" s="48">
        <v>74.46848516</v>
      </c>
      <c r="AG14" s="83">
        <f t="shared" si="3"/>
        <v>221.37609227999999</v>
      </c>
      <c r="AI14" s="91">
        <f t="shared" si="4"/>
        <v>902.41237120159997</v>
      </c>
      <c r="AJ14" s="32"/>
      <c r="AK14" s="106"/>
      <c r="AL14" s="130">
        <f>25+86.17988092+87.97184901+175.31277393</f>
        <v>374.46450385999998</v>
      </c>
      <c r="AM14" s="130">
        <v>36.960378470000002</v>
      </c>
      <c r="AN14" s="147">
        <v>37.350900000000003</v>
      </c>
      <c r="AO14" s="113">
        <f t="shared" si="5"/>
        <v>448.77578233000003</v>
      </c>
      <c r="AQ14" s="91">
        <f t="shared" si="6"/>
        <v>1351.1881535315999</v>
      </c>
    </row>
    <row r="15" spans="1:43" ht="15" thickBot="1" x14ac:dyDescent="0.25">
      <c r="A15" s="27" t="s">
        <v>123</v>
      </c>
      <c r="C15" s="42"/>
      <c r="D15" s="49"/>
      <c r="E15" s="42"/>
      <c r="F15" s="42"/>
      <c r="G15" s="49"/>
      <c r="H15" s="46"/>
      <c r="I15" s="42"/>
      <c r="J15" s="42"/>
      <c r="K15" s="47"/>
      <c r="L15" s="42"/>
      <c r="M15" s="42"/>
      <c r="N15" s="83">
        <f t="shared" si="22"/>
        <v>0</v>
      </c>
      <c r="P15" s="42"/>
      <c r="Q15" s="48"/>
      <c r="R15" s="48"/>
      <c r="S15" s="48"/>
      <c r="T15" s="48"/>
      <c r="U15" s="83">
        <f t="shared" si="23"/>
        <v>0</v>
      </c>
      <c r="W15" s="48">
        <v>2</v>
      </c>
      <c r="X15" s="48">
        <v>1</v>
      </c>
      <c r="Y15" s="48">
        <v>0.5</v>
      </c>
      <c r="Z15" s="48">
        <v>0.5</v>
      </c>
      <c r="AA15" s="48">
        <v>1</v>
      </c>
      <c r="AB15" s="83">
        <f t="shared" si="24"/>
        <v>5</v>
      </c>
      <c r="AD15" s="48">
        <v>4</v>
      </c>
      <c r="AE15" s="48">
        <v>4</v>
      </c>
      <c r="AF15" s="48"/>
      <c r="AG15" s="83">
        <f t="shared" si="3"/>
        <v>8</v>
      </c>
      <c r="AI15" s="91">
        <f t="shared" si="4"/>
        <v>13</v>
      </c>
      <c r="AJ15" s="32"/>
      <c r="AK15" s="106"/>
      <c r="AL15" s="130"/>
      <c r="AM15" s="130">
        <f>20+80</f>
        <v>100</v>
      </c>
      <c r="AN15" s="147"/>
      <c r="AO15" s="113">
        <f t="shared" si="5"/>
        <v>100</v>
      </c>
      <c r="AQ15" s="91">
        <f t="shared" si="6"/>
        <v>113</v>
      </c>
    </row>
    <row r="16" spans="1:43" ht="13.5" thickBot="1" x14ac:dyDescent="0.25">
      <c r="A16" s="27" t="s">
        <v>16</v>
      </c>
      <c r="C16" s="42"/>
      <c r="D16" s="49"/>
      <c r="E16" s="42"/>
      <c r="F16" s="42"/>
      <c r="G16" s="49"/>
      <c r="H16" s="46"/>
      <c r="I16" s="42"/>
      <c r="J16" s="42"/>
      <c r="K16" s="47"/>
      <c r="L16" s="42"/>
      <c r="M16" s="42"/>
      <c r="N16" s="83">
        <f t="shared" si="22"/>
        <v>0</v>
      </c>
      <c r="P16" s="42"/>
      <c r="Q16" s="48"/>
      <c r="R16" s="48"/>
      <c r="S16" s="48"/>
      <c r="T16" s="48"/>
      <c r="U16" s="83">
        <f t="shared" si="23"/>
        <v>0</v>
      </c>
      <c r="W16" s="48"/>
      <c r="X16" s="48"/>
      <c r="Y16" s="48"/>
      <c r="Z16" s="48"/>
      <c r="AA16" s="48"/>
      <c r="AB16" s="83">
        <f t="shared" si="24"/>
        <v>0</v>
      </c>
      <c r="AD16" s="48"/>
      <c r="AE16" s="48"/>
      <c r="AF16" s="48"/>
      <c r="AG16" s="83">
        <f t="shared" si="3"/>
        <v>0</v>
      </c>
      <c r="AI16" s="91">
        <f t="shared" si="4"/>
        <v>0</v>
      </c>
      <c r="AJ16" s="32"/>
      <c r="AK16" s="106">
        <v>0.5</v>
      </c>
      <c r="AL16" s="130"/>
      <c r="AM16" s="130"/>
      <c r="AN16" s="147"/>
      <c r="AO16" s="113">
        <f t="shared" si="5"/>
        <v>0.5</v>
      </c>
      <c r="AQ16" s="91">
        <f t="shared" si="6"/>
        <v>0.5</v>
      </c>
    </row>
    <row r="17" spans="1:43" ht="13.5" thickBot="1" x14ac:dyDescent="0.25">
      <c r="A17" s="27" t="s">
        <v>17</v>
      </c>
      <c r="C17" s="42"/>
      <c r="D17" s="49"/>
      <c r="E17" s="42"/>
      <c r="F17" s="42"/>
      <c r="G17" s="49"/>
      <c r="H17" s="46"/>
      <c r="I17" s="42"/>
      <c r="J17" s="42"/>
      <c r="K17" s="47"/>
      <c r="L17" s="42"/>
      <c r="M17" s="42"/>
      <c r="N17" s="83">
        <f>SUM(C17:M17)</f>
        <v>0</v>
      </c>
      <c r="P17" s="42"/>
      <c r="Q17" s="48"/>
      <c r="R17" s="48"/>
      <c r="S17" s="48"/>
      <c r="T17" s="48"/>
      <c r="U17" s="83">
        <f t="shared" ref="U17" si="25">SUM(P17:T17)</f>
        <v>0</v>
      </c>
      <c r="W17" s="48"/>
      <c r="X17" s="48"/>
      <c r="Y17" s="48"/>
      <c r="Z17" s="48"/>
      <c r="AA17" s="48"/>
      <c r="AB17" s="83">
        <f t="shared" ref="AB17" si="26">SUM(W17:AA17)</f>
        <v>0</v>
      </c>
      <c r="AD17" s="48"/>
      <c r="AE17" s="48"/>
      <c r="AF17" s="48"/>
      <c r="AG17" s="83">
        <f t="shared" si="3"/>
        <v>0</v>
      </c>
      <c r="AI17" s="91">
        <f t="shared" si="4"/>
        <v>0</v>
      </c>
      <c r="AJ17" s="32"/>
      <c r="AK17" s="106"/>
      <c r="AL17" s="130">
        <v>0.59</v>
      </c>
      <c r="AM17" s="130"/>
      <c r="AN17" s="147"/>
      <c r="AO17" s="113">
        <f t="shared" si="5"/>
        <v>0.59</v>
      </c>
      <c r="AQ17" s="91">
        <f t="shared" ref="AQ17" si="27">SUM(AI17,AO17)</f>
        <v>0.59</v>
      </c>
    </row>
    <row r="18" spans="1:43" ht="13.5" thickBot="1" x14ac:dyDescent="0.25">
      <c r="A18" s="9" t="s">
        <v>18</v>
      </c>
      <c r="C18" s="42"/>
      <c r="D18" s="49">
        <v>1.1474074299999999</v>
      </c>
      <c r="E18" s="42"/>
      <c r="F18" s="42"/>
      <c r="G18" s="49">
        <v>3.3388792199999999</v>
      </c>
      <c r="H18" s="50">
        <v>3.4161073900000001</v>
      </c>
      <c r="I18" s="42">
        <v>4.4112623400000004</v>
      </c>
      <c r="J18" s="42">
        <v>4.7375400000000001</v>
      </c>
      <c r="K18" s="47"/>
      <c r="L18" s="42">
        <v>9.0983955899999991</v>
      </c>
      <c r="M18" s="42">
        <v>1.807207</v>
      </c>
      <c r="N18" s="83">
        <f t="shared" si="22"/>
        <v>27.956798970000001</v>
      </c>
      <c r="P18" s="42">
        <v>8.798</v>
      </c>
      <c r="Q18" s="48">
        <v>4.3516250000000003</v>
      </c>
      <c r="R18" s="48">
        <v>4.5993378800000002</v>
      </c>
      <c r="S18" s="48"/>
      <c r="T18" s="48"/>
      <c r="U18" s="83">
        <f t="shared" si="23"/>
        <v>17.748962880000001</v>
      </c>
      <c r="W18" s="48"/>
      <c r="X18" s="48"/>
      <c r="Y18" s="48">
        <v>3.8159674899999998</v>
      </c>
      <c r="Z18" s="48">
        <v>3.6509349800000002</v>
      </c>
      <c r="AA18" s="48">
        <v>7.8875910999999999</v>
      </c>
      <c r="AB18" s="83">
        <f t="shared" si="24"/>
        <v>15.354493569999999</v>
      </c>
      <c r="AD18" s="48"/>
      <c r="AE18" s="48">
        <v>3.4750500400000002</v>
      </c>
      <c r="AF18" s="48"/>
      <c r="AG18" s="83">
        <f t="shared" si="3"/>
        <v>3.4750500400000002</v>
      </c>
      <c r="AI18" s="91">
        <f t="shared" si="4"/>
        <v>64.535305460000004</v>
      </c>
      <c r="AJ18" s="32"/>
      <c r="AK18" s="106"/>
      <c r="AL18" s="130">
        <f>7.91851255+7.99475263</f>
        <v>15.91326518</v>
      </c>
      <c r="AM18" s="130">
        <v>10.687056139999999</v>
      </c>
      <c r="AN18" s="147"/>
      <c r="AO18" s="113">
        <f t="shared" si="5"/>
        <v>26.600321319999999</v>
      </c>
      <c r="AQ18" s="91">
        <f t="shared" si="6"/>
        <v>91.135626779999996</v>
      </c>
    </row>
    <row r="19" spans="1:43" ht="13.5" thickBot="1" x14ac:dyDescent="0.25">
      <c r="A19" s="9" t="s">
        <v>19</v>
      </c>
      <c r="C19" s="42"/>
      <c r="D19" s="49"/>
      <c r="E19" s="42"/>
      <c r="F19" s="49"/>
      <c r="G19" s="49"/>
      <c r="H19" s="50"/>
      <c r="I19" s="42"/>
      <c r="J19" s="42"/>
      <c r="K19" s="47"/>
      <c r="L19" s="42"/>
      <c r="M19" s="42"/>
      <c r="N19" s="83">
        <f t="shared" si="22"/>
        <v>0</v>
      </c>
      <c r="P19" s="42"/>
      <c r="Q19" s="48"/>
      <c r="R19" s="48"/>
      <c r="S19" s="48"/>
      <c r="T19" s="48"/>
      <c r="U19" s="83">
        <f t="shared" si="23"/>
        <v>0</v>
      </c>
      <c r="W19" s="48"/>
      <c r="X19" s="48"/>
      <c r="Y19" s="48"/>
      <c r="Z19" s="48"/>
      <c r="AA19" s="48"/>
      <c r="AB19" s="83">
        <f t="shared" si="24"/>
        <v>0</v>
      </c>
      <c r="AD19" s="48"/>
      <c r="AE19" s="48"/>
      <c r="AF19" s="48"/>
      <c r="AG19" s="83">
        <f t="shared" si="3"/>
        <v>0</v>
      </c>
      <c r="AI19" s="91">
        <f t="shared" si="4"/>
        <v>0</v>
      </c>
      <c r="AJ19" s="32"/>
      <c r="AK19" s="107">
        <v>8.5266999999999996E-2</v>
      </c>
      <c r="AL19" s="130">
        <v>8.2963999999999996E-2</v>
      </c>
      <c r="AM19" s="130">
        <v>4.0644E-2</v>
      </c>
      <c r="AN19" s="147"/>
      <c r="AO19" s="114">
        <f t="shared" si="5"/>
        <v>0.20887499999999998</v>
      </c>
      <c r="AQ19" s="91">
        <f t="shared" si="6"/>
        <v>0.20887499999999998</v>
      </c>
    </row>
    <row r="20" spans="1:43" ht="15" thickBot="1" x14ac:dyDescent="0.25">
      <c r="A20" s="27" t="s">
        <v>124</v>
      </c>
      <c r="C20" s="42"/>
      <c r="D20" s="42"/>
      <c r="E20" s="42"/>
      <c r="F20" s="49">
        <v>1.26</v>
      </c>
      <c r="G20" s="42"/>
      <c r="H20" s="50"/>
      <c r="I20" s="42"/>
      <c r="J20" s="42">
        <v>4.84964</v>
      </c>
      <c r="K20" s="47">
        <v>23.129114000000001</v>
      </c>
      <c r="L20" s="42">
        <v>28.630130000000001</v>
      </c>
      <c r="M20" s="42"/>
      <c r="N20" s="83">
        <f t="shared" si="22"/>
        <v>57.868884000000001</v>
      </c>
      <c r="P20" s="51"/>
      <c r="Q20" s="48">
        <v>12.54732252</v>
      </c>
      <c r="R20" s="48"/>
      <c r="S20" s="48"/>
      <c r="T20" s="48">
        <v>22.27009</v>
      </c>
      <c r="U20" s="83">
        <f t="shared" si="23"/>
        <v>34.817412519999998</v>
      </c>
      <c r="W20" s="48">
        <v>14.401260000000001</v>
      </c>
      <c r="X20" s="48">
        <v>7.8138899999999998</v>
      </c>
      <c r="Y20" s="48">
        <f>30.83275+22.80911886</f>
        <v>53.641868860000002</v>
      </c>
      <c r="Z20" s="48">
        <f>9.8694+80.7264</f>
        <v>90.595799999999997</v>
      </c>
      <c r="AA20" s="48">
        <v>16.350000000000001</v>
      </c>
      <c r="AB20" s="83">
        <f t="shared" si="24"/>
        <v>182.80281886</v>
      </c>
      <c r="AD20" s="48">
        <f>30.83275+1.0966+8.9696</f>
        <v>40.898949999999999</v>
      </c>
      <c r="AE20" s="48">
        <v>16.350000000000001</v>
      </c>
      <c r="AF20" s="48"/>
      <c r="AG20" s="83">
        <f t="shared" si="3"/>
        <v>57.248950000000001</v>
      </c>
      <c r="AI20" s="91">
        <f t="shared" si="4"/>
        <v>332.73806537999997</v>
      </c>
      <c r="AJ20" s="32"/>
      <c r="AK20" s="106"/>
      <c r="AL20" s="130">
        <f>338.85+(55.2358+148.986)</f>
        <v>543.07179999999994</v>
      </c>
      <c r="AM20" s="130">
        <f>63.95246087+4.62573913</f>
        <v>68.57820000000001</v>
      </c>
      <c r="AN20" s="147"/>
      <c r="AO20" s="113">
        <f t="shared" si="5"/>
        <v>611.65</v>
      </c>
      <c r="AQ20" s="91">
        <f t="shared" si="6"/>
        <v>944.38806537999994</v>
      </c>
    </row>
    <row r="21" spans="1:43" ht="13.5" thickBot="1" x14ac:dyDescent="0.25">
      <c r="A21" s="9" t="s">
        <v>20</v>
      </c>
      <c r="C21" s="42"/>
      <c r="D21" s="42"/>
      <c r="E21" s="42"/>
      <c r="F21" s="49"/>
      <c r="G21" s="49"/>
      <c r="H21" s="50"/>
      <c r="I21" s="42"/>
      <c r="J21" s="42"/>
      <c r="K21" s="47"/>
      <c r="L21" s="42"/>
      <c r="M21" s="42"/>
      <c r="N21" s="83">
        <f t="shared" si="22"/>
        <v>0</v>
      </c>
      <c r="P21" s="51"/>
      <c r="Q21" s="48"/>
      <c r="R21" s="48"/>
      <c r="S21" s="48"/>
      <c r="T21" s="48"/>
      <c r="U21" s="83">
        <f t="shared" si="23"/>
        <v>0</v>
      </c>
      <c r="W21" s="48"/>
      <c r="X21" s="48"/>
      <c r="Y21" s="48"/>
      <c r="Z21" s="48"/>
      <c r="AA21" s="48">
        <v>3.0407500000000001</v>
      </c>
      <c r="AB21" s="83">
        <f t="shared" si="24"/>
        <v>3.0407500000000001</v>
      </c>
      <c r="AD21" s="48"/>
      <c r="AE21" s="48"/>
      <c r="AF21" s="48"/>
      <c r="AG21" s="83">
        <f t="shared" si="3"/>
        <v>0</v>
      </c>
      <c r="AI21" s="91">
        <f t="shared" si="4"/>
        <v>3.0407500000000001</v>
      </c>
      <c r="AJ21" s="32"/>
      <c r="AK21" s="106"/>
      <c r="AL21" s="130"/>
      <c r="AM21" s="130">
        <f>2.24626+11.2313+3.67348194+2.03051</f>
        <v>19.181551939999999</v>
      </c>
      <c r="AN21" s="147"/>
      <c r="AO21" s="113">
        <f t="shared" si="5"/>
        <v>19.181551939999999</v>
      </c>
      <c r="AQ21" s="91">
        <f t="shared" si="6"/>
        <v>22.222301939999998</v>
      </c>
    </row>
    <row r="22" spans="1:43" ht="13.5" thickBot="1" x14ac:dyDescent="0.25">
      <c r="A22" s="27" t="s">
        <v>21</v>
      </c>
      <c r="C22" s="42"/>
      <c r="D22" s="42"/>
      <c r="E22" s="42"/>
      <c r="F22" s="42"/>
      <c r="G22" s="49">
        <v>6.0291139200000003</v>
      </c>
      <c r="H22" s="50"/>
      <c r="I22" s="42">
        <v>12.63</v>
      </c>
      <c r="J22" s="42"/>
      <c r="K22" s="47"/>
      <c r="L22" s="42"/>
      <c r="M22" s="42"/>
      <c r="N22" s="83">
        <f t="shared" si="22"/>
        <v>18.659113920000003</v>
      </c>
      <c r="P22" s="42">
        <v>34.5</v>
      </c>
      <c r="Q22" s="48">
        <v>20.102150000000002</v>
      </c>
      <c r="R22" s="48">
        <v>34.93515</v>
      </c>
      <c r="S22" s="48">
        <v>6.8425500000000001</v>
      </c>
      <c r="T22" s="48">
        <v>5.8586</v>
      </c>
      <c r="U22" s="83">
        <f t="shared" si="23"/>
        <v>102.23845</v>
      </c>
      <c r="W22" s="48">
        <v>134.53778</v>
      </c>
      <c r="X22" s="48"/>
      <c r="Y22" s="48"/>
      <c r="Z22" s="48"/>
      <c r="AA22" s="48">
        <v>18.169499999999999</v>
      </c>
      <c r="AB22" s="83">
        <f t="shared" si="24"/>
        <v>152.70728</v>
      </c>
      <c r="AD22" s="48">
        <v>33.595423799999999</v>
      </c>
      <c r="AE22" s="48">
        <v>55.400096400000002</v>
      </c>
      <c r="AF22" s="48"/>
      <c r="AG22" s="83">
        <f t="shared" si="3"/>
        <v>88.995520200000001</v>
      </c>
      <c r="AI22" s="91">
        <f t="shared" si="4"/>
        <v>362.60036411999999</v>
      </c>
      <c r="AJ22" s="32"/>
      <c r="AK22" s="106"/>
      <c r="AL22" s="130">
        <f>42.845544+29.6775+84.42825+20.60977162+23.29758782</f>
        <v>200.85865344000001</v>
      </c>
      <c r="AM22" s="130"/>
      <c r="AN22" s="147"/>
      <c r="AO22" s="113">
        <f t="shared" si="5"/>
        <v>200.85865344000001</v>
      </c>
      <c r="AQ22" s="91">
        <f t="shared" si="6"/>
        <v>563.45901756000001</v>
      </c>
    </row>
    <row r="23" spans="1:43" ht="13.5" thickBot="1" x14ac:dyDescent="0.25">
      <c r="A23" s="9" t="s">
        <v>22</v>
      </c>
      <c r="C23" s="42"/>
      <c r="D23" s="42"/>
      <c r="E23" s="42"/>
      <c r="F23" s="42"/>
      <c r="G23" s="42"/>
      <c r="H23" s="50"/>
      <c r="I23" s="42">
        <v>5.2603999999999997</v>
      </c>
      <c r="J23" s="42">
        <v>5.9480000000000004</v>
      </c>
      <c r="K23" s="47"/>
      <c r="L23" s="42">
        <v>5.7213799999999999</v>
      </c>
      <c r="M23" s="42">
        <v>5.13598</v>
      </c>
      <c r="N23" s="83">
        <f t="shared" si="22"/>
        <v>22.065760000000001</v>
      </c>
      <c r="P23" s="42">
        <v>8.5</v>
      </c>
      <c r="Q23" s="48">
        <v>34.692483279999998</v>
      </c>
      <c r="R23" s="48">
        <v>35.390059999999998</v>
      </c>
      <c r="S23" s="48">
        <f>11.6316+27.47318393+11.2563+9.96968308</f>
        <v>60.330767010000002</v>
      </c>
      <c r="T23" s="48">
        <f>13.6327654+11.148+11.243+11.265+10.744+5.26329122</f>
        <v>63.296056620000002</v>
      </c>
      <c r="U23" s="83">
        <f t="shared" si="23"/>
        <v>202.20936691</v>
      </c>
      <c r="W23" s="48">
        <v>115.24406384</v>
      </c>
      <c r="X23" s="48">
        <f>6.73968835+4.13493716+21.6599+11.2108+11.82085255+6.98574453+23.50283884+11.75141942+11.77411421+6.99919409+21.38212304+11.7821</f>
        <v>149.74371219</v>
      </c>
      <c r="Y23" s="48">
        <f>12.1637438+3.0409359375+9.1228078125+48.654975+34.1016+22.6642+28.33025</f>
        <v>158.07851255</v>
      </c>
      <c r="Z23" s="48">
        <f>18.67846875+18.69210195+18.66483555+18.67846875+77.91</f>
        <v>152.623875</v>
      </c>
      <c r="AA23" s="48">
        <f>18.962625+37.92525+18.962625</f>
        <v>75.850499999999997</v>
      </c>
      <c r="AB23" s="83">
        <f t="shared" si="24"/>
        <v>651.54066358</v>
      </c>
      <c r="AD23" s="48">
        <f>34.25025+34.25025+34.25025+34.25025+29.54</f>
        <v>166.541</v>
      </c>
      <c r="AE23" s="48">
        <f>57.654375+57.654375+23.06175</f>
        <v>138.37049999999999</v>
      </c>
      <c r="AF23" s="48">
        <v>56.339312499999998</v>
      </c>
      <c r="AG23" s="83">
        <f t="shared" si="3"/>
        <v>361.25081249999999</v>
      </c>
      <c r="AI23" s="91">
        <f t="shared" si="4"/>
        <v>1237.0666029899999</v>
      </c>
      <c r="AJ23" s="32"/>
      <c r="AK23" s="106">
        <v>121.14499313</v>
      </c>
      <c r="AL23" s="130">
        <v>827.16319318000001</v>
      </c>
      <c r="AM23" s="130"/>
      <c r="AN23" s="147"/>
      <c r="AO23" s="113">
        <f t="shared" si="5"/>
        <v>948.30818631</v>
      </c>
      <c r="AQ23" s="91">
        <f t="shared" si="6"/>
        <v>2185.3747893</v>
      </c>
    </row>
    <row r="24" spans="1:43" ht="13.5" thickBot="1" x14ac:dyDescent="0.25">
      <c r="A24" s="27" t="s">
        <v>23</v>
      </c>
      <c r="C24" s="42"/>
      <c r="D24" s="49"/>
      <c r="E24" s="42"/>
      <c r="F24" s="42"/>
      <c r="G24" s="49"/>
      <c r="H24" s="46"/>
      <c r="I24" s="42"/>
      <c r="J24" s="42"/>
      <c r="K24" s="47"/>
      <c r="L24" s="42"/>
      <c r="M24" s="42"/>
      <c r="N24" s="83">
        <f t="shared" si="22"/>
        <v>0</v>
      </c>
      <c r="P24" s="42"/>
      <c r="Q24" s="48"/>
      <c r="R24" s="48"/>
      <c r="S24" s="48"/>
      <c r="T24" s="48"/>
      <c r="U24" s="83">
        <f t="shared" ref="U24" si="28">SUM(P24:T24)</f>
        <v>0</v>
      </c>
      <c r="W24" s="48"/>
      <c r="X24" s="48"/>
      <c r="Y24" s="48"/>
      <c r="Z24" s="48"/>
      <c r="AA24" s="48"/>
      <c r="AB24" s="83">
        <f t="shared" ref="AB24" si="29">SUM(W24:AA24)</f>
        <v>0</v>
      </c>
      <c r="AD24" s="48"/>
      <c r="AE24" s="48"/>
      <c r="AF24" s="48"/>
      <c r="AG24" s="83">
        <f t="shared" si="3"/>
        <v>0</v>
      </c>
      <c r="AI24" s="91">
        <f t="shared" si="4"/>
        <v>0</v>
      </c>
      <c r="AJ24" s="32"/>
      <c r="AK24" s="106"/>
      <c r="AL24" s="130">
        <v>1.80585</v>
      </c>
      <c r="AM24" s="130"/>
      <c r="AN24" s="147"/>
      <c r="AO24" s="113">
        <f t="shared" si="5"/>
        <v>1.80585</v>
      </c>
      <c r="AQ24" s="91">
        <f t="shared" ref="AQ24" si="30">SUM(AI24,AO24)</f>
        <v>1.80585</v>
      </c>
    </row>
    <row r="25" spans="1:43" ht="15" thickBot="1" x14ac:dyDescent="0.25">
      <c r="A25" s="27" t="s">
        <v>125</v>
      </c>
      <c r="C25" s="42"/>
      <c r="D25" s="42"/>
      <c r="E25" s="49"/>
      <c r="F25" s="49"/>
      <c r="G25" s="49"/>
      <c r="H25" s="50"/>
      <c r="I25" s="42"/>
      <c r="J25" s="42"/>
      <c r="K25" s="47"/>
      <c r="L25" s="42"/>
      <c r="M25" s="42"/>
      <c r="N25" s="83">
        <f t="shared" si="22"/>
        <v>0</v>
      </c>
      <c r="P25" s="42"/>
      <c r="Q25" s="48"/>
      <c r="R25" s="48"/>
      <c r="S25" s="48"/>
      <c r="T25" s="48"/>
      <c r="U25" s="83">
        <f t="shared" si="23"/>
        <v>0</v>
      </c>
      <c r="W25" s="48"/>
      <c r="X25" s="48"/>
      <c r="Y25" s="48">
        <v>1</v>
      </c>
      <c r="Z25" s="48"/>
      <c r="AA25" s="48"/>
      <c r="AB25" s="83">
        <f t="shared" si="24"/>
        <v>1</v>
      </c>
      <c r="AD25" s="48"/>
      <c r="AE25" s="48"/>
      <c r="AF25" s="48"/>
      <c r="AG25" s="83">
        <f t="shared" si="3"/>
        <v>0</v>
      </c>
      <c r="AI25" s="91">
        <f t="shared" si="4"/>
        <v>1</v>
      </c>
      <c r="AJ25" s="32"/>
      <c r="AK25" s="106"/>
      <c r="AL25" s="130">
        <f>1.92337283+4.12473189+(0.1008+0.189+0.021+0.021)</f>
        <v>6.3799047199999999</v>
      </c>
      <c r="AM25" s="130">
        <f>1.82136092+0.0082</f>
        <v>1.82956092</v>
      </c>
      <c r="AN25" s="147"/>
      <c r="AO25" s="113">
        <f t="shared" si="5"/>
        <v>8.2094656399999995</v>
      </c>
      <c r="AQ25" s="91">
        <f t="shared" si="6"/>
        <v>9.2094656399999995</v>
      </c>
    </row>
    <row r="26" spans="1:43" ht="13.5" thickBot="1" x14ac:dyDescent="0.25">
      <c r="A26" s="27" t="s">
        <v>24</v>
      </c>
      <c r="C26" s="42"/>
      <c r="D26" s="42"/>
      <c r="E26" s="49"/>
      <c r="F26" s="49"/>
      <c r="G26" s="49"/>
      <c r="H26" s="50"/>
      <c r="I26" s="42"/>
      <c r="J26" s="42"/>
      <c r="K26" s="47"/>
      <c r="L26" s="42"/>
      <c r="M26" s="42"/>
      <c r="N26" s="83">
        <f t="shared" si="22"/>
        <v>0</v>
      </c>
      <c r="P26" s="42"/>
      <c r="Q26" s="48"/>
      <c r="R26" s="48"/>
      <c r="S26" s="48">
        <f>1+1</f>
        <v>2</v>
      </c>
      <c r="T26" s="48">
        <v>1</v>
      </c>
      <c r="U26" s="83">
        <f t="shared" si="23"/>
        <v>3</v>
      </c>
      <c r="W26" s="48">
        <v>1</v>
      </c>
      <c r="X26" s="48"/>
      <c r="Y26" s="48">
        <v>2</v>
      </c>
      <c r="Z26" s="48">
        <f>2+2</f>
        <v>4</v>
      </c>
      <c r="AA26" s="48"/>
      <c r="AB26" s="83">
        <f t="shared" si="24"/>
        <v>7</v>
      </c>
      <c r="AD26" s="48">
        <f>2+3</f>
        <v>5</v>
      </c>
      <c r="AE26" s="48">
        <v>3</v>
      </c>
      <c r="AF26" s="48">
        <v>3</v>
      </c>
      <c r="AG26" s="83">
        <f t="shared" si="3"/>
        <v>11</v>
      </c>
      <c r="AI26" s="91">
        <f t="shared" si="4"/>
        <v>21</v>
      </c>
      <c r="AJ26" s="32"/>
      <c r="AK26" s="106"/>
      <c r="AL26" s="130"/>
      <c r="AM26" s="130"/>
      <c r="AN26" s="147"/>
      <c r="AO26" s="113">
        <f t="shared" si="5"/>
        <v>0</v>
      </c>
      <c r="AQ26" s="91">
        <f t="shared" si="6"/>
        <v>21</v>
      </c>
    </row>
    <row r="27" spans="1:43" ht="13.5" thickBot="1" x14ac:dyDescent="0.25">
      <c r="A27" s="9" t="s">
        <v>25</v>
      </c>
      <c r="C27" s="42"/>
      <c r="D27" s="42"/>
      <c r="E27" s="49">
        <v>0.51075000000000004</v>
      </c>
      <c r="F27" s="49">
        <v>0.62375000000000003</v>
      </c>
      <c r="G27" s="49">
        <v>0.65</v>
      </c>
      <c r="H27" s="50">
        <v>0.83145999999999998</v>
      </c>
      <c r="I27" s="42">
        <v>7.9020000000000001</v>
      </c>
      <c r="J27" s="52">
        <v>8.3111999999999995</v>
      </c>
      <c r="K27" s="47">
        <v>3.8413200000000001</v>
      </c>
      <c r="L27" s="42">
        <v>3.54</v>
      </c>
      <c r="M27" s="42">
        <v>3.6308630000000002</v>
      </c>
      <c r="N27" s="83">
        <f t="shared" si="22"/>
        <v>29.841343000000002</v>
      </c>
      <c r="P27" s="42">
        <v>4.9130000000000003</v>
      </c>
      <c r="Q27" s="48">
        <v>3.4915850000000002</v>
      </c>
      <c r="R27" s="48">
        <v>2.9849399999999999</v>
      </c>
      <c r="S27" s="48">
        <v>0.74670000000000003</v>
      </c>
      <c r="T27" s="48">
        <v>3.2814000000000001</v>
      </c>
      <c r="U27" s="83">
        <f t="shared" si="23"/>
        <v>15.417625000000001</v>
      </c>
      <c r="W27" s="48">
        <v>3.20139</v>
      </c>
      <c r="X27" s="48">
        <v>3.53277749</v>
      </c>
      <c r="Y27" s="48">
        <v>3.4058999999999999</v>
      </c>
      <c r="Z27" s="48">
        <v>3.3682799999999999</v>
      </c>
      <c r="AA27" s="48">
        <v>3.2463000000000002</v>
      </c>
      <c r="AB27" s="83">
        <f t="shared" si="24"/>
        <v>16.75464749</v>
      </c>
      <c r="AD27" s="48">
        <v>3.5190000000000001</v>
      </c>
      <c r="AE27" s="48">
        <v>3.1566000000000001</v>
      </c>
      <c r="AF27" s="48">
        <v>4.5071450000000004</v>
      </c>
      <c r="AG27" s="83">
        <f t="shared" si="3"/>
        <v>11.182745000000001</v>
      </c>
      <c r="AI27" s="91">
        <f t="shared" si="4"/>
        <v>73.196360490000004</v>
      </c>
      <c r="AJ27" s="32"/>
      <c r="AK27" s="106"/>
      <c r="AL27" s="130">
        <f>4.772+3.47895</f>
        <v>8.2509499999999996</v>
      </c>
      <c r="AM27" s="130">
        <v>1.1015999999999999</v>
      </c>
      <c r="AN27" s="147"/>
      <c r="AO27" s="113">
        <f t="shared" si="5"/>
        <v>9.352549999999999</v>
      </c>
      <c r="AQ27" s="91">
        <f t="shared" si="6"/>
        <v>82.548910489999997</v>
      </c>
    </row>
    <row r="28" spans="1:43" ht="13.5" thickBot="1" x14ac:dyDescent="0.25">
      <c r="A28" s="27" t="s">
        <v>26</v>
      </c>
      <c r="C28" s="42"/>
      <c r="D28" s="42"/>
      <c r="E28" s="49"/>
      <c r="F28" s="49"/>
      <c r="G28" s="49"/>
      <c r="H28" s="50"/>
      <c r="I28" s="42"/>
      <c r="J28" s="52"/>
      <c r="K28" s="47"/>
      <c r="L28" s="42"/>
      <c r="M28" s="42"/>
      <c r="N28" s="83">
        <f t="shared" si="22"/>
        <v>0</v>
      </c>
      <c r="P28" s="42"/>
      <c r="Q28" s="48"/>
      <c r="R28" s="48"/>
      <c r="S28" s="48"/>
      <c r="T28" s="48"/>
      <c r="U28" s="83">
        <f t="shared" si="23"/>
        <v>0</v>
      </c>
      <c r="W28" s="48">
        <v>4.2531999999999996</v>
      </c>
      <c r="X28" s="48">
        <v>14.32920461</v>
      </c>
      <c r="Y28" s="48">
        <v>32.418120000000002</v>
      </c>
      <c r="Z28" s="48">
        <v>31.113600000000002</v>
      </c>
      <c r="AA28" s="48">
        <v>32.569600000000001</v>
      </c>
      <c r="AB28" s="83">
        <f t="shared" si="24"/>
        <v>114.68372461000001</v>
      </c>
      <c r="AD28" s="48">
        <v>4.7977999999999996</v>
      </c>
      <c r="AE28" s="48">
        <v>25.029599999999999</v>
      </c>
      <c r="AF28" s="48"/>
      <c r="AG28" s="83">
        <f t="shared" si="3"/>
        <v>29.827399999999997</v>
      </c>
      <c r="AI28" s="91">
        <f t="shared" si="4"/>
        <v>144.51112461000002</v>
      </c>
      <c r="AJ28" s="32"/>
      <c r="AK28" s="106"/>
      <c r="AL28" s="130">
        <f>79.375+24.492+338.85</f>
        <v>442.71700000000004</v>
      </c>
      <c r="AM28" s="130">
        <v>104.92</v>
      </c>
      <c r="AN28" s="147"/>
      <c r="AO28" s="113">
        <f t="shared" si="5"/>
        <v>547.63700000000006</v>
      </c>
      <c r="AQ28" s="91">
        <f t="shared" si="6"/>
        <v>692.14812461000008</v>
      </c>
    </row>
    <row r="29" spans="1:43" ht="15" thickBot="1" x14ac:dyDescent="0.25">
      <c r="A29" s="27" t="s">
        <v>126</v>
      </c>
      <c r="C29" s="42"/>
      <c r="D29" s="42"/>
      <c r="E29" s="49"/>
      <c r="F29" s="49"/>
      <c r="G29" s="49"/>
      <c r="H29" s="50"/>
      <c r="I29" s="42"/>
      <c r="J29" s="52"/>
      <c r="K29" s="47"/>
      <c r="L29" s="42"/>
      <c r="M29" s="42"/>
      <c r="N29" s="83">
        <f t="shared" si="22"/>
        <v>0</v>
      </c>
      <c r="P29" s="42">
        <v>9.3480000000000008</v>
      </c>
      <c r="Q29" s="48">
        <v>9.0673919999999999</v>
      </c>
      <c r="R29" s="48">
        <v>9.0673919999999999</v>
      </c>
      <c r="S29" s="48">
        <v>8.6844629999999992</v>
      </c>
      <c r="T29" s="48">
        <v>17.368928</v>
      </c>
      <c r="U29" s="83">
        <f t="shared" si="23"/>
        <v>53.536175</v>
      </c>
      <c r="W29" s="48">
        <v>18.759418</v>
      </c>
      <c r="X29" s="48">
        <f>0.166666+19</f>
        <v>19.166665999999999</v>
      </c>
      <c r="Y29" s="48">
        <f>0.181818+18.818181+0.178571</f>
        <v>19.178570000000001</v>
      </c>
      <c r="Z29" s="48">
        <f>18.85+0.160714</f>
        <v>19.010714</v>
      </c>
      <c r="AA29" s="48">
        <f>18.6881+35+35-30</f>
        <v>58.688099999999991</v>
      </c>
      <c r="AB29" s="83">
        <f t="shared" si="24"/>
        <v>134.80346800000001</v>
      </c>
      <c r="AD29" s="48">
        <v>0.122627</v>
      </c>
      <c r="AE29" s="48">
        <f>10+10+10</f>
        <v>30</v>
      </c>
      <c r="AF29" s="48">
        <v>10</v>
      </c>
      <c r="AG29" s="83">
        <f t="shared" si="3"/>
        <v>40.122627000000001</v>
      </c>
      <c r="AI29" s="91">
        <f t="shared" si="4"/>
        <v>228.46227000000002</v>
      </c>
      <c r="AJ29" s="32"/>
      <c r="AK29" s="106">
        <f>15+15+30</f>
        <v>60</v>
      </c>
      <c r="AL29" s="130">
        <f>50+90</f>
        <v>140</v>
      </c>
      <c r="AM29" s="130">
        <f>648.884+151.116</f>
        <v>800</v>
      </c>
      <c r="AN29" s="147">
        <f>100+200-(92.78350515+38.1443299)</f>
        <v>169.07216495</v>
      </c>
      <c r="AO29" s="113">
        <f t="shared" si="5"/>
        <v>1169.0721649500001</v>
      </c>
      <c r="AQ29" s="91">
        <f t="shared" si="6"/>
        <v>1397.5344349500001</v>
      </c>
    </row>
    <row r="30" spans="1:43" ht="13.5" thickBot="1" x14ac:dyDescent="0.25">
      <c r="A30" s="27" t="s">
        <v>27</v>
      </c>
      <c r="C30" s="42"/>
      <c r="D30" s="42"/>
      <c r="E30" s="49"/>
      <c r="F30" s="49"/>
      <c r="G30" s="49"/>
      <c r="H30" s="50"/>
      <c r="I30" s="42"/>
      <c r="J30" s="52"/>
      <c r="K30" s="47"/>
      <c r="L30" s="42"/>
      <c r="M30" s="42"/>
      <c r="N30" s="83">
        <f t="shared" si="22"/>
        <v>0</v>
      </c>
      <c r="P30" s="42"/>
      <c r="Q30" s="48"/>
      <c r="R30" s="48"/>
      <c r="S30" s="48"/>
      <c r="T30" s="48"/>
      <c r="U30" s="83">
        <f t="shared" si="23"/>
        <v>0</v>
      </c>
      <c r="W30" s="48"/>
      <c r="X30" s="48"/>
      <c r="Y30" s="48"/>
      <c r="Z30" s="48">
        <v>0.5</v>
      </c>
      <c r="AA30" s="48">
        <v>0.5</v>
      </c>
      <c r="AB30" s="83">
        <f t="shared" si="24"/>
        <v>1</v>
      </c>
      <c r="AD30" s="48"/>
      <c r="AE30" s="48"/>
      <c r="AF30" s="48"/>
      <c r="AG30" s="83">
        <f t="shared" si="3"/>
        <v>0</v>
      </c>
      <c r="AI30" s="91">
        <f t="shared" si="4"/>
        <v>1</v>
      </c>
      <c r="AJ30" s="32"/>
      <c r="AK30" s="106">
        <v>10</v>
      </c>
      <c r="AL30" s="130">
        <f>20+10</f>
        <v>30</v>
      </c>
      <c r="AM30" s="130">
        <v>10</v>
      </c>
      <c r="AN30" s="147"/>
      <c r="AO30" s="113">
        <f t="shared" si="5"/>
        <v>50</v>
      </c>
      <c r="AQ30" s="91">
        <f t="shared" si="6"/>
        <v>51</v>
      </c>
    </row>
    <row r="31" spans="1:43" ht="13.5" thickBot="1" x14ac:dyDescent="0.25">
      <c r="A31" s="27" t="s">
        <v>28</v>
      </c>
      <c r="C31" s="42"/>
      <c r="D31" s="49"/>
      <c r="E31" s="42"/>
      <c r="F31" s="42"/>
      <c r="G31" s="49"/>
      <c r="H31" s="46"/>
      <c r="I31" s="42"/>
      <c r="J31" s="42"/>
      <c r="K31" s="47"/>
      <c r="L31" s="42"/>
      <c r="M31" s="42"/>
      <c r="N31" s="83">
        <f t="shared" si="22"/>
        <v>0</v>
      </c>
      <c r="P31" s="42"/>
      <c r="Q31" s="48"/>
      <c r="R31" s="48"/>
      <c r="S31" s="48"/>
      <c r="T31" s="48"/>
      <c r="U31" s="83">
        <f t="shared" ref="U31" si="31">SUM(P31:T31)</f>
        <v>0</v>
      </c>
      <c r="W31" s="48"/>
      <c r="X31" s="48"/>
      <c r="Y31" s="48"/>
      <c r="Z31" s="48"/>
      <c r="AA31" s="48"/>
      <c r="AB31" s="83">
        <f t="shared" ref="AB31" si="32">SUM(W31:AA31)</f>
        <v>0</v>
      </c>
      <c r="AD31" s="48"/>
      <c r="AE31" s="48"/>
      <c r="AF31" s="48"/>
      <c r="AG31" s="83">
        <f t="shared" si="3"/>
        <v>0</v>
      </c>
      <c r="AI31" s="91">
        <f t="shared" si="4"/>
        <v>0</v>
      </c>
      <c r="AJ31" s="32"/>
      <c r="AK31" s="106"/>
      <c r="AL31" s="130">
        <f>0.10950819+0.10678325</f>
        <v>0.21629144</v>
      </c>
      <c r="AM31" s="130">
        <f>0.10702567+0.32500631</f>
        <v>0.43203198000000004</v>
      </c>
      <c r="AN31" s="147"/>
      <c r="AO31" s="113">
        <f t="shared" si="5"/>
        <v>0.64832342000000009</v>
      </c>
      <c r="AQ31" s="91">
        <f t="shared" ref="AQ31" si="33">SUM(AI31,AO31)</f>
        <v>0.64832342000000009</v>
      </c>
    </row>
    <row r="32" spans="1:43" ht="13.5" thickBot="1" x14ac:dyDescent="0.25">
      <c r="A32" s="9" t="s">
        <v>29</v>
      </c>
      <c r="C32" s="42"/>
      <c r="D32" s="42"/>
      <c r="E32" s="49"/>
      <c r="F32" s="49"/>
      <c r="G32" s="49"/>
      <c r="H32" s="53">
        <v>0.64515</v>
      </c>
      <c r="I32" s="42">
        <v>1.318775</v>
      </c>
      <c r="J32" s="52">
        <v>0.81184000000000001</v>
      </c>
      <c r="K32" s="47">
        <v>1.4229000000000001</v>
      </c>
      <c r="L32" s="42">
        <v>1.1912400000000001</v>
      </c>
      <c r="M32" s="42">
        <v>1.1004400000000001</v>
      </c>
      <c r="N32" s="83">
        <f t="shared" si="22"/>
        <v>6.4903450000000005</v>
      </c>
      <c r="P32" s="42">
        <v>1.1859999999999999</v>
      </c>
      <c r="Q32" s="48">
        <v>1.0752701</v>
      </c>
      <c r="R32" s="48">
        <v>1.0590259</v>
      </c>
      <c r="S32" s="48">
        <v>1.1205940000000001</v>
      </c>
      <c r="T32" s="48">
        <v>0.92074765999999997</v>
      </c>
      <c r="U32" s="83">
        <f t="shared" si="23"/>
        <v>5.3616376599999995</v>
      </c>
      <c r="W32" s="48">
        <v>0.89615856999999999</v>
      </c>
      <c r="X32" s="48">
        <v>0.863788</v>
      </c>
      <c r="Y32" s="48">
        <v>0.91593999999999998</v>
      </c>
      <c r="Z32" s="48">
        <v>0.88240200000000002</v>
      </c>
      <c r="AA32" s="48">
        <v>0.94431200000000004</v>
      </c>
      <c r="AB32" s="83">
        <f t="shared" si="24"/>
        <v>4.5026005700000002</v>
      </c>
      <c r="AD32" s="48">
        <v>1.1918</v>
      </c>
      <c r="AE32" s="48">
        <v>0.97150000000000003</v>
      </c>
      <c r="AF32" s="48"/>
      <c r="AG32" s="83">
        <f t="shared" si="3"/>
        <v>2.1633</v>
      </c>
      <c r="AI32" s="91">
        <f t="shared" si="4"/>
        <v>18.517883229999999</v>
      </c>
      <c r="AJ32" s="32"/>
      <c r="AK32" s="106"/>
      <c r="AL32" s="130">
        <f>0.60715+0.60125+0.586+2.252756</f>
        <v>4.0471560000000002</v>
      </c>
      <c r="AM32" s="130">
        <f>1.007738+0.5014</f>
        <v>1.5091380000000001</v>
      </c>
      <c r="AN32" s="147"/>
      <c r="AO32" s="113">
        <f t="shared" si="5"/>
        <v>5.5562940000000003</v>
      </c>
      <c r="AQ32" s="91">
        <f t="shared" si="6"/>
        <v>24.07417723</v>
      </c>
    </row>
    <row r="33" spans="1:43" ht="13.5" thickBot="1" x14ac:dyDescent="0.25">
      <c r="A33" s="9" t="s">
        <v>30</v>
      </c>
      <c r="C33" s="42"/>
      <c r="D33" s="42"/>
      <c r="E33" s="49"/>
      <c r="F33" s="49"/>
      <c r="G33" s="49"/>
      <c r="H33" s="53"/>
      <c r="I33" s="42"/>
      <c r="J33" s="52"/>
      <c r="K33" s="47"/>
      <c r="L33" s="42"/>
      <c r="M33" s="42"/>
      <c r="N33" s="83">
        <f t="shared" si="22"/>
        <v>0</v>
      </c>
      <c r="P33" s="42"/>
      <c r="Q33" s="48"/>
      <c r="R33" s="48"/>
      <c r="S33" s="48"/>
      <c r="T33" s="48"/>
      <c r="U33" s="83">
        <f t="shared" si="23"/>
        <v>0</v>
      </c>
      <c r="W33" s="48"/>
      <c r="X33" s="48"/>
      <c r="Y33" s="48"/>
      <c r="Z33" s="48"/>
      <c r="AA33" s="48"/>
      <c r="AB33" s="83">
        <f t="shared" si="24"/>
        <v>0</v>
      </c>
      <c r="AD33" s="48"/>
      <c r="AE33" s="48"/>
      <c r="AF33" s="48"/>
      <c r="AG33" s="83">
        <f t="shared" si="3"/>
        <v>0</v>
      </c>
      <c r="AI33" s="91">
        <f t="shared" si="4"/>
        <v>0</v>
      </c>
      <c r="AJ33" s="32"/>
      <c r="AK33" s="106"/>
      <c r="AL33" s="130">
        <v>0.1</v>
      </c>
      <c r="AM33" s="130"/>
      <c r="AN33" s="147"/>
      <c r="AO33" s="113">
        <f t="shared" si="5"/>
        <v>0.1</v>
      </c>
      <c r="AQ33" s="91">
        <f t="shared" si="6"/>
        <v>0.1</v>
      </c>
    </row>
    <row r="34" spans="1:43" ht="13.5" thickBot="1" x14ac:dyDescent="0.25">
      <c r="A34" s="9" t="s">
        <v>31</v>
      </c>
      <c r="C34" s="42"/>
      <c r="D34" s="42"/>
      <c r="E34" s="49"/>
      <c r="F34" s="49"/>
      <c r="G34" s="49"/>
      <c r="H34" s="53"/>
      <c r="I34" s="42"/>
      <c r="J34" s="52"/>
      <c r="K34" s="47"/>
      <c r="L34" s="42"/>
      <c r="M34" s="42"/>
      <c r="N34" s="83">
        <f t="shared" ref="N34" si="34">SUM(C34:M34)</f>
        <v>0</v>
      </c>
      <c r="P34" s="42"/>
      <c r="Q34" s="48"/>
      <c r="R34" s="48"/>
      <c r="S34" s="48"/>
      <c r="T34" s="48"/>
      <c r="U34" s="83">
        <f t="shared" ref="U34" si="35">SUM(P34:T34)</f>
        <v>0</v>
      </c>
      <c r="W34" s="48"/>
      <c r="X34" s="48"/>
      <c r="Y34" s="48"/>
      <c r="Z34" s="48"/>
      <c r="AA34" s="48"/>
      <c r="AB34" s="83">
        <f t="shared" ref="AB34" si="36">SUM(W34:AA34)</f>
        <v>0</v>
      </c>
      <c r="AD34" s="48"/>
      <c r="AE34" s="48"/>
      <c r="AF34" s="48"/>
      <c r="AG34" s="83">
        <f t="shared" si="3"/>
        <v>0</v>
      </c>
      <c r="AI34" s="91">
        <f t="shared" si="4"/>
        <v>0</v>
      </c>
      <c r="AJ34" s="32"/>
      <c r="AK34" s="106"/>
      <c r="AL34" s="130">
        <v>4.7204000000000003E-2</v>
      </c>
      <c r="AM34" s="130">
        <v>4.0356000000000003E-2</v>
      </c>
      <c r="AN34" s="147"/>
      <c r="AO34" s="113">
        <f t="shared" si="5"/>
        <v>8.7559999999999999E-2</v>
      </c>
      <c r="AQ34" s="91">
        <f t="shared" ref="AQ34" si="37">SUM(AI34,AO34)</f>
        <v>8.7559999999999999E-2</v>
      </c>
    </row>
    <row r="35" spans="1:43" ht="13.5" thickBot="1" x14ac:dyDescent="0.25">
      <c r="A35" s="9" t="s">
        <v>32</v>
      </c>
      <c r="C35" s="42"/>
      <c r="D35" s="42"/>
      <c r="E35" s="49"/>
      <c r="F35" s="49"/>
      <c r="G35" s="49"/>
      <c r="H35" s="53"/>
      <c r="I35" s="42"/>
      <c r="J35" s="52"/>
      <c r="K35" s="47"/>
      <c r="L35" s="42"/>
      <c r="M35" s="42"/>
      <c r="N35" s="83">
        <f t="shared" si="22"/>
        <v>0</v>
      </c>
      <c r="P35" s="42"/>
      <c r="Q35" s="48"/>
      <c r="R35" s="48"/>
      <c r="S35" s="48"/>
      <c r="T35" s="48"/>
      <c r="U35" s="83">
        <f t="shared" si="23"/>
        <v>0</v>
      </c>
      <c r="W35" s="48"/>
      <c r="X35" s="48"/>
      <c r="Y35" s="48"/>
      <c r="Z35" s="48"/>
      <c r="AA35" s="48">
        <f>0.0025-0.0025</f>
        <v>0</v>
      </c>
      <c r="AB35" s="83">
        <f t="shared" si="24"/>
        <v>0</v>
      </c>
      <c r="AD35" s="48"/>
      <c r="AE35" s="48"/>
      <c r="AF35" s="48"/>
      <c r="AG35" s="83">
        <f t="shared" si="3"/>
        <v>0</v>
      </c>
      <c r="AI35" s="91">
        <f t="shared" si="4"/>
        <v>0</v>
      </c>
      <c r="AJ35" s="32"/>
      <c r="AK35" s="106"/>
      <c r="AL35" s="130">
        <v>2.5000000000000001E-3</v>
      </c>
      <c r="AM35" s="130"/>
      <c r="AN35" s="147"/>
      <c r="AO35" s="113">
        <f t="shared" si="5"/>
        <v>2.5000000000000001E-3</v>
      </c>
      <c r="AQ35" s="91">
        <f t="shared" si="6"/>
        <v>2.5000000000000001E-3</v>
      </c>
    </row>
    <row r="36" spans="1:43" ht="13.5" thickBot="1" x14ac:dyDescent="0.25">
      <c r="A36" s="9" t="s">
        <v>33</v>
      </c>
      <c r="C36" s="42"/>
      <c r="D36" s="42"/>
      <c r="E36" s="49"/>
      <c r="F36" s="49"/>
      <c r="G36" s="49"/>
      <c r="H36" s="53"/>
      <c r="I36" s="42"/>
      <c r="J36" s="52"/>
      <c r="K36" s="47"/>
      <c r="L36" s="42"/>
      <c r="M36" s="42"/>
      <c r="N36" s="83">
        <f t="shared" si="22"/>
        <v>0</v>
      </c>
      <c r="P36" s="42"/>
      <c r="Q36" s="48"/>
      <c r="R36" s="48"/>
      <c r="S36" s="48"/>
      <c r="T36" s="48"/>
      <c r="U36" s="83">
        <f t="shared" si="23"/>
        <v>0</v>
      </c>
      <c r="W36" s="48"/>
      <c r="X36" s="48"/>
      <c r="Y36" s="48"/>
      <c r="Z36" s="48"/>
      <c r="AA36" s="48"/>
      <c r="AB36" s="83">
        <f t="shared" si="24"/>
        <v>0</v>
      </c>
      <c r="AD36" s="48"/>
      <c r="AE36" s="48"/>
      <c r="AF36" s="48"/>
      <c r="AG36" s="83">
        <f t="shared" si="3"/>
        <v>0</v>
      </c>
      <c r="AI36" s="91">
        <f t="shared" si="4"/>
        <v>0</v>
      </c>
      <c r="AJ36" s="32"/>
      <c r="AK36" s="106"/>
      <c r="AL36" s="130">
        <v>0.25</v>
      </c>
      <c r="AM36" s="130"/>
      <c r="AN36" s="147"/>
      <c r="AO36" s="113">
        <f t="shared" si="5"/>
        <v>0.25</v>
      </c>
      <c r="AQ36" s="91">
        <f t="shared" si="6"/>
        <v>0.25</v>
      </c>
    </row>
    <row r="37" spans="1:43" ht="13.5" thickBot="1" x14ac:dyDescent="0.25">
      <c r="A37" s="9" t="s">
        <v>34</v>
      </c>
      <c r="C37" s="42"/>
      <c r="D37" s="42"/>
      <c r="E37" s="49"/>
      <c r="F37" s="49"/>
      <c r="G37" s="49"/>
      <c r="H37" s="53"/>
      <c r="I37" s="42"/>
      <c r="J37" s="52"/>
      <c r="K37" s="47"/>
      <c r="L37" s="42"/>
      <c r="M37" s="42"/>
      <c r="N37" s="83">
        <f t="shared" ref="N37" si="38">SUM(C37:M37)</f>
        <v>0</v>
      </c>
      <c r="P37" s="42"/>
      <c r="Q37" s="48"/>
      <c r="R37" s="48"/>
      <c r="S37" s="48"/>
      <c r="T37" s="48"/>
      <c r="U37" s="83">
        <f t="shared" ref="U37" si="39">SUM(P37:T37)</f>
        <v>0</v>
      </c>
      <c r="W37" s="48"/>
      <c r="X37" s="48"/>
      <c r="Y37" s="48"/>
      <c r="Z37" s="48"/>
      <c r="AA37" s="48"/>
      <c r="AB37" s="83">
        <f t="shared" ref="AB37" si="40">SUM(W37:AA37)</f>
        <v>0</v>
      </c>
      <c r="AD37" s="48"/>
      <c r="AE37" s="48"/>
      <c r="AF37" s="48"/>
      <c r="AG37" s="83">
        <f t="shared" si="3"/>
        <v>0</v>
      </c>
      <c r="AI37" s="91">
        <f t="shared" si="4"/>
        <v>0</v>
      </c>
      <c r="AJ37" s="32"/>
      <c r="AK37" s="106"/>
      <c r="AL37" s="130">
        <v>3.0000000000000001E-3</v>
      </c>
      <c r="AM37" s="130"/>
      <c r="AN37" s="147"/>
      <c r="AO37" s="113">
        <f t="shared" si="5"/>
        <v>3.0000000000000001E-3</v>
      </c>
      <c r="AQ37" s="91">
        <f t="shared" ref="AQ37" si="41">SUM(AI37,AO37)</f>
        <v>3.0000000000000001E-3</v>
      </c>
    </row>
    <row r="38" spans="1:43" ht="13.5" thickBot="1" x14ac:dyDescent="0.25">
      <c r="A38" s="27" t="s">
        <v>35</v>
      </c>
      <c r="C38" s="42"/>
      <c r="D38" s="42"/>
      <c r="E38" s="49"/>
      <c r="F38" s="49"/>
      <c r="G38" s="49"/>
      <c r="H38" s="53"/>
      <c r="I38" s="42"/>
      <c r="J38" s="52"/>
      <c r="K38" s="47"/>
      <c r="L38" s="42"/>
      <c r="M38" s="42"/>
      <c r="N38" s="83">
        <f t="shared" si="22"/>
        <v>0</v>
      </c>
      <c r="P38" s="42"/>
      <c r="Q38" s="48"/>
      <c r="R38" s="48"/>
      <c r="S38" s="48"/>
      <c r="T38" s="48"/>
      <c r="U38" s="83">
        <f t="shared" si="23"/>
        <v>0</v>
      </c>
      <c r="W38" s="48"/>
      <c r="X38" s="33">
        <v>0.107821</v>
      </c>
      <c r="Y38" s="33">
        <v>0.18451200000000001</v>
      </c>
      <c r="Z38" s="33">
        <v>0.16945199999999999</v>
      </c>
      <c r="AA38" s="48">
        <f>0.168615+0.65088</f>
        <v>0.81949499999999997</v>
      </c>
      <c r="AB38" s="83">
        <f t="shared" si="24"/>
        <v>1.28128</v>
      </c>
      <c r="AD38" s="48">
        <v>0.11917999999999999</v>
      </c>
      <c r="AE38" s="48">
        <v>0.1399125</v>
      </c>
      <c r="AF38" s="48">
        <v>0.13247500000000001</v>
      </c>
      <c r="AG38" s="83">
        <f t="shared" si="3"/>
        <v>0.39156750000000001</v>
      </c>
      <c r="AI38" s="91">
        <f t="shared" si="4"/>
        <v>1.6728475</v>
      </c>
      <c r="AJ38" s="32"/>
      <c r="AK38" s="107">
        <f>0.023876+0.03648861</f>
        <v>6.0364609999999999E-2</v>
      </c>
      <c r="AL38" s="130"/>
      <c r="AM38" s="130"/>
      <c r="AN38" s="147">
        <v>6.58585E-2</v>
      </c>
      <c r="AO38" s="114">
        <f t="shared" si="5"/>
        <v>0.12622311</v>
      </c>
      <c r="AQ38" s="91">
        <f t="shared" si="6"/>
        <v>1.79907061</v>
      </c>
    </row>
    <row r="39" spans="1:43" ht="13.5" thickBot="1" x14ac:dyDescent="0.25">
      <c r="A39" s="9" t="s">
        <v>36</v>
      </c>
      <c r="C39" s="42"/>
      <c r="D39" s="42">
        <v>24.060334619999999</v>
      </c>
      <c r="E39" s="42">
        <v>13.375171870000001</v>
      </c>
      <c r="F39" s="42">
        <v>16.492641949999999</v>
      </c>
      <c r="G39" s="49">
        <v>17.329866450000001</v>
      </c>
      <c r="H39" s="50">
        <v>15.85941435</v>
      </c>
      <c r="I39" s="42"/>
      <c r="J39" s="52">
        <v>33.547469</v>
      </c>
      <c r="K39" s="47">
        <v>38.885300999999998</v>
      </c>
      <c r="L39" s="42">
        <v>31.20579</v>
      </c>
      <c r="M39" s="42">
        <v>25.1113845</v>
      </c>
      <c r="N39" s="83">
        <f t="shared" si="22"/>
        <v>215.86737374000001</v>
      </c>
      <c r="P39" s="42">
        <v>26.3</v>
      </c>
      <c r="Q39" s="48">
        <v>14.2065</v>
      </c>
      <c r="R39" s="48">
        <v>34.427500000000002</v>
      </c>
      <c r="S39" s="48">
        <v>39.8048</v>
      </c>
      <c r="T39" s="48">
        <v>33.945599999999999</v>
      </c>
      <c r="U39" s="83">
        <f t="shared" si="23"/>
        <v>148.68439999999998</v>
      </c>
      <c r="W39" s="48">
        <v>38.309967</v>
      </c>
      <c r="X39" s="48">
        <f>0.68127625+1.17542486+57.47701758</f>
        <v>59.333718690000005</v>
      </c>
      <c r="Y39" s="48">
        <f>1.48437318+0.11609+1.102855+25.4222244375+18.245615625</f>
        <v>46.371158242500002</v>
      </c>
      <c r="Z39" s="48">
        <f>42.96047813+4.05511412</f>
        <v>47.015592249999997</v>
      </c>
      <c r="AA39" s="48">
        <f>28.1911025+2.8549211</f>
        <v>31.046023599999998</v>
      </c>
      <c r="AB39" s="83">
        <f t="shared" si="24"/>
        <v>222.07645978250002</v>
      </c>
      <c r="AD39" s="48">
        <v>11.563000000000001</v>
      </c>
      <c r="AE39" s="48">
        <f>9.854+2.14344208</f>
        <v>11.997442079999999</v>
      </c>
      <c r="AF39" s="48"/>
      <c r="AG39" s="83">
        <f t="shared" si="3"/>
        <v>23.560442080000001</v>
      </c>
      <c r="AI39" s="91">
        <f t="shared" si="4"/>
        <v>610.1886756025001</v>
      </c>
      <c r="AJ39" s="32"/>
      <c r="AK39" s="106">
        <v>6.0685000000000002</v>
      </c>
      <c r="AL39" s="130">
        <f>29.655+47.644+3.368859</f>
        <v>80.667859000000007</v>
      </c>
      <c r="AM39" s="130">
        <f>21.99848+10.05515</f>
        <v>32.053629999999998</v>
      </c>
      <c r="AN39" s="147"/>
      <c r="AO39" s="113">
        <f t="shared" si="5"/>
        <v>118.78998900000001</v>
      </c>
      <c r="AQ39" s="91">
        <f t="shared" si="6"/>
        <v>728.97866460250009</v>
      </c>
    </row>
    <row r="40" spans="1:43" ht="13.5" thickBot="1" x14ac:dyDescent="0.25">
      <c r="A40" s="27" t="s">
        <v>37</v>
      </c>
      <c r="C40" s="42"/>
      <c r="D40" s="49"/>
      <c r="E40" s="49"/>
      <c r="F40" s="49"/>
      <c r="G40" s="49"/>
      <c r="H40" s="50"/>
      <c r="I40" s="42"/>
      <c r="J40" s="54"/>
      <c r="K40" s="47"/>
      <c r="L40" s="42"/>
      <c r="M40" s="42"/>
      <c r="N40" s="83">
        <f t="shared" ref="N40" si="42">SUM(C40:M40)</f>
        <v>0</v>
      </c>
      <c r="P40" s="42"/>
      <c r="Q40" s="48"/>
      <c r="R40" s="48"/>
      <c r="S40" s="48"/>
      <c r="T40" s="48"/>
      <c r="U40" s="83">
        <f t="shared" ref="U40" si="43">SUM(P40:T40)</f>
        <v>0</v>
      </c>
      <c r="W40" s="48"/>
      <c r="X40" s="48"/>
      <c r="Y40" s="48"/>
      <c r="Z40" s="48"/>
      <c r="AA40" s="48"/>
      <c r="AB40" s="83">
        <f t="shared" ref="AB40" si="44">SUM(W40:AA40)</f>
        <v>0</v>
      </c>
      <c r="AD40" s="48"/>
      <c r="AE40" s="48"/>
      <c r="AF40" s="48"/>
      <c r="AG40" s="83">
        <f t="shared" si="3"/>
        <v>0</v>
      </c>
      <c r="AI40" s="91">
        <f t="shared" si="4"/>
        <v>0</v>
      </c>
      <c r="AJ40" s="32"/>
      <c r="AK40" s="106">
        <v>4.9181999999999997</v>
      </c>
      <c r="AL40" s="130">
        <f>7.317+6.672</f>
        <v>13.989000000000001</v>
      </c>
      <c r="AM40" s="130"/>
      <c r="AN40" s="147"/>
      <c r="AO40" s="113">
        <f t="shared" si="5"/>
        <v>18.9072</v>
      </c>
      <c r="AQ40" s="91">
        <f t="shared" si="6"/>
        <v>18.9072</v>
      </c>
    </row>
    <row r="41" spans="1:43" ht="13.5" thickBot="1" x14ac:dyDescent="0.25">
      <c r="A41" s="27" t="s">
        <v>38</v>
      </c>
      <c r="C41" s="42"/>
      <c r="D41" s="49"/>
      <c r="E41" s="42"/>
      <c r="F41" s="42"/>
      <c r="G41" s="49"/>
      <c r="H41" s="46"/>
      <c r="I41" s="42"/>
      <c r="J41" s="42"/>
      <c r="K41" s="47"/>
      <c r="L41" s="42"/>
      <c r="M41" s="42"/>
      <c r="N41" s="83">
        <f t="shared" ref="N41" si="45">SUM(C41:M41)</f>
        <v>0</v>
      </c>
      <c r="P41" s="42"/>
      <c r="Q41" s="48"/>
      <c r="R41" s="48"/>
      <c r="S41" s="48"/>
      <c r="T41" s="48"/>
      <c r="U41" s="83">
        <f t="shared" ref="U41" si="46">SUM(P41:T41)</f>
        <v>0</v>
      </c>
      <c r="W41" s="48"/>
      <c r="X41" s="48"/>
      <c r="Y41" s="48"/>
      <c r="Z41" s="48"/>
      <c r="AA41" s="48"/>
      <c r="AB41" s="83">
        <f t="shared" ref="AB41" si="47">SUM(W41:AA41)</f>
        <v>0</v>
      </c>
      <c r="AD41" s="48">
        <v>0.92887123000000005</v>
      </c>
      <c r="AE41" s="48"/>
      <c r="AF41" s="48"/>
      <c r="AG41" s="83">
        <f t="shared" si="3"/>
        <v>0.92887123000000005</v>
      </c>
      <c r="AI41" s="91">
        <f t="shared" si="4"/>
        <v>0.92887123000000005</v>
      </c>
      <c r="AJ41" s="32"/>
      <c r="AK41" s="106"/>
      <c r="AL41" s="130"/>
      <c r="AM41" s="130"/>
      <c r="AN41" s="147"/>
      <c r="AO41" s="113">
        <f t="shared" si="5"/>
        <v>0</v>
      </c>
      <c r="AQ41" s="91">
        <f t="shared" ref="AQ41" si="48">SUM(AI41,AO41)</f>
        <v>0.92887123000000005</v>
      </c>
    </row>
    <row r="42" spans="1:43" ht="15" thickBot="1" x14ac:dyDescent="0.25">
      <c r="A42" s="27" t="s">
        <v>127</v>
      </c>
      <c r="C42" s="42"/>
      <c r="D42" s="49">
        <v>17.894689750000001</v>
      </c>
      <c r="E42" s="49">
        <v>21.325656089999999</v>
      </c>
      <c r="F42" s="49">
        <v>21.791086740000001</v>
      </c>
      <c r="G42" s="49">
        <v>40.92459264</v>
      </c>
      <c r="H42" s="50">
        <v>39.53459411</v>
      </c>
      <c r="I42" s="42">
        <v>67.379313700000012</v>
      </c>
      <c r="J42" s="54">
        <v>86.156761000000003</v>
      </c>
      <c r="K42" s="47">
        <v>65.449483259999994</v>
      </c>
      <c r="L42" s="42">
        <v>82.800324709999998</v>
      </c>
      <c r="M42" s="42">
        <v>76.483608000000004</v>
      </c>
      <c r="N42" s="83">
        <f t="shared" si="22"/>
        <v>519.74010999999996</v>
      </c>
      <c r="P42" s="42">
        <v>79.2</v>
      </c>
      <c r="Q42" s="48">
        <v>106.8762334</v>
      </c>
      <c r="R42" s="48">
        <v>126.86237634</v>
      </c>
      <c r="S42" s="48">
        <f>119.73607283+27.869</f>
        <v>147.60507282999998</v>
      </c>
      <c r="T42" s="48">
        <v>157.46568500000001</v>
      </c>
      <c r="U42" s="83">
        <f t="shared" si="23"/>
        <v>618.00936756999999</v>
      </c>
      <c r="W42" s="48">
        <v>139.66753800000001</v>
      </c>
      <c r="X42" s="48">
        <f>133.06601234+26.36814516</f>
        <v>159.4341575</v>
      </c>
      <c r="Y42" s="48">
        <f>137.30391502+7.37424108</f>
        <v>144.6781561</v>
      </c>
      <c r="Z42" s="48">
        <f>151.0231769+10.41453192</f>
        <v>161.43770882000001</v>
      </c>
      <c r="AA42" s="48">
        <v>164.81642147421601</v>
      </c>
      <c r="AB42" s="83">
        <f t="shared" si="24"/>
        <v>770.03398189421603</v>
      </c>
      <c r="AD42" s="48">
        <f>105.97204191+23.69735281</f>
        <v>129.66939472000001</v>
      </c>
      <c r="AE42" s="48">
        <f>105.31984381+17.18967299</f>
        <v>122.5095168</v>
      </c>
      <c r="AF42" s="48">
        <v>110.53030733396</v>
      </c>
      <c r="AG42" s="83">
        <f t="shared" si="3"/>
        <v>362.70921885396001</v>
      </c>
      <c r="AI42" s="91">
        <f t="shared" si="4"/>
        <v>2270.4926783181763</v>
      </c>
      <c r="AJ42" s="32"/>
      <c r="AK42" s="106">
        <f>18.68512263+2.2344</f>
        <v>20.919522629999999</v>
      </c>
      <c r="AL42" s="130">
        <f>6.25+56.39044717+(0.135135+3.132885+0.84358+0.114)</f>
        <v>66.866047170000002</v>
      </c>
      <c r="AM42" s="130"/>
      <c r="AN42" s="147"/>
      <c r="AO42" s="113">
        <f t="shared" si="5"/>
        <v>87.785569800000005</v>
      </c>
      <c r="AQ42" s="91">
        <f t="shared" si="6"/>
        <v>2358.2782481181762</v>
      </c>
    </row>
    <row r="43" spans="1:43" ht="13.5" thickBot="1" x14ac:dyDescent="0.25">
      <c r="A43" s="27" t="s">
        <v>40</v>
      </c>
      <c r="C43" s="42"/>
      <c r="D43" s="49"/>
      <c r="E43" s="49"/>
      <c r="F43" s="49"/>
      <c r="G43" s="49"/>
      <c r="H43" s="50"/>
      <c r="I43" s="42"/>
      <c r="J43" s="54"/>
      <c r="K43" s="47"/>
      <c r="L43" s="42"/>
      <c r="M43" s="42"/>
      <c r="N43" s="83">
        <f t="shared" si="22"/>
        <v>0</v>
      </c>
      <c r="P43" s="42"/>
      <c r="Q43" s="48"/>
      <c r="R43" s="48"/>
      <c r="S43" s="48"/>
      <c r="T43" s="48">
        <v>0.6</v>
      </c>
      <c r="U43" s="83">
        <f t="shared" si="23"/>
        <v>0.6</v>
      </c>
      <c r="W43" s="48"/>
      <c r="X43" s="48">
        <v>0.6</v>
      </c>
      <c r="Y43" s="48">
        <v>0.6</v>
      </c>
      <c r="Z43" s="48">
        <v>0.6</v>
      </c>
      <c r="AA43" s="48">
        <v>0.6</v>
      </c>
      <c r="AB43" s="83">
        <f t="shared" si="24"/>
        <v>2.4</v>
      </c>
      <c r="AD43" s="48"/>
      <c r="AE43" s="48"/>
      <c r="AF43" s="48"/>
      <c r="AG43" s="83">
        <f t="shared" si="3"/>
        <v>0</v>
      </c>
      <c r="AI43" s="91">
        <f t="shared" si="4"/>
        <v>3</v>
      </c>
      <c r="AJ43" s="32"/>
      <c r="AK43" s="106"/>
      <c r="AL43" s="130">
        <v>1</v>
      </c>
      <c r="AM43" s="130"/>
      <c r="AN43" s="147"/>
      <c r="AO43" s="113">
        <f t="shared" si="5"/>
        <v>1</v>
      </c>
      <c r="AQ43" s="91">
        <f t="shared" si="6"/>
        <v>4</v>
      </c>
    </row>
    <row r="44" spans="1:43" ht="15" thickBot="1" x14ac:dyDescent="0.25">
      <c r="A44" s="27" t="s">
        <v>128</v>
      </c>
      <c r="C44" s="42"/>
      <c r="D44" s="49"/>
      <c r="E44" s="42"/>
      <c r="F44" s="42"/>
      <c r="G44" s="49"/>
      <c r="H44" s="46"/>
      <c r="I44" s="42"/>
      <c r="J44" s="42"/>
      <c r="K44" s="47"/>
      <c r="L44" s="42"/>
      <c r="M44" s="42"/>
      <c r="N44" s="83">
        <f t="shared" ref="N44" si="49">SUM(C44:M44)</f>
        <v>0</v>
      </c>
      <c r="P44" s="42"/>
      <c r="Q44" s="48"/>
      <c r="R44" s="48"/>
      <c r="S44" s="48"/>
      <c r="T44" s="48"/>
      <c r="U44" s="83">
        <f t="shared" ref="U44" si="50">SUM(P44:T44)</f>
        <v>0</v>
      </c>
      <c r="W44" s="48"/>
      <c r="X44" s="48"/>
      <c r="Y44" s="48"/>
      <c r="Z44" s="48"/>
      <c r="AA44" s="48"/>
      <c r="AB44" s="83">
        <f t="shared" ref="AB44" si="51">SUM(W44:AA44)</f>
        <v>0</v>
      </c>
      <c r="AD44" s="48"/>
      <c r="AE44" s="48"/>
      <c r="AF44" s="48"/>
      <c r="AG44" s="83">
        <f t="shared" ref="AG44" si="52">SUM(AD44:AF44)</f>
        <v>0</v>
      </c>
      <c r="AI44" s="91">
        <f t="shared" ref="AI44" si="53">SUM(AB44,U44,N44,AG44)</f>
        <v>0</v>
      </c>
      <c r="AJ44" s="32"/>
      <c r="AK44" s="106"/>
      <c r="AL44" s="130"/>
      <c r="AM44" s="130">
        <v>2.3310000000000001E-2</v>
      </c>
      <c r="AN44" s="147"/>
      <c r="AO44" s="113">
        <f t="shared" ref="AO44" si="54">SUM(AK44:AN44)</f>
        <v>2.3310000000000001E-2</v>
      </c>
      <c r="AQ44" s="91">
        <f t="shared" si="6"/>
        <v>2.3310000000000001E-2</v>
      </c>
    </row>
    <row r="45" spans="1:43" ht="13.5" thickBot="1" x14ac:dyDescent="0.25">
      <c r="A45" s="27" t="s">
        <v>41</v>
      </c>
      <c r="C45" s="42"/>
      <c r="D45" s="49"/>
      <c r="E45" s="42"/>
      <c r="F45" s="42"/>
      <c r="G45" s="49"/>
      <c r="H45" s="46"/>
      <c r="I45" s="42"/>
      <c r="J45" s="42"/>
      <c r="K45" s="47"/>
      <c r="L45" s="42"/>
      <c r="M45" s="42"/>
      <c r="N45" s="83">
        <f t="shared" si="22"/>
        <v>0</v>
      </c>
      <c r="P45" s="42"/>
      <c r="Q45" s="48"/>
      <c r="R45" s="48"/>
      <c r="S45" s="48"/>
      <c r="T45" s="48"/>
      <c r="U45" s="83">
        <f t="shared" si="23"/>
        <v>0</v>
      </c>
      <c r="W45" s="48"/>
      <c r="X45" s="48"/>
      <c r="Y45" s="48"/>
      <c r="Z45" s="48"/>
      <c r="AA45" s="48"/>
      <c r="AB45" s="83">
        <f t="shared" si="24"/>
        <v>0</v>
      </c>
      <c r="AD45" s="48"/>
      <c r="AE45" s="48"/>
      <c r="AF45" s="48"/>
      <c r="AG45" s="83">
        <f t="shared" si="3"/>
        <v>0</v>
      </c>
      <c r="AI45" s="91">
        <f t="shared" si="4"/>
        <v>0</v>
      </c>
      <c r="AJ45" s="32"/>
      <c r="AK45" s="106"/>
      <c r="AL45" s="130">
        <f>0.1+1</f>
        <v>1.1000000000000001</v>
      </c>
      <c r="AM45" s="130"/>
      <c r="AN45" s="147"/>
      <c r="AO45" s="113">
        <f t="shared" si="5"/>
        <v>1.1000000000000001</v>
      </c>
      <c r="AQ45" s="91">
        <f t="shared" ref="AQ45:AQ47" si="55">SUM(AI45,AO45)</f>
        <v>1.1000000000000001</v>
      </c>
    </row>
    <row r="46" spans="1:43" ht="13.5" thickBot="1" x14ac:dyDescent="0.25">
      <c r="A46" s="27" t="s">
        <v>42</v>
      </c>
      <c r="C46" s="42"/>
      <c r="D46" s="49"/>
      <c r="E46" s="42"/>
      <c r="F46" s="42"/>
      <c r="G46" s="49"/>
      <c r="H46" s="46"/>
      <c r="I46" s="42"/>
      <c r="J46" s="42"/>
      <c r="K46" s="47"/>
      <c r="L46" s="42"/>
      <c r="M46" s="42"/>
      <c r="N46" s="83">
        <f t="shared" ref="N46" si="56">SUM(C46:M46)</f>
        <v>0</v>
      </c>
      <c r="P46" s="42"/>
      <c r="Q46" s="48"/>
      <c r="R46" s="48"/>
      <c r="S46" s="48"/>
      <c r="T46" s="48"/>
      <c r="U46" s="83">
        <f t="shared" ref="U46" si="57">SUM(P46:T46)</f>
        <v>0</v>
      </c>
      <c r="W46" s="48"/>
      <c r="X46" s="48"/>
      <c r="Y46" s="48"/>
      <c r="Z46" s="48"/>
      <c r="AA46" s="48"/>
      <c r="AB46" s="83">
        <f t="shared" ref="AB46" si="58">SUM(W46:AA46)</f>
        <v>0</v>
      </c>
      <c r="AD46" s="48"/>
      <c r="AE46" s="48"/>
      <c r="AF46" s="48"/>
      <c r="AG46" s="83">
        <f t="shared" si="3"/>
        <v>0</v>
      </c>
      <c r="AI46" s="91">
        <f t="shared" si="4"/>
        <v>0</v>
      </c>
      <c r="AJ46" s="32"/>
      <c r="AK46" s="106"/>
      <c r="AL46" s="130">
        <v>0.91439999999999999</v>
      </c>
      <c r="AM46" s="130"/>
      <c r="AN46" s="147"/>
      <c r="AO46" s="113">
        <f t="shared" si="5"/>
        <v>0.91439999999999999</v>
      </c>
      <c r="AQ46" s="91">
        <f t="shared" si="55"/>
        <v>0.91439999999999999</v>
      </c>
    </row>
    <row r="47" spans="1:43" ht="13.5" thickBot="1" x14ac:dyDescent="0.25">
      <c r="A47" s="27" t="s">
        <v>43</v>
      </c>
      <c r="C47" s="42"/>
      <c r="D47" s="49"/>
      <c r="E47" s="42"/>
      <c r="F47" s="42"/>
      <c r="G47" s="49"/>
      <c r="H47" s="46"/>
      <c r="I47" s="42"/>
      <c r="J47" s="42"/>
      <c r="K47" s="47"/>
      <c r="L47" s="42"/>
      <c r="M47" s="42"/>
      <c r="N47" s="83">
        <f t="shared" si="22"/>
        <v>0</v>
      </c>
      <c r="P47" s="42"/>
      <c r="Q47" s="48"/>
      <c r="R47" s="48"/>
      <c r="S47" s="48"/>
      <c r="T47" s="48"/>
      <c r="U47" s="83">
        <f t="shared" ref="U47" si="59">SUM(P47:T47)</f>
        <v>0</v>
      </c>
      <c r="W47" s="48"/>
      <c r="X47" s="48"/>
      <c r="Y47" s="48"/>
      <c r="Z47" s="48"/>
      <c r="AA47" s="48"/>
      <c r="AB47" s="83">
        <f t="shared" ref="AB47" si="60">SUM(W47:AA47)</f>
        <v>0</v>
      </c>
      <c r="AD47" s="48">
        <v>0.1208</v>
      </c>
      <c r="AE47" s="48"/>
      <c r="AF47" s="48"/>
      <c r="AG47" s="83">
        <f t="shared" si="3"/>
        <v>0.1208</v>
      </c>
      <c r="AI47" s="91">
        <f t="shared" si="4"/>
        <v>0.1208</v>
      </c>
      <c r="AJ47" s="32"/>
      <c r="AK47" s="106"/>
      <c r="AL47" s="130">
        <f>0.81781875+0.169785</f>
        <v>0.98760375</v>
      </c>
      <c r="AM47" s="130">
        <v>0.15804166</v>
      </c>
      <c r="AN47" s="147"/>
      <c r="AO47" s="113">
        <f t="shared" si="5"/>
        <v>1.14564541</v>
      </c>
      <c r="AQ47" s="91">
        <f t="shared" si="55"/>
        <v>1.26644541</v>
      </c>
    </row>
    <row r="48" spans="1:43" ht="13.5" thickBot="1" x14ac:dyDescent="0.25">
      <c r="A48" s="27" t="s">
        <v>44</v>
      </c>
      <c r="C48" s="42"/>
      <c r="D48" s="49"/>
      <c r="E48" s="49"/>
      <c r="F48" s="49"/>
      <c r="G48" s="49"/>
      <c r="H48" s="50"/>
      <c r="I48" s="42"/>
      <c r="J48" s="54"/>
      <c r="K48" s="47"/>
      <c r="L48" s="42"/>
      <c r="M48" s="42"/>
      <c r="N48" s="83">
        <f t="shared" si="22"/>
        <v>0</v>
      </c>
      <c r="P48" s="42"/>
      <c r="Q48" s="48"/>
      <c r="R48" s="48"/>
      <c r="S48" s="48"/>
      <c r="T48" s="48"/>
      <c r="U48" s="83">
        <f t="shared" si="23"/>
        <v>0</v>
      </c>
      <c r="W48" s="48">
        <v>2</v>
      </c>
      <c r="X48" s="48">
        <v>2</v>
      </c>
      <c r="Y48" s="48"/>
      <c r="Z48" s="48"/>
      <c r="AA48" s="48">
        <v>6</v>
      </c>
      <c r="AB48" s="83">
        <f t="shared" si="24"/>
        <v>10</v>
      </c>
      <c r="AD48" s="48">
        <v>2</v>
      </c>
      <c r="AE48" s="48"/>
      <c r="AF48" s="48">
        <v>2</v>
      </c>
      <c r="AG48" s="83">
        <f t="shared" si="3"/>
        <v>4</v>
      </c>
      <c r="AI48" s="91">
        <f t="shared" si="4"/>
        <v>14</v>
      </c>
      <c r="AJ48" s="32"/>
      <c r="AK48" s="106"/>
      <c r="AL48" s="130">
        <f>5+5</f>
        <v>10</v>
      </c>
      <c r="AM48" s="130"/>
      <c r="AN48" s="147"/>
      <c r="AO48" s="113">
        <f t="shared" si="5"/>
        <v>10</v>
      </c>
      <c r="AQ48" s="91">
        <f t="shared" si="6"/>
        <v>24</v>
      </c>
    </row>
    <row r="49" spans="1:43" ht="15" thickBot="1" x14ac:dyDescent="0.25">
      <c r="A49" s="27" t="s">
        <v>129</v>
      </c>
      <c r="C49" s="42"/>
      <c r="D49" s="49"/>
      <c r="E49" s="49"/>
      <c r="F49" s="49"/>
      <c r="G49" s="49"/>
      <c r="H49" s="50"/>
      <c r="I49" s="42"/>
      <c r="J49" s="42"/>
      <c r="K49" s="47"/>
      <c r="L49" s="42"/>
      <c r="M49" s="10">
        <v>0.4</v>
      </c>
      <c r="N49" s="83">
        <f t="shared" si="22"/>
        <v>0.4</v>
      </c>
      <c r="P49" s="10">
        <v>0.3</v>
      </c>
      <c r="Q49" s="33">
        <v>0.3</v>
      </c>
      <c r="R49" s="48">
        <v>1</v>
      </c>
      <c r="S49" s="48">
        <v>1</v>
      </c>
      <c r="T49" s="48">
        <v>4</v>
      </c>
      <c r="U49" s="83">
        <f t="shared" si="23"/>
        <v>6.6</v>
      </c>
      <c r="W49" s="48">
        <v>4</v>
      </c>
      <c r="X49" s="48">
        <v>4</v>
      </c>
      <c r="Y49" s="48">
        <v>4</v>
      </c>
      <c r="Z49" s="48">
        <v>4.7372954399999996</v>
      </c>
      <c r="AA49" s="48">
        <v>5.4808400900000001</v>
      </c>
      <c r="AB49" s="83">
        <f t="shared" si="24"/>
        <v>22.218135530000001</v>
      </c>
      <c r="AD49" s="48"/>
      <c r="AE49" s="48">
        <f>4.9776008+5.33701575</f>
        <v>10.31461655</v>
      </c>
      <c r="AF49" s="48"/>
      <c r="AG49" s="83">
        <f t="shared" si="3"/>
        <v>10.31461655</v>
      </c>
      <c r="AI49" s="91">
        <f t="shared" si="4"/>
        <v>39.532752079999995</v>
      </c>
      <c r="AJ49" s="32"/>
      <c r="AK49" s="106"/>
      <c r="AL49" s="130">
        <f>10+100</f>
        <v>110</v>
      </c>
      <c r="AM49" s="130">
        <f>65+13.50116+21.49884</f>
        <v>100</v>
      </c>
      <c r="AN49" s="147"/>
      <c r="AO49" s="113">
        <f t="shared" si="5"/>
        <v>210</v>
      </c>
      <c r="AQ49" s="91">
        <f t="shared" si="6"/>
        <v>249.53275207999999</v>
      </c>
    </row>
    <row r="50" spans="1:43" ht="13.5" thickBot="1" x14ac:dyDescent="0.25">
      <c r="A50" s="27" t="s">
        <v>45</v>
      </c>
      <c r="C50" s="42"/>
      <c r="D50" s="49"/>
      <c r="E50" s="42"/>
      <c r="F50" s="42"/>
      <c r="G50" s="49"/>
      <c r="H50" s="46"/>
      <c r="I50" s="42"/>
      <c r="J50" s="42"/>
      <c r="K50" s="47"/>
      <c r="L50" s="42"/>
      <c r="M50" s="42"/>
      <c r="N50" s="83">
        <f t="shared" ref="N50" si="61">SUM(C50:M50)</f>
        <v>0</v>
      </c>
      <c r="P50" s="42"/>
      <c r="Q50" s="48"/>
      <c r="R50" s="48"/>
      <c r="S50" s="48"/>
      <c r="T50" s="48"/>
      <c r="U50" s="83">
        <f t="shared" ref="U50" si="62">SUM(P50:T50)</f>
        <v>0</v>
      </c>
      <c r="W50" s="48"/>
      <c r="X50" s="48"/>
      <c r="Y50" s="48"/>
      <c r="Z50" s="48"/>
      <c r="AA50" s="48"/>
      <c r="AB50" s="83">
        <f t="shared" ref="AB50" si="63">SUM(W50:AA50)</f>
        <v>0</v>
      </c>
      <c r="AD50" s="48">
        <v>10</v>
      </c>
      <c r="AE50" s="48"/>
      <c r="AF50" s="48"/>
      <c r="AG50" s="83">
        <f t="shared" si="3"/>
        <v>10</v>
      </c>
      <c r="AI50" s="91">
        <f t="shared" si="4"/>
        <v>10</v>
      </c>
      <c r="AJ50" s="32"/>
      <c r="AK50" s="106"/>
      <c r="AL50" s="130"/>
      <c r="AM50" s="130"/>
      <c r="AN50" s="147"/>
      <c r="AO50" s="113">
        <f t="shared" si="5"/>
        <v>0</v>
      </c>
      <c r="AQ50" s="91">
        <f t="shared" si="6"/>
        <v>10</v>
      </c>
    </row>
    <row r="51" spans="1:43" ht="13.5" thickBot="1" x14ac:dyDescent="0.25">
      <c r="A51" s="27" t="s">
        <v>46</v>
      </c>
      <c r="C51" s="42"/>
      <c r="D51" s="49"/>
      <c r="E51" s="49"/>
      <c r="F51" s="49"/>
      <c r="G51" s="49"/>
      <c r="H51" s="50"/>
      <c r="I51" s="42"/>
      <c r="J51" s="42"/>
      <c r="K51" s="47"/>
      <c r="L51" s="42"/>
      <c r="M51" s="42"/>
      <c r="N51" s="83">
        <f t="shared" si="22"/>
        <v>0</v>
      </c>
      <c r="P51" s="42"/>
      <c r="Q51" s="48"/>
      <c r="R51" s="48"/>
      <c r="S51" s="48"/>
      <c r="T51" s="48"/>
      <c r="U51" s="83">
        <f t="shared" si="23"/>
        <v>0</v>
      </c>
      <c r="W51" s="48">
        <v>2.5</v>
      </c>
      <c r="X51" s="48">
        <f>2.5+2.5</f>
        <v>5</v>
      </c>
      <c r="Y51" s="48">
        <f>2.5+2.5</f>
        <v>5</v>
      </c>
      <c r="Z51" s="48">
        <f>2.5+2.5</f>
        <v>5</v>
      </c>
      <c r="AA51" s="48">
        <f>2.5+2.5</f>
        <v>5</v>
      </c>
      <c r="AB51" s="83">
        <f t="shared" si="24"/>
        <v>22.5</v>
      </c>
      <c r="AD51" s="48">
        <v>2.5</v>
      </c>
      <c r="AE51" s="48"/>
      <c r="AF51" s="48"/>
      <c r="AG51" s="83">
        <f t="shared" si="3"/>
        <v>2.5</v>
      </c>
      <c r="AI51" s="91">
        <f t="shared" si="4"/>
        <v>25</v>
      </c>
      <c r="AJ51" s="32"/>
      <c r="AK51" s="106"/>
      <c r="AL51" s="130">
        <f>30+70</f>
        <v>100</v>
      </c>
      <c r="AM51" s="130">
        <v>50</v>
      </c>
      <c r="AN51" s="147">
        <v>41</v>
      </c>
      <c r="AO51" s="113">
        <f t="shared" si="5"/>
        <v>191</v>
      </c>
      <c r="AQ51" s="91">
        <f t="shared" si="6"/>
        <v>216</v>
      </c>
    </row>
    <row r="52" spans="1:43" ht="13.5" thickBot="1" x14ac:dyDescent="0.25">
      <c r="A52" s="27" t="s">
        <v>148</v>
      </c>
      <c r="C52" s="42"/>
      <c r="D52" s="49"/>
      <c r="E52" s="42"/>
      <c r="F52" s="42"/>
      <c r="G52" s="49"/>
      <c r="H52" s="46"/>
      <c r="I52" s="42"/>
      <c r="J52" s="42"/>
      <c r="K52" s="47"/>
      <c r="L52" s="42"/>
      <c r="M52" s="42"/>
      <c r="N52" s="83">
        <f t="shared" ref="N52" si="64">SUM(C52:M52)</f>
        <v>0</v>
      </c>
      <c r="P52" s="42"/>
      <c r="Q52" s="48"/>
      <c r="R52" s="48"/>
      <c r="S52" s="48"/>
      <c r="T52" s="48"/>
      <c r="U52" s="83">
        <f t="shared" ref="U52" si="65">SUM(P52:T52)</f>
        <v>0</v>
      </c>
      <c r="W52" s="48"/>
      <c r="X52" s="48"/>
      <c r="Y52" s="48"/>
      <c r="Z52" s="48"/>
      <c r="AA52" s="48"/>
      <c r="AB52" s="83">
        <f t="shared" ref="AB52" si="66">SUM(W52:AA52)</f>
        <v>0</v>
      </c>
      <c r="AD52" s="48"/>
      <c r="AE52" s="48"/>
      <c r="AF52" s="48">
        <v>0.87665000000000004</v>
      </c>
      <c r="AG52" s="83">
        <f t="shared" ref="AG52" si="67">SUM(AD52:AF52)</f>
        <v>0.87665000000000004</v>
      </c>
      <c r="AI52" s="91">
        <f t="shared" ref="AI52" si="68">SUM(AB52,U52,N52,AG52)</f>
        <v>0.87665000000000004</v>
      </c>
      <c r="AJ52" s="32"/>
      <c r="AK52" s="106"/>
      <c r="AL52" s="130"/>
      <c r="AM52" s="130"/>
      <c r="AN52" s="147"/>
      <c r="AO52" s="113">
        <f t="shared" ref="AO52" si="69">SUM(AK52:AN52)</f>
        <v>0</v>
      </c>
      <c r="AQ52" s="91">
        <f t="shared" si="6"/>
        <v>0.87665000000000004</v>
      </c>
    </row>
    <row r="53" spans="1:43" ht="13.5" thickBot="1" x14ac:dyDescent="0.25">
      <c r="A53" s="27" t="s">
        <v>47</v>
      </c>
      <c r="C53" s="42"/>
      <c r="D53" s="49"/>
      <c r="E53" s="42"/>
      <c r="F53" s="42"/>
      <c r="G53" s="49"/>
      <c r="H53" s="46"/>
      <c r="I53" s="42"/>
      <c r="J53" s="42"/>
      <c r="K53" s="47"/>
      <c r="L53" s="42"/>
      <c r="M53" s="42"/>
      <c r="N53" s="83">
        <f t="shared" si="22"/>
        <v>0</v>
      </c>
      <c r="P53" s="42"/>
      <c r="Q53" s="48"/>
      <c r="R53" s="48"/>
      <c r="S53" s="48"/>
      <c r="T53" s="48"/>
      <c r="U53" s="83">
        <f t="shared" si="23"/>
        <v>0</v>
      </c>
      <c r="W53" s="48"/>
      <c r="X53" s="48"/>
      <c r="Y53" s="48"/>
      <c r="Z53" s="48"/>
      <c r="AA53" s="48"/>
      <c r="AB53" s="83">
        <f t="shared" si="24"/>
        <v>0</v>
      </c>
      <c r="AD53" s="48"/>
      <c r="AE53" s="48"/>
      <c r="AF53" s="48"/>
      <c r="AG53" s="83">
        <f t="shared" si="3"/>
        <v>0</v>
      </c>
      <c r="AI53" s="91">
        <f t="shared" si="4"/>
        <v>0</v>
      </c>
      <c r="AJ53" s="32"/>
      <c r="AK53" s="106"/>
      <c r="AL53" s="130">
        <v>5</v>
      </c>
      <c r="AM53" s="130"/>
      <c r="AN53" s="147"/>
      <c r="AO53" s="113">
        <f t="shared" si="5"/>
        <v>5</v>
      </c>
      <c r="AQ53" s="91">
        <f t="shared" ref="AQ53" si="70">SUM(AI53,AO53)</f>
        <v>5</v>
      </c>
    </row>
    <row r="54" spans="1:43" ht="13.5" thickBot="1" x14ac:dyDescent="0.25">
      <c r="A54" s="27" t="s">
        <v>48</v>
      </c>
      <c r="C54" s="42"/>
      <c r="D54" s="49"/>
      <c r="E54" s="42"/>
      <c r="F54" s="42"/>
      <c r="G54" s="49"/>
      <c r="H54" s="46"/>
      <c r="I54" s="42"/>
      <c r="J54" s="42"/>
      <c r="K54" s="47"/>
      <c r="L54" s="42"/>
      <c r="M54" s="42"/>
      <c r="N54" s="83">
        <f t="shared" ref="N54" si="71">SUM(C54:M54)</f>
        <v>0</v>
      </c>
      <c r="P54" s="42"/>
      <c r="Q54" s="48"/>
      <c r="R54" s="48"/>
      <c r="S54" s="48"/>
      <c r="T54" s="48"/>
      <c r="U54" s="83">
        <f t="shared" ref="U54" si="72">SUM(P54:T54)</f>
        <v>0</v>
      </c>
      <c r="W54" s="48"/>
      <c r="X54" s="48"/>
      <c r="Y54" s="48"/>
      <c r="Z54" s="48"/>
      <c r="AA54" s="48"/>
      <c r="AB54" s="83">
        <f t="shared" ref="AB54" si="73">SUM(W54:AA54)</f>
        <v>0</v>
      </c>
      <c r="AD54" s="48"/>
      <c r="AE54" s="48"/>
      <c r="AF54" s="48"/>
      <c r="AG54" s="83">
        <f t="shared" si="3"/>
        <v>0</v>
      </c>
      <c r="AI54" s="91">
        <f t="shared" si="4"/>
        <v>0</v>
      </c>
      <c r="AJ54" s="32"/>
      <c r="AK54" s="106"/>
      <c r="AL54" s="130">
        <v>0.40680500000000003</v>
      </c>
      <c r="AM54" s="130">
        <v>0.163665</v>
      </c>
      <c r="AN54" s="147"/>
      <c r="AO54" s="113">
        <f t="shared" si="5"/>
        <v>0.57047000000000003</v>
      </c>
      <c r="AQ54" s="91">
        <f t="shared" ref="AQ54" si="74">SUM(AI54,AO54)</f>
        <v>0.57047000000000003</v>
      </c>
    </row>
    <row r="55" spans="1:43" ht="15" thickBot="1" x14ac:dyDescent="0.25">
      <c r="A55" s="27" t="s">
        <v>130</v>
      </c>
      <c r="C55" s="42"/>
      <c r="D55" s="42"/>
      <c r="E55" s="42"/>
      <c r="F55" s="42"/>
      <c r="G55" s="42"/>
      <c r="H55" s="50"/>
      <c r="I55" s="42"/>
      <c r="J55" s="42"/>
      <c r="K55" s="47">
        <v>40.536200000000001</v>
      </c>
      <c r="L55" s="42"/>
      <c r="M55" s="42"/>
      <c r="N55" s="83">
        <f t="shared" si="22"/>
        <v>40.536200000000001</v>
      </c>
      <c r="P55" s="42">
        <v>2.6659999999999999</v>
      </c>
      <c r="Q55" s="48"/>
      <c r="R55" s="48"/>
      <c r="S55" s="48"/>
      <c r="T55" s="48"/>
      <c r="U55" s="83">
        <f t="shared" si="23"/>
        <v>2.6659999999999999</v>
      </c>
      <c r="W55" s="48"/>
      <c r="X55" s="48"/>
      <c r="Y55" s="48"/>
      <c r="Z55" s="48"/>
      <c r="AA55" s="48"/>
      <c r="AB55" s="83">
        <f t="shared" si="24"/>
        <v>0</v>
      </c>
      <c r="AD55" s="48">
        <v>11.288270000000001</v>
      </c>
      <c r="AE55" s="48"/>
      <c r="AF55" s="48"/>
      <c r="AG55" s="83">
        <f t="shared" si="3"/>
        <v>11.288270000000001</v>
      </c>
      <c r="AI55" s="91">
        <f t="shared" si="4"/>
        <v>54.490470000000002</v>
      </c>
      <c r="AJ55" s="32"/>
      <c r="AK55" s="106"/>
      <c r="AL55" s="130">
        <v>0.93639050000000001</v>
      </c>
      <c r="AM55" s="130">
        <f>3.82445+0.11055+0.6451074+0.3032153</f>
        <v>4.8833226999999999</v>
      </c>
      <c r="AN55" s="147"/>
      <c r="AO55" s="113">
        <f t="shared" si="5"/>
        <v>5.8197131999999998</v>
      </c>
      <c r="AQ55" s="91">
        <f t="shared" si="6"/>
        <v>60.310183200000004</v>
      </c>
    </row>
    <row r="56" spans="1:43" ht="13.5" thickBot="1" x14ac:dyDescent="0.25">
      <c r="A56" s="27" t="s">
        <v>49</v>
      </c>
      <c r="C56" s="42"/>
      <c r="D56" s="49"/>
      <c r="E56" s="42"/>
      <c r="F56" s="42"/>
      <c r="G56" s="49"/>
      <c r="H56" s="46"/>
      <c r="I56" s="42"/>
      <c r="J56" s="42"/>
      <c r="K56" s="47"/>
      <c r="L56" s="42"/>
      <c r="M56" s="42"/>
      <c r="N56" s="83">
        <f t="shared" si="22"/>
        <v>0</v>
      </c>
      <c r="P56" s="42"/>
      <c r="Q56" s="48"/>
      <c r="R56" s="48"/>
      <c r="S56" s="48"/>
      <c r="T56" s="48"/>
      <c r="U56" s="83">
        <f t="shared" ref="U56" si="75">SUM(P56:T56)</f>
        <v>0</v>
      </c>
      <c r="W56" s="48"/>
      <c r="X56" s="48"/>
      <c r="Y56" s="48"/>
      <c r="Z56" s="48"/>
      <c r="AA56" s="48"/>
      <c r="AB56" s="83">
        <f t="shared" ref="AB56" si="76">SUM(W56:AA56)</f>
        <v>0</v>
      </c>
      <c r="AD56" s="48"/>
      <c r="AE56" s="48"/>
      <c r="AF56" s="48"/>
      <c r="AG56" s="83">
        <f t="shared" ref="AG56" si="77">SUM(AD56:AF56)</f>
        <v>0</v>
      </c>
      <c r="AI56" s="91">
        <f t="shared" ref="AI56" si="78">SUM(AB56,U56,N56,AG56)</f>
        <v>0</v>
      </c>
      <c r="AJ56" s="32"/>
      <c r="AK56" s="106"/>
      <c r="AL56" s="130"/>
      <c r="AM56" s="130">
        <v>6.071559E-2</v>
      </c>
      <c r="AN56" s="147"/>
      <c r="AO56" s="113">
        <f t="shared" ref="AO56" si="79">SUM(AK56:AN56)</f>
        <v>6.071559E-2</v>
      </c>
      <c r="AQ56" s="91">
        <f t="shared" ref="AQ56" si="80">SUM(AI56,AO56)</f>
        <v>6.071559E-2</v>
      </c>
    </row>
    <row r="57" spans="1:43" ht="13.5" thickBot="1" x14ac:dyDescent="0.25">
      <c r="A57" s="9" t="s">
        <v>50</v>
      </c>
      <c r="C57" s="42"/>
      <c r="D57" s="49">
        <v>1.8921325899999999</v>
      </c>
      <c r="E57" s="49">
        <v>1.1147999799999999</v>
      </c>
      <c r="F57" s="49">
        <v>2.38518169</v>
      </c>
      <c r="G57" s="49">
        <v>4.9314298799999996</v>
      </c>
      <c r="H57" s="50">
        <v>12.66340061</v>
      </c>
      <c r="I57" s="42">
        <v>14.593975029999999</v>
      </c>
      <c r="J57" s="42">
        <v>15.514976000000001</v>
      </c>
      <c r="K57" s="47">
        <v>19.151976000000001</v>
      </c>
      <c r="L57" s="42">
        <v>13.80099952</v>
      </c>
      <c r="M57" s="42">
        <v>36.487497500000003</v>
      </c>
      <c r="N57" s="83">
        <f t="shared" si="22"/>
        <v>122.53636880000002</v>
      </c>
      <c r="P57" s="42">
        <v>92.7</v>
      </c>
      <c r="Q57" s="48"/>
      <c r="R57" s="48">
        <v>70.900080489999993</v>
      </c>
      <c r="S57" s="48">
        <v>49.84</v>
      </c>
      <c r="T57" s="48">
        <v>41.475000000000001</v>
      </c>
      <c r="U57" s="83">
        <f t="shared" si="23"/>
        <v>254.91508048999998</v>
      </c>
      <c r="W57" s="48">
        <v>36.391199999999998</v>
      </c>
      <c r="X57" s="48">
        <v>33.504578960000003</v>
      </c>
      <c r="Y57" s="48">
        <v>42.436950889999999</v>
      </c>
      <c r="Z57" s="48">
        <f>19.58512008+16.14</f>
        <v>35.725120079999996</v>
      </c>
      <c r="AA57" s="48">
        <v>40.858379999999997</v>
      </c>
      <c r="AB57" s="83">
        <f t="shared" si="24"/>
        <v>188.91622992999999</v>
      </c>
      <c r="AD57" s="48">
        <f>17.5875+21.86152351</f>
        <v>39.449023510000004</v>
      </c>
      <c r="AE57" s="48">
        <f>21.9233825819293+4.9425+9.275</f>
        <v>36.140882581929297</v>
      </c>
      <c r="AF57" s="48">
        <v>32.403565159999999</v>
      </c>
      <c r="AG57" s="83">
        <f t="shared" si="3"/>
        <v>107.99347125192929</v>
      </c>
      <c r="AI57" s="91">
        <f t="shared" si="4"/>
        <v>674.36115047192925</v>
      </c>
      <c r="AJ57" s="32"/>
      <c r="AK57" s="106">
        <v>11.58512058</v>
      </c>
      <c r="AL57" s="130">
        <v>11.67029804</v>
      </c>
      <c r="AM57" s="130"/>
      <c r="AN57" s="147"/>
      <c r="AO57" s="113">
        <f t="shared" si="5"/>
        <v>23.25541862</v>
      </c>
      <c r="AQ57" s="91">
        <f t="shared" si="6"/>
        <v>697.61656909192925</v>
      </c>
    </row>
    <row r="58" spans="1:43" ht="13.5" thickBot="1" x14ac:dyDescent="0.25">
      <c r="A58" s="27" t="s">
        <v>51</v>
      </c>
      <c r="C58" s="42"/>
      <c r="D58" s="49"/>
      <c r="E58" s="49"/>
      <c r="F58" s="49"/>
      <c r="G58" s="49"/>
      <c r="H58" s="50"/>
      <c r="I58" s="42"/>
      <c r="J58" s="42"/>
      <c r="K58" s="47"/>
      <c r="L58" s="42"/>
      <c r="M58" s="42"/>
      <c r="N58" s="83">
        <f t="shared" si="22"/>
        <v>0</v>
      </c>
      <c r="P58" s="42"/>
      <c r="Q58" s="48"/>
      <c r="R58" s="48"/>
      <c r="S58" s="48"/>
      <c r="T58" s="48"/>
      <c r="U58" s="83">
        <f t="shared" si="23"/>
        <v>0</v>
      </c>
      <c r="W58" s="48">
        <v>1.5797791999999999</v>
      </c>
      <c r="X58" s="48"/>
      <c r="Y58" s="48"/>
      <c r="Z58" s="48"/>
      <c r="AA58" s="48">
        <f>11.2905+0.56177087</f>
        <v>11.85227087</v>
      </c>
      <c r="AB58" s="83">
        <f t="shared" si="24"/>
        <v>13.432050069999999</v>
      </c>
      <c r="AD58" s="48">
        <v>0.43321999999999999</v>
      </c>
      <c r="AE58" s="48"/>
      <c r="AF58" s="48"/>
      <c r="AG58" s="83">
        <f t="shared" si="3"/>
        <v>0.43321999999999999</v>
      </c>
      <c r="AI58" s="91">
        <f t="shared" si="4"/>
        <v>13.865270069999999</v>
      </c>
      <c r="AJ58" s="32"/>
      <c r="AK58" s="106">
        <v>22.477137939999999</v>
      </c>
      <c r="AL58" s="130">
        <v>135.00378011000001</v>
      </c>
      <c r="AM58" s="130"/>
      <c r="AN58" s="147"/>
      <c r="AO58" s="113">
        <f t="shared" si="5"/>
        <v>157.48091805000001</v>
      </c>
      <c r="AQ58" s="91">
        <f t="shared" si="6"/>
        <v>171.34618812000002</v>
      </c>
    </row>
    <row r="59" spans="1:43" ht="13.5" thickBot="1" x14ac:dyDescent="0.25">
      <c r="A59" s="27" t="s">
        <v>52</v>
      </c>
      <c r="C59" s="42"/>
      <c r="D59" s="49"/>
      <c r="E59" s="42"/>
      <c r="F59" s="42"/>
      <c r="G59" s="49"/>
      <c r="H59" s="46"/>
      <c r="I59" s="42"/>
      <c r="J59" s="42"/>
      <c r="K59" s="47"/>
      <c r="L59" s="42"/>
      <c r="M59" s="42"/>
      <c r="N59" s="83">
        <f t="shared" si="22"/>
        <v>0</v>
      </c>
      <c r="P59" s="42"/>
      <c r="Q59" s="48"/>
      <c r="R59" s="48"/>
      <c r="S59" s="48"/>
      <c r="T59" s="48"/>
      <c r="U59" s="83">
        <f t="shared" ref="U59" si="81">SUM(P59:T59)</f>
        <v>0</v>
      </c>
      <c r="W59" s="48"/>
      <c r="X59" s="48"/>
      <c r="Y59" s="48"/>
      <c r="Z59" s="48"/>
      <c r="AA59" s="48"/>
      <c r="AB59" s="83">
        <f t="shared" ref="AB59" si="82">SUM(W59:AA59)</f>
        <v>0</v>
      </c>
      <c r="AD59" s="48"/>
      <c r="AE59" s="48">
        <f>0.18928962+0.206027</f>
        <v>0.39531662000000001</v>
      </c>
      <c r="AF59" s="48"/>
      <c r="AG59" s="83">
        <f t="shared" ref="AG59" si="83">SUM(AD59:AF59)</f>
        <v>0.39531662000000001</v>
      </c>
      <c r="AI59" s="91">
        <f t="shared" ref="AI59" si="84">SUM(AB59,U59,N59,AG59)</f>
        <v>0.39531662000000001</v>
      </c>
      <c r="AJ59" s="32"/>
      <c r="AK59" s="106"/>
      <c r="AL59" s="130"/>
      <c r="AM59" s="130"/>
      <c r="AN59" s="147"/>
      <c r="AO59" s="113">
        <f t="shared" ref="AO59" si="85">SUM(AK59:AN59)</f>
        <v>0</v>
      </c>
      <c r="AQ59" s="91">
        <f t="shared" ref="AQ59" si="86">SUM(AI59,AO59)</f>
        <v>0.39531662000000001</v>
      </c>
    </row>
    <row r="60" spans="1:43" ht="15" thickBot="1" x14ac:dyDescent="0.25">
      <c r="A60" s="27" t="s">
        <v>131</v>
      </c>
      <c r="C60" s="42">
        <v>4.4634</v>
      </c>
      <c r="D60" s="42"/>
      <c r="E60" s="49">
        <v>15.048249999999999</v>
      </c>
      <c r="F60" s="42">
        <v>5.60595</v>
      </c>
      <c r="G60" s="49">
        <v>18.491534999999999</v>
      </c>
      <c r="H60" s="50">
        <v>6.6251490000000004</v>
      </c>
      <c r="I60" s="42">
        <v>23.214072000000002</v>
      </c>
      <c r="J60" s="52">
        <v>48.113951999999998</v>
      </c>
      <c r="K60" s="47"/>
      <c r="L60" s="42"/>
      <c r="M60" s="47">
        <v>15.883044</v>
      </c>
      <c r="N60" s="84">
        <f t="shared" si="22"/>
        <v>137.44535199999999</v>
      </c>
      <c r="P60" s="47">
        <v>85.1</v>
      </c>
      <c r="Q60" s="55">
        <v>206.88</v>
      </c>
      <c r="R60" s="55">
        <v>447.88005122999999</v>
      </c>
      <c r="S60" s="55">
        <v>302.55504000000002</v>
      </c>
      <c r="T60" s="55">
        <f>418.55298+23.91142691</f>
        <v>442.46440690999998</v>
      </c>
      <c r="U60" s="84">
        <f t="shared" si="23"/>
        <v>1484.8794981399999</v>
      </c>
      <c r="W60" s="55">
        <v>304.83199999999999</v>
      </c>
      <c r="X60" s="55">
        <v>282.065</v>
      </c>
      <c r="Y60" s="55">
        <f>237.859968+15.02140486</f>
        <v>252.88137286</v>
      </c>
      <c r="Z60" s="55">
        <v>267.42500000000001</v>
      </c>
      <c r="AA60" s="48">
        <v>270.52</v>
      </c>
      <c r="AB60" s="84">
        <f t="shared" si="24"/>
        <v>1377.7233728599999</v>
      </c>
      <c r="AD60" s="48">
        <f>274.26954378+6.31957474</f>
        <v>280.58911852</v>
      </c>
      <c r="AE60" s="48"/>
      <c r="AF60" s="48">
        <f>63.87089323+247.49971128</f>
        <v>311.37060451000002</v>
      </c>
      <c r="AG60" s="84">
        <f t="shared" si="3"/>
        <v>591.95972303000008</v>
      </c>
      <c r="AI60" s="91">
        <f t="shared" si="4"/>
        <v>3592.0079460300003</v>
      </c>
      <c r="AJ60" s="32"/>
      <c r="AK60" s="106"/>
      <c r="AL60" s="130">
        <v>60.625</v>
      </c>
      <c r="AM60" s="130">
        <v>62.500500000000002</v>
      </c>
      <c r="AN60" s="147"/>
      <c r="AO60" s="113">
        <f t="shared" si="5"/>
        <v>123.1255</v>
      </c>
      <c r="AQ60" s="91">
        <f t="shared" si="6"/>
        <v>3715.1334460300004</v>
      </c>
    </row>
    <row r="61" spans="1:43" ht="13.5" thickBot="1" x14ac:dyDescent="0.25">
      <c r="A61" s="9" t="s">
        <v>54</v>
      </c>
      <c r="C61" s="42"/>
      <c r="D61" s="42">
        <v>48.091999999999999</v>
      </c>
      <c r="E61" s="49">
        <v>53</v>
      </c>
      <c r="F61" s="42">
        <v>58</v>
      </c>
      <c r="G61" s="49">
        <v>59.64</v>
      </c>
      <c r="H61" s="50">
        <v>64.48</v>
      </c>
      <c r="I61" s="42">
        <v>69.3</v>
      </c>
      <c r="J61" s="52">
        <v>69.3</v>
      </c>
      <c r="K61" s="47">
        <v>71.912999999999997</v>
      </c>
      <c r="L61" s="42">
        <v>75</v>
      </c>
      <c r="M61" s="47">
        <v>78</v>
      </c>
      <c r="N61" s="84">
        <f t="shared" ref="N61" si="87">SUM(C61:M61)</f>
        <v>646.72500000000002</v>
      </c>
      <c r="P61" s="47">
        <v>89.8</v>
      </c>
      <c r="Q61" s="55">
        <v>130</v>
      </c>
      <c r="R61" s="55">
        <v>137.978655</v>
      </c>
      <c r="S61" s="55">
        <v>175</v>
      </c>
      <c r="T61" s="55">
        <v>200</v>
      </c>
      <c r="U61" s="84">
        <f t="shared" ref="U61" si="88">SUM(P61:T61)</f>
        <v>732.77865500000007</v>
      </c>
      <c r="W61" s="55">
        <v>235</v>
      </c>
      <c r="X61" s="55">
        <v>275</v>
      </c>
      <c r="Y61" s="55">
        <v>290</v>
      </c>
      <c r="Z61" s="55">
        <v>290</v>
      </c>
      <c r="AA61" s="48">
        <v>290</v>
      </c>
      <c r="AB61" s="84">
        <f t="shared" ref="AB61" si="89">SUM(W61:AA61)</f>
        <v>1380</v>
      </c>
      <c r="AD61" s="48">
        <f>19.9999254+0.0000746</f>
        <v>20</v>
      </c>
      <c r="AE61" s="48">
        <f>290+290</f>
        <v>580</v>
      </c>
      <c r="AF61" s="48"/>
      <c r="AG61" s="84">
        <f t="shared" si="3"/>
        <v>600</v>
      </c>
      <c r="AI61" s="91">
        <f t="shared" si="4"/>
        <v>3359.503655</v>
      </c>
      <c r="AJ61" s="32"/>
      <c r="AK61" s="106"/>
      <c r="AL61" s="130">
        <f>1500+2000</f>
        <v>3500</v>
      </c>
      <c r="AM61" s="130"/>
      <c r="AN61" s="147"/>
      <c r="AO61" s="113">
        <f t="shared" si="5"/>
        <v>3500</v>
      </c>
      <c r="AQ61" s="91">
        <f t="shared" ref="AQ61" si="90">SUM(AI61,AO61)</f>
        <v>6859.5036550000004</v>
      </c>
    </row>
    <row r="62" spans="1:43" ht="13.5" thickBot="1" x14ac:dyDescent="0.25">
      <c r="A62" s="12" t="s">
        <v>55</v>
      </c>
      <c r="C62" s="56"/>
      <c r="D62" s="57"/>
      <c r="E62" s="57"/>
      <c r="F62" s="57"/>
      <c r="G62" s="57"/>
      <c r="H62" s="58"/>
      <c r="I62" s="59"/>
      <c r="J62" s="60"/>
      <c r="K62" s="61"/>
      <c r="L62" s="59"/>
      <c r="M62" s="59"/>
      <c r="N62" s="85">
        <f t="shared" si="22"/>
        <v>0</v>
      </c>
      <c r="P62" s="59"/>
      <c r="Q62" s="56"/>
      <c r="R62" s="56"/>
      <c r="S62" s="56"/>
      <c r="T62" s="56"/>
      <c r="U62" s="85">
        <f t="shared" si="23"/>
        <v>0</v>
      </c>
      <c r="W62" s="56"/>
      <c r="X62" s="56"/>
      <c r="Y62" s="56"/>
      <c r="Z62" s="56"/>
      <c r="AA62" s="56"/>
      <c r="AB62" s="85">
        <f t="shared" si="24"/>
        <v>0</v>
      </c>
      <c r="AD62" s="56"/>
      <c r="AE62" s="56"/>
      <c r="AF62" s="56"/>
      <c r="AG62" s="85">
        <f t="shared" si="3"/>
        <v>0</v>
      </c>
      <c r="AI62" s="92">
        <f t="shared" si="4"/>
        <v>0</v>
      </c>
      <c r="AJ62" s="32"/>
      <c r="AK62" s="109"/>
      <c r="AL62" s="131">
        <v>0.5</v>
      </c>
      <c r="AM62" s="131">
        <v>0.5</v>
      </c>
      <c r="AN62" s="148"/>
      <c r="AO62" s="115">
        <f t="shared" si="5"/>
        <v>1</v>
      </c>
      <c r="AQ62" s="92">
        <f t="shared" si="6"/>
        <v>1</v>
      </c>
    </row>
    <row r="63" spans="1:43" ht="13.5" thickBot="1" x14ac:dyDescent="0.25">
      <c r="A63" s="13" t="s">
        <v>56</v>
      </c>
      <c r="C63" s="62">
        <f t="shared" ref="C63:N63" si="91">SUM(C7:C62)</f>
        <v>4.4634</v>
      </c>
      <c r="D63" s="62">
        <f t="shared" si="91"/>
        <v>93.086564390000007</v>
      </c>
      <c r="E63" s="62">
        <f t="shared" si="91"/>
        <v>106.25498396</v>
      </c>
      <c r="F63" s="62">
        <f t="shared" si="91"/>
        <v>110.91403173</v>
      </c>
      <c r="G63" s="62">
        <f t="shared" si="91"/>
        <v>160.39815135999999</v>
      </c>
      <c r="H63" s="62">
        <f t="shared" si="91"/>
        <v>274.92391606000001</v>
      </c>
      <c r="I63" s="62">
        <f t="shared" si="91"/>
        <v>216.20010949000005</v>
      </c>
      <c r="J63" s="62">
        <f t="shared" si="91"/>
        <v>282.29137800000001</v>
      </c>
      <c r="K63" s="62">
        <f t="shared" si="91"/>
        <v>269.32929425999998</v>
      </c>
      <c r="L63" s="62">
        <f t="shared" si="91"/>
        <v>255.98825982</v>
      </c>
      <c r="M63" s="62">
        <f t="shared" si="91"/>
        <v>252.64002400000001</v>
      </c>
      <c r="N63" s="101">
        <f t="shared" si="91"/>
        <v>2026.49011307</v>
      </c>
      <c r="P63" s="62">
        <f t="shared" ref="P63:U63" si="92">SUM(P7:P62)</f>
        <v>512.89099999999996</v>
      </c>
      <c r="Q63" s="62">
        <f t="shared" si="92"/>
        <v>615.20465434000005</v>
      </c>
      <c r="R63" s="62">
        <f t="shared" si="92"/>
        <v>994.33653315000004</v>
      </c>
      <c r="S63" s="62">
        <f t="shared" si="92"/>
        <v>920.80762834000006</v>
      </c>
      <c r="T63" s="62">
        <f t="shared" si="92"/>
        <v>1001.98051419</v>
      </c>
      <c r="U63" s="101">
        <f t="shared" si="92"/>
        <v>4045.2203300199999</v>
      </c>
      <c r="W63" s="62">
        <f t="shared" ref="W63:AB63" si="93">SUM(W7:W62)</f>
        <v>1173.2561867700001</v>
      </c>
      <c r="X63" s="62">
        <f t="shared" si="93"/>
        <v>1125.5441614700001</v>
      </c>
      <c r="Y63" s="62">
        <f t="shared" si="93"/>
        <v>1137.9701698325</v>
      </c>
      <c r="Z63" s="62">
        <f t="shared" si="93"/>
        <v>1280.0316882200002</v>
      </c>
      <c r="AA63" s="62">
        <f t="shared" si="93"/>
        <v>1150.7051543858161</v>
      </c>
      <c r="AB63" s="101">
        <f t="shared" si="93"/>
        <v>5867.5073606783162</v>
      </c>
      <c r="AD63" s="62">
        <f>SUM(AD7:AD62)</f>
        <v>863.96508089999998</v>
      </c>
      <c r="AE63" s="62">
        <f>SUM(AE7:AE62)</f>
        <v>1114.4340385719292</v>
      </c>
      <c r="AF63" s="62">
        <f>SUM(AF7:AF62)</f>
        <v>690.66374000396002</v>
      </c>
      <c r="AG63" s="101">
        <f>SUM(AG7:AG62)</f>
        <v>2669.0628594758891</v>
      </c>
      <c r="AI63" s="101">
        <f>SUM(AI7:AI62)</f>
        <v>14608.280663244206</v>
      </c>
      <c r="AJ63" s="11"/>
      <c r="AK63" s="108">
        <f>SUM(AK7:AK62)</f>
        <v>286.27033762999997</v>
      </c>
      <c r="AL63" s="132">
        <f>SUM(AL7:AL62)</f>
        <v>6716.6269531100006</v>
      </c>
      <c r="AM63" s="132">
        <f>SUM(AM7:AM62)</f>
        <v>1489.0393124</v>
      </c>
      <c r="AN63" s="110">
        <f>SUM(AN7:AN62)</f>
        <v>368.40620345000002</v>
      </c>
      <c r="AO63" s="110">
        <f>SUM(AO7:AO62)</f>
        <v>8860.3428065899989</v>
      </c>
      <c r="AQ63" s="101">
        <f>SUM(AQ7:AQ62)</f>
        <v>23468.623469834212</v>
      </c>
    </row>
    <row r="64" spans="1:43" ht="13.5" thickBot="1" x14ac:dyDescent="0.25">
      <c r="A64" s="14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P64" s="15"/>
      <c r="Q64" s="15"/>
      <c r="R64" s="15"/>
      <c r="S64" s="15"/>
      <c r="T64" s="15"/>
      <c r="U64" s="15"/>
      <c r="W64" s="63"/>
      <c r="X64" s="63"/>
      <c r="Y64" s="63"/>
      <c r="Z64" s="63"/>
      <c r="AA64" s="63"/>
      <c r="AB64" s="15"/>
      <c r="AD64" s="63"/>
      <c r="AE64" s="63"/>
      <c r="AF64" s="63"/>
      <c r="AG64" s="15"/>
      <c r="AI64" s="15"/>
      <c r="AJ64" s="11"/>
      <c r="AK64" s="15"/>
      <c r="AL64" s="104"/>
      <c r="AM64" s="104"/>
      <c r="AN64" s="104"/>
      <c r="AO64" s="15"/>
      <c r="AQ64" s="15"/>
    </row>
    <row r="65" spans="1:43" ht="13.5" thickBot="1" x14ac:dyDescent="0.25">
      <c r="A65" s="38" t="s">
        <v>57</v>
      </c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86">
        <f t="shared" ref="N65:N67" si="94">SUM(C65:M65)</f>
        <v>0</v>
      </c>
      <c r="P65" s="65"/>
      <c r="Q65" s="65"/>
      <c r="R65" s="65"/>
      <c r="S65" s="65"/>
      <c r="T65" s="65"/>
      <c r="U65" s="86">
        <f t="shared" ref="U65:U67" si="95">SUM(P65:T65)</f>
        <v>0</v>
      </c>
      <c r="W65" s="65"/>
      <c r="X65" s="65"/>
      <c r="Y65" s="65"/>
      <c r="Z65" s="65"/>
      <c r="AA65" s="65"/>
      <c r="AB65" s="86">
        <f t="shared" ref="AB65:AB67" si="96">SUM(W65:AA65)</f>
        <v>0</v>
      </c>
      <c r="AD65" s="65"/>
      <c r="AE65" s="65"/>
      <c r="AF65" s="65"/>
      <c r="AG65" s="86">
        <f t="shared" ref="AG65:AG126" si="97">SUM(AD65:AF65)</f>
        <v>0</v>
      </c>
      <c r="AI65" s="93">
        <f t="shared" ref="AI65:AI126" si="98">SUM(AB65,U65,N65,AG65)</f>
        <v>0</v>
      </c>
      <c r="AJ65" s="32"/>
      <c r="AK65" s="105"/>
      <c r="AL65" s="129">
        <v>0.1</v>
      </c>
      <c r="AM65" s="129"/>
      <c r="AN65" s="146"/>
      <c r="AO65" s="112">
        <f t="shared" ref="AO65:AO126" si="99">SUM(AK65:AN65)</f>
        <v>0.1</v>
      </c>
      <c r="AQ65" s="93">
        <f t="shared" ref="AQ65:AQ67" si="100">SUM(AI65,AO65)</f>
        <v>0.1</v>
      </c>
    </row>
    <row r="66" spans="1:43" ht="13.5" thickBot="1" x14ac:dyDescent="0.25">
      <c r="A66" s="16" t="s">
        <v>59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87">
        <f>SUM(C66:M66)</f>
        <v>0</v>
      </c>
      <c r="P66" s="67"/>
      <c r="Q66" s="67"/>
      <c r="R66" s="67"/>
      <c r="S66" s="67"/>
      <c r="T66" s="67"/>
      <c r="U66" s="87">
        <f>SUM(P66:T66)</f>
        <v>0</v>
      </c>
      <c r="W66" s="36"/>
      <c r="X66" s="36"/>
      <c r="Y66" s="36"/>
      <c r="Z66" s="36">
        <f>0.35+0.35</f>
        <v>0.7</v>
      </c>
      <c r="AA66" s="68">
        <v>0.3</v>
      </c>
      <c r="AB66" s="87">
        <f>SUM(W66:AA66)</f>
        <v>1</v>
      </c>
      <c r="AD66" s="68"/>
      <c r="AE66" s="68"/>
      <c r="AF66" s="68"/>
      <c r="AG66" s="87">
        <f>SUM(AD66:AF66)</f>
        <v>0</v>
      </c>
      <c r="AI66" s="94">
        <f>SUM(AB66,U66,N66,AG66)</f>
        <v>1</v>
      </c>
      <c r="AJ66" s="32"/>
      <c r="AK66" s="106"/>
      <c r="AL66" s="130"/>
      <c r="AM66" s="130"/>
      <c r="AN66" s="147"/>
      <c r="AO66" s="113">
        <f>SUM(AK66:AN66)</f>
        <v>0</v>
      </c>
      <c r="AQ66" s="94">
        <f>SUM(AI66,AO66)</f>
        <v>1</v>
      </c>
    </row>
    <row r="67" spans="1:43" ht="13.5" thickBot="1" x14ac:dyDescent="0.25">
      <c r="A67" s="16" t="s">
        <v>58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87">
        <f t="shared" si="94"/>
        <v>0</v>
      </c>
      <c r="P67" s="67"/>
      <c r="Q67" s="67"/>
      <c r="R67" s="67"/>
      <c r="S67" s="67"/>
      <c r="T67" s="67"/>
      <c r="U67" s="87">
        <f t="shared" si="95"/>
        <v>0</v>
      </c>
      <c r="W67" s="36"/>
      <c r="X67" s="36"/>
      <c r="Y67" s="36"/>
      <c r="Z67" s="36"/>
      <c r="AA67" s="68"/>
      <c r="AB67" s="87">
        <f t="shared" si="96"/>
        <v>0</v>
      </c>
      <c r="AD67" s="68"/>
      <c r="AE67" s="68"/>
      <c r="AF67" s="68"/>
      <c r="AG67" s="87">
        <f t="shared" si="97"/>
        <v>0</v>
      </c>
      <c r="AI67" s="94">
        <f t="shared" si="98"/>
        <v>0</v>
      </c>
      <c r="AJ67" s="32"/>
      <c r="AK67" s="106"/>
      <c r="AL67" s="130">
        <v>0.25</v>
      </c>
      <c r="AM67" s="130"/>
      <c r="AN67" s="147"/>
      <c r="AO67" s="113">
        <f t="shared" si="99"/>
        <v>0.25</v>
      </c>
      <c r="AQ67" s="94">
        <f t="shared" si="100"/>
        <v>0.25</v>
      </c>
    </row>
    <row r="68" spans="1:43" ht="13.5" thickBot="1" x14ac:dyDescent="0.25">
      <c r="A68" s="16" t="s">
        <v>60</v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87">
        <f t="shared" ref="N68:N126" si="101">SUM(C68:M68)</f>
        <v>0</v>
      </c>
      <c r="P68" s="67"/>
      <c r="Q68" s="67"/>
      <c r="R68" s="67"/>
      <c r="S68" s="67"/>
      <c r="T68" s="67"/>
      <c r="U68" s="87">
        <f t="shared" ref="U68:U126" si="102">SUM(P68:T68)</f>
        <v>0</v>
      </c>
      <c r="W68" s="36">
        <v>0.20119999999999999</v>
      </c>
      <c r="X68" s="36">
        <v>0.20119999999999999</v>
      </c>
      <c r="Y68" s="36">
        <v>0.20119999999999999</v>
      </c>
      <c r="Z68" s="36">
        <v>0.20119999999999999</v>
      </c>
      <c r="AA68" s="68">
        <f>2+0.2012</f>
        <v>2.2012</v>
      </c>
      <c r="AB68" s="87">
        <f t="shared" ref="AB68:AB126" si="103">SUM(W68:AA68)</f>
        <v>3.0060000000000002</v>
      </c>
      <c r="AD68" s="68">
        <v>1</v>
      </c>
      <c r="AE68" s="68"/>
      <c r="AF68" s="68"/>
      <c r="AG68" s="87">
        <f t="shared" si="97"/>
        <v>1</v>
      </c>
      <c r="AI68" s="94">
        <f t="shared" si="98"/>
        <v>4.0060000000000002</v>
      </c>
      <c r="AJ68" s="32"/>
      <c r="AK68" s="106"/>
      <c r="AL68" s="130"/>
      <c r="AM68" s="130"/>
      <c r="AN68" s="147"/>
      <c r="AO68" s="113">
        <f t="shared" si="99"/>
        <v>0</v>
      </c>
      <c r="AQ68" s="94">
        <f t="shared" ref="AQ68:AQ126" si="104">SUM(AI68,AO68)</f>
        <v>4.0060000000000002</v>
      </c>
    </row>
    <row r="69" spans="1:43" ht="13.5" thickBot="1" x14ac:dyDescent="0.25">
      <c r="A69" s="16" t="s">
        <v>61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87">
        <f t="shared" ref="N69" si="105">SUM(C69:M69)</f>
        <v>0</v>
      </c>
      <c r="P69" s="67"/>
      <c r="Q69" s="67"/>
      <c r="R69" s="67"/>
      <c r="S69" s="67"/>
      <c r="T69" s="67"/>
      <c r="U69" s="87">
        <f t="shared" ref="U69" si="106">SUM(P69:T69)</f>
        <v>0</v>
      </c>
      <c r="W69" s="36"/>
      <c r="X69" s="36"/>
      <c r="Y69" s="36"/>
      <c r="Z69" s="36"/>
      <c r="AA69" s="68"/>
      <c r="AB69" s="87">
        <f t="shared" ref="AB69" si="107">SUM(W69:AA69)</f>
        <v>0</v>
      </c>
      <c r="AD69" s="68"/>
      <c r="AE69" s="68"/>
      <c r="AF69" s="68"/>
      <c r="AG69" s="87">
        <f>SUM(AD69:AF69)</f>
        <v>0</v>
      </c>
      <c r="AI69" s="94">
        <f>SUM(AB69,U69,N69,AG69)</f>
        <v>0</v>
      </c>
      <c r="AJ69" s="32"/>
      <c r="AK69" s="106"/>
      <c r="AL69" s="130">
        <v>0.65495000000000003</v>
      </c>
      <c r="AM69" s="130"/>
      <c r="AN69" s="147"/>
      <c r="AO69" s="113">
        <f>SUM(AK69:AN69)</f>
        <v>0.65495000000000003</v>
      </c>
      <c r="AQ69" s="94">
        <f t="shared" ref="AQ69" si="108">SUM(AI69,AO69)</f>
        <v>0.65495000000000003</v>
      </c>
    </row>
    <row r="70" spans="1:43" ht="13.5" thickBot="1" x14ac:dyDescent="0.25">
      <c r="A70" s="16" t="s">
        <v>62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87">
        <f t="shared" ref="N70" si="109">SUM(C70:M70)</f>
        <v>0</v>
      </c>
      <c r="P70" s="67"/>
      <c r="Q70" s="67"/>
      <c r="R70" s="67"/>
      <c r="S70" s="67"/>
      <c r="T70" s="67"/>
      <c r="U70" s="87">
        <f t="shared" ref="U70" si="110">SUM(P70:T70)</f>
        <v>0</v>
      </c>
      <c r="W70" s="36"/>
      <c r="X70" s="36"/>
      <c r="Y70" s="36"/>
      <c r="Z70" s="36"/>
      <c r="AA70" s="68"/>
      <c r="AB70" s="87">
        <f t="shared" ref="AB70" si="111">SUM(W70:AA70)</f>
        <v>0</v>
      </c>
      <c r="AD70" s="68">
        <v>0.55156000000000005</v>
      </c>
      <c r="AE70" s="68">
        <v>0.43956623</v>
      </c>
      <c r="AF70" s="68">
        <v>0.33288042000000001</v>
      </c>
      <c r="AG70" s="87">
        <f t="shared" ref="AG70" si="112">SUM(AD70:AF70)</f>
        <v>1.3240066500000001</v>
      </c>
      <c r="AI70" s="94">
        <f t="shared" ref="AI70" si="113">SUM(AB70,U70,N70,AG70)</f>
        <v>1.3240066500000001</v>
      </c>
      <c r="AJ70" s="32"/>
      <c r="AK70" s="106"/>
      <c r="AL70" s="130"/>
      <c r="AM70" s="130"/>
      <c r="AN70" s="147"/>
      <c r="AO70" s="113">
        <f t="shared" ref="AO70" si="114">SUM(AK70:AN70)</f>
        <v>0</v>
      </c>
      <c r="AQ70" s="94">
        <f t="shared" ref="AQ70" si="115">SUM(AI70,AO70)</f>
        <v>1.3240066500000001</v>
      </c>
    </row>
    <row r="71" spans="1:43" ht="13.5" thickBot="1" x14ac:dyDescent="0.25">
      <c r="A71" s="16" t="s">
        <v>63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87">
        <f t="shared" si="101"/>
        <v>0</v>
      </c>
      <c r="P71" s="67"/>
      <c r="Q71" s="67"/>
      <c r="R71" s="67"/>
      <c r="S71" s="67"/>
      <c r="T71" s="67"/>
      <c r="U71" s="87">
        <f t="shared" si="102"/>
        <v>0</v>
      </c>
      <c r="W71" s="36"/>
      <c r="X71" s="36"/>
      <c r="Y71" s="36"/>
      <c r="Z71" s="36"/>
      <c r="AA71" s="68"/>
      <c r="AB71" s="87">
        <f t="shared" si="103"/>
        <v>0</v>
      </c>
      <c r="AD71" s="68"/>
      <c r="AE71" s="68"/>
      <c r="AF71" s="68"/>
      <c r="AG71" s="87">
        <f t="shared" si="97"/>
        <v>0</v>
      </c>
      <c r="AI71" s="94">
        <f t="shared" si="98"/>
        <v>0</v>
      </c>
      <c r="AJ71" s="32"/>
      <c r="AK71" s="106"/>
      <c r="AL71" s="130">
        <f>0.05+1.45</f>
        <v>1.5</v>
      </c>
      <c r="AM71" s="130"/>
      <c r="AN71" s="147"/>
      <c r="AO71" s="113">
        <f t="shared" si="99"/>
        <v>1.5</v>
      </c>
      <c r="AQ71" s="94">
        <f t="shared" si="104"/>
        <v>1.5</v>
      </c>
    </row>
    <row r="72" spans="1:43" ht="13.5" thickBot="1" x14ac:dyDescent="0.25">
      <c r="A72" s="16" t="s">
        <v>64</v>
      </c>
      <c r="C72" s="66">
        <v>325</v>
      </c>
      <c r="D72" s="66">
        <v>425</v>
      </c>
      <c r="E72" s="66"/>
      <c r="F72" s="66">
        <v>3.5</v>
      </c>
      <c r="G72" s="66">
        <v>5</v>
      </c>
      <c r="H72" s="66">
        <v>154.33799999999999</v>
      </c>
      <c r="I72" s="66"/>
      <c r="J72" s="66">
        <v>75</v>
      </c>
      <c r="K72" s="66">
        <v>75</v>
      </c>
      <c r="L72" s="66">
        <v>75</v>
      </c>
      <c r="M72" s="66">
        <v>75</v>
      </c>
      <c r="N72" s="87">
        <f t="shared" si="101"/>
        <v>1212.838</v>
      </c>
      <c r="P72" s="67">
        <v>264.10000000000002</v>
      </c>
      <c r="Q72" s="67">
        <v>268.8</v>
      </c>
      <c r="R72" s="67">
        <v>283.10000000000002</v>
      </c>
      <c r="S72" s="67">
        <f>75+100.6+50</f>
        <v>225.6</v>
      </c>
      <c r="T72" s="67">
        <v>245</v>
      </c>
      <c r="U72" s="87">
        <f t="shared" si="102"/>
        <v>1286.6000000000001</v>
      </c>
      <c r="W72" s="68">
        <f>260+14.6048+2.8952+2.5</f>
        <v>280</v>
      </c>
      <c r="X72" s="68">
        <f>300+13.7578+2.5+3.7422</f>
        <v>320</v>
      </c>
      <c r="Y72" s="68">
        <f>325+15</f>
        <v>340</v>
      </c>
      <c r="Z72" s="68">
        <f>300+15+1.544372</f>
        <v>316.54437200000001</v>
      </c>
      <c r="AA72" s="68">
        <f>290+5</f>
        <v>295</v>
      </c>
      <c r="AB72" s="87">
        <f t="shared" si="103"/>
        <v>1551.5443720000001</v>
      </c>
      <c r="AD72" s="68">
        <f>210+0.45</f>
        <v>210.45</v>
      </c>
      <c r="AE72" s="68">
        <f>340+0.504378</f>
        <v>340.50437799999997</v>
      </c>
      <c r="AF72" s="68">
        <v>340</v>
      </c>
      <c r="AG72" s="87">
        <f t="shared" si="97"/>
        <v>890.95437799999991</v>
      </c>
      <c r="AI72" s="94">
        <f t="shared" si="98"/>
        <v>4941.9367500000008</v>
      </c>
      <c r="AJ72" s="32"/>
      <c r="AK72" s="106"/>
      <c r="AL72" s="130">
        <f>150+50+6.25</f>
        <v>206.25</v>
      </c>
      <c r="AM72" s="130"/>
      <c r="AN72" s="147"/>
      <c r="AO72" s="113">
        <f t="shared" si="99"/>
        <v>206.25</v>
      </c>
      <c r="AQ72" s="94">
        <f t="shared" si="104"/>
        <v>5148.1867500000008</v>
      </c>
    </row>
    <row r="73" spans="1:43" ht="13.5" thickBot="1" x14ac:dyDescent="0.25">
      <c r="A73" s="16" t="s">
        <v>65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87">
        <f t="shared" ref="N73:N81" si="116">SUM(C73:M73)</f>
        <v>0</v>
      </c>
      <c r="P73" s="67"/>
      <c r="Q73" s="67"/>
      <c r="R73" s="67"/>
      <c r="S73" s="67"/>
      <c r="T73" s="67"/>
      <c r="U73" s="87">
        <f t="shared" ref="U73:U81" si="117">SUM(P73:T73)</f>
        <v>0</v>
      </c>
      <c r="W73" s="36"/>
      <c r="X73" s="36"/>
      <c r="Y73" s="36"/>
      <c r="Z73" s="36"/>
      <c r="AA73" s="68"/>
      <c r="AB73" s="87">
        <f t="shared" ref="AB73:AB81" si="118">SUM(W73:AA73)</f>
        <v>0</v>
      </c>
      <c r="AD73" s="68"/>
      <c r="AE73" s="68"/>
      <c r="AF73" s="68"/>
      <c r="AG73" s="87">
        <f t="shared" si="97"/>
        <v>0</v>
      </c>
      <c r="AI73" s="94">
        <f t="shared" si="98"/>
        <v>0</v>
      </c>
      <c r="AJ73" s="32"/>
      <c r="AK73" s="106"/>
      <c r="AL73" s="130">
        <v>0.15115912000000001</v>
      </c>
      <c r="AM73" s="130"/>
      <c r="AN73" s="147"/>
      <c r="AO73" s="113">
        <f t="shared" si="99"/>
        <v>0.15115912000000001</v>
      </c>
      <c r="AQ73" s="94">
        <f t="shared" ref="AQ73:AQ81" si="119">SUM(AI73,AO73)</f>
        <v>0.15115912000000001</v>
      </c>
    </row>
    <row r="74" spans="1:43" ht="13.5" thickBot="1" x14ac:dyDescent="0.25">
      <c r="A74" s="16" t="s">
        <v>66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87">
        <f t="shared" si="116"/>
        <v>0</v>
      </c>
      <c r="P74" s="67"/>
      <c r="Q74" s="67"/>
      <c r="R74" s="67"/>
      <c r="S74" s="67"/>
      <c r="T74" s="67"/>
      <c r="U74" s="87">
        <f t="shared" si="117"/>
        <v>0</v>
      </c>
      <c r="W74" s="36"/>
      <c r="X74" s="36"/>
      <c r="Y74" s="36"/>
      <c r="Z74" s="36"/>
      <c r="AA74" s="68"/>
      <c r="AB74" s="87">
        <f t="shared" si="118"/>
        <v>0</v>
      </c>
      <c r="AD74" s="68"/>
      <c r="AE74" s="68"/>
      <c r="AF74" s="68"/>
      <c r="AG74" s="87">
        <f t="shared" si="97"/>
        <v>0</v>
      </c>
      <c r="AI74" s="94">
        <f t="shared" si="98"/>
        <v>0</v>
      </c>
      <c r="AJ74" s="32"/>
      <c r="AK74" s="106"/>
      <c r="AL74" s="130">
        <v>0.25</v>
      </c>
      <c r="AM74" s="130"/>
      <c r="AN74" s="147"/>
      <c r="AO74" s="113">
        <f t="shared" si="99"/>
        <v>0.25</v>
      </c>
      <c r="AQ74" s="94">
        <f t="shared" si="119"/>
        <v>0.25</v>
      </c>
    </row>
    <row r="75" spans="1:43" ht="13.5" thickBot="1" x14ac:dyDescent="0.25">
      <c r="A75" s="16" t="s">
        <v>67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87">
        <f t="shared" ref="N75" si="120">SUM(C75:M75)</f>
        <v>0</v>
      </c>
      <c r="P75" s="67"/>
      <c r="Q75" s="67"/>
      <c r="R75" s="67"/>
      <c r="S75" s="67"/>
      <c r="T75" s="67"/>
      <c r="U75" s="87">
        <f t="shared" ref="U75" si="121">SUM(P75:T75)</f>
        <v>0</v>
      </c>
      <c r="W75" s="36"/>
      <c r="X75" s="36"/>
      <c r="Y75" s="36"/>
      <c r="Z75" s="36"/>
      <c r="AA75" s="68"/>
      <c r="AB75" s="87">
        <f t="shared" ref="AB75" si="122">SUM(W75:AA75)</f>
        <v>0</v>
      </c>
      <c r="AD75" s="68"/>
      <c r="AE75" s="68"/>
      <c r="AF75" s="68"/>
      <c r="AG75" s="87">
        <f t="shared" ref="AG75" si="123">SUM(AD75:AF75)</f>
        <v>0</v>
      </c>
      <c r="AI75" s="94">
        <f t="shared" ref="AI75" si="124">SUM(AB75,U75,N75,AG75)</f>
        <v>0</v>
      </c>
      <c r="AJ75" s="32"/>
      <c r="AK75" s="106"/>
      <c r="AL75" s="130">
        <f>0.59467859+0.02277043</f>
        <v>0.61744902000000002</v>
      </c>
      <c r="AM75" s="130"/>
      <c r="AN75" s="147"/>
      <c r="AO75" s="113">
        <f t="shared" ref="AO75" si="125">SUM(AK75:AN75)</f>
        <v>0.61744902000000002</v>
      </c>
      <c r="AQ75" s="94">
        <f t="shared" ref="AQ75" si="126">SUM(AI75,AO75)</f>
        <v>0.61744902000000002</v>
      </c>
    </row>
    <row r="76" spans="1:43" ht="26.25" thickBot="1" x14ac:dyDescent="0.25">
      <c r="A76" s="16" t="s">
        <v>154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87">
        <f t="shared" si="116"/>
        <v>0</v>
      </c>
      <c r="P76" s="67"/>
      <c r="Q76" s="67">
        <v>4.3</v>
      </c>
      <c r="R76" s="67">
        <v>2.2000000000000002</v>
      </c>
      <c r="S76" s="67">
        <v>12.775399999999999</v>
      </c>
      <c r="T76" s="67">
        <v>12.5</v>
      </c>
      <c r="U76" s="87">
        <f t="shared" si="117"/>
        <v>31.775399999999998</v>
      </c>
      <c r="W76" s="36"/>
      <c r="X76" s="36"/>
      <c r="Y76" s="68">
        <v>3.0599999999999999E-2</v>
      </c>
      <c r="Z76" s="36"/>
      <c r="AA76" s="68"/>
      <c r="AB76" s="87">
        <f t="shared" si="118"/>
        <v>3.0599999999999999E-2</v>
      </c>
      <c r="AD76" s="68"/>
      <c r="AE76" s="68"/>
      <c r="AF76" s="68"/>
      <c r="AG76" s="87">
        <f t="shared" si="97"/>
        <v>0</v>
      </c>
      <c r="AI76" s="94">
        <f t="shared" si="98"/>
        <v>31.805999999999997</v>
      </c>
      <c r="AJ76" s="32"/>
      <c r="AK76" s="106"/>
      <c r="AL76" s="130">
        <f>0.59467859+0.02277043</f>
        <v>0.61744902000000002</v>
      </c>
      <c r="AM76" s="130"/>
      <c r="AN76" s="147"/>
      <c r="AO76" s="113">
        <f t="shared" si="99"/>
        <v>0.61744902000000002</v>
      </c>
      <c r="AQ76" s="94">
        <f t="shared" si="119"/>
        <v>32.42344902</v>
      </c>
    </row>
    <row r="77" spans="1:43" ht="26.25" thickBot="1" x14ac:dyDescent="0.25">
      <c r="A77" s="34" t="s">
        <v>155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87">
        <f t="shared" ref="N77" si="127">SUM(C77:M77)</f>
        <v>0</v>
      </c>
      <c r="P77" s="67"/>
      <c r="Q77" s="67">
        <v>1.5</v>
      </c>
      <c r="R77" s="67">
        <v>2.5</v>
      </c>
      <c r="S77" s="67">
        <v>2</v>
      </c>
      <c r="T77" s="67">
        <v>1</v>
      </c>
      <c r="U77" s="87">
        <f t="shared" ref="U77" si="128">SUM(P77:T77)</f>
        <v>7</v>
      </c>
      <c r="W77" s="36">
        <v>1.2</v>
      </c>
      <c r="X77" s="36">
        <v>1</v>
      </c>
      <c r="Y77" s="36"/>
      <c r="Z77" s="36">
        <v>2.0000499999999999</v>
      </c>
      <c r="AA77" s="68"/>
      <c r="AB77" s="87">
        <f t="shared" ref="AB77" si="129">SUM(W77:AA77)</f>
        <v>4.2000500000000001</v>
      </c>
      <c r="AD77" s="68"/>
      <c r="AE77" s="68"/>
      <c r="AF77" s="68"/>
      <c r="AG77" s="87">
        <f t="shared" si="97"/>
        <v>0</v>
      </c>
      <c r="AI77" s="94">
        <f t="shared" si="98"/>
        <v>11.200050000000001</v>
      </c>
      <c r="AJ77" s="32"/>
      <c r="AK77" s="106"/>
      <c r="AL77" s="130"/>
      <c r="AM77" s="130"/>
      <c r="AN77" s="147"/>
      <c r="AO77" s="113">
        <f t="shared" si="99"/>
        <v>0</v>
      </c>
      <c r="AQ77" s="94">
        <f t="shared" ref="AQ77" si="130">SUM(AI77,AO77)</f>
        <v>11.200050000000001</v>
      </c>
    </row>
    <row r="78" spans="1:43" ht="15" thickBot="1" x14ac:dyDescent="0.25">
      <c r="A78" s="34" t="s">
        <v>153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87">
        <f t="shared" ref="N78" si="131">SUM(C78:M78)</f>
        <v>0</v>
      </c>
      <c r="P78" s="67"/>
      <c r="Q78" s="67"/>
      <c r="R78" s="67"/>
      <c r="S78" s="67"/>
      <c r="T78" s="67"/>
      <c r="U78" s="87">
        <f t="shared" ref="U78" si="132">SUM(P78:T78)</f>
        <v>0</v>
      </c>
      <c r="W78" s="36"/>
      <c r="X78" s="36"/>
      <c r="Y78" s="36"/>
      <c r="Z78" s="36"/>
      <c r="AA78" s="68"/>
      <c r="AB78" s="87">
        <f t="shared" ref="AB78" si="133">SUM(W78:AA78)</f>
        <v>0</v>
      </c>
      <c r="AD78" s="68"/>
      <c r="AE78" s="68"/>
      <c r="AF78" s="68">
        <v>0.25</v>
      </c>
      <c r="AG78" s="87">
        <f t="shared" ref="AG78" si="134">SUM(AD78:AF78)</f>
        <v>0.25</v>
      </c>
      <c r="AI78" s="94">
        <f t="shared" ref="AI78" si="135">SUM(AB78,U78,N78,AG78)</f>
        <v>0.25</v>
      </c>
      <c r="AJ78" s="32"/>
      <c r="AK78" s="106"/>
      <c r="AL78" s="130">
        <v>5</v>
      </c>
      <c r="AM78" s="130"/>
      <c r="AN78" s="147"/>
      <c r="AO78" s="113">
        <f t="shared" ref="AO78" si="136">SUM(AK78:AN78)</f>
        <v>5</v>
      </c>
      <c r="AQ78" s="94">
        <f>SUM(AI78,AO78)</f>
        <v>5.25</v>
      </c>
    </row>
    <row r="79" spans="1:43" ht="13.5" thickBot="1" x14ac:dyDescent="0.25">
      <c r="A79" s="16" t="s">
        <v>68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87">
        <f>SUM(C79:M79)</f>
        <v>0</v>
      </c>
      <c r="P79" s="67"/>
      <c r="Q79" s="67"/>
      <c r="R79" s="67"/>
      <c r="S79" s="67"/>
      <c r="T79" s="67"/>
      <c r="U79" s="87">
        <f>SUM(P79:T79)</f>
        <v>0</v>
      </c>
      <c r="W79" s="36"/>
      <c r="X79" s="36"/>
      <c r="Y79" s="36"/>
      <c r="Z79" s="36"/>
      <c r="AA79" s="68"/>
      <c r="AB79" s="87">
        <f>SUM(W79:AA79)</f>
        <v>0</v>
      </c>
      <c r="AD79" s="68"/>
      <c r="AE79" s="68"/>
      <c r="AF79" s="68"/>
      <c r="AG79" s="87">
        <f t="shared" si="97"/>
        <v>0</v>
      </c>
      <c r="AI79" s="94">
        <f t="shared" si="98"/>
        <v>0</v>
      </c>
      <c r="AJ79" s="32"/>
      <c r="AK79" s="106"/>
      <c r="AL79" s="130">
        <v>0.5</v>
      </c>
      <c r="AM79" s="130"/>
      <c r="AN79" s="147"/>
      <c r="AO79" s="113">
        <f t="shared" si="99"/>
        <v>0.5</v>
      </c>
      <c r="AQ79" s="94">
        <f>SUM(AI79,AO79)</f>
        <v>0.5</v>
      </c>
    </row>
    <row r="80" spans="1:43" ht="13.5" thickBot="1" x14ac:dyDescent="0.25">
      <c r="A80" s="16" t="s">
        <v>69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87">
        <f t="shared" ref="N80" si="137">SUM(C80:M80)</f>
        <v>0</v>
      </c>
      <c r="P80" s="67"/>
      <c r="Q80" s="67"/>
      <c r="R80" s="67"/>
      <c r="S80" s="67"/>
      <c r="T80" s="67"/>
      <c r="U80" s="87">
        <f t="shared" ref="U80" si="138">SUM(P80:T80)</f>
        <v>0</v>
      </c>
      <c r="W80" s="36"/>
      <c r="X80" s="36"/>
      <c r="Y80" s="36"/>
      <c r="Z80" s="36"/>
      <c r="AA80" s="68"/>
      <c r="AB80" s="87">
        <f t="shared" ref="AB80" si="139">SUM(W80:AA80)</f>
        <v>0</v>
      </c>
      <c r="AD80" s="68"/>
      <c r="AE80" s="68"/>
      <c r="AF80" s="68"/>
      <c r="AG80" s="87">
        <f t="shared" ref="AG80" si="140">SUM(AD80:AF80)</f>
        <v>0</v>
      </c>
      <c r="AI80" s="94">
        <f t="shared" ref="AI80" si="141">SUM(AB80,U80,N80,AG80)</f>
        <v>0</v>
      </c>
      <c r="AJ80" s="32"/>
      <c r="AK80" s="106"/>
      <c r="AL80" s="130">
        <v>0.05</v>
      </c>
      <c r="AM80" s="130">
        <v>0.24644740000000001</v>
      </c>
      <c r="AN80" s="147"/>
      <c r="AO80" s="113">
        <f t="shared" ref="AO80" si="142">SUM(AK80:AN80)</f>
        <v>0.29644740000000003</v>
      </c>
      <c r="AQ80" s="94">
        <f t="shared" ref="AQ80" si="143">SUM(AI80,AO80)</f>
        <v>0.29644740000000003</v>
      </c>
    </row>
    <row r="81" spans="1:43" ht="26.25" thickBot="1" x14ac:dyDescent="0.25">
      <c r="A81" s="16" t="s">
        <v>70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87">
        <f t="shared" si="116"/>
        <v>0</v>
      </c>
      <c r="P81" s="67"/>
      <c r="Q81" s="67"/>
      <c r="R81" s="67"/>
      <c r="S81" s="67"/>
      <c r="T81" s="67"/>
      <c r="U81" s="87">
        <f t="shared" si="117"/>
        <v>0</v>
      </c>
      <c r="W81" s="36"/>
      <c r="X81" s="36"/>
      <c r="Y81" s="36"/>
      <c r="Z81" s="36"/>
      <c r="AA81" s="68"/>
      <c r="AB81" s="87">
        <f t="shared" si="118"/>
        <v>0</v>
      </c>
      <c r="AD81" s="68"/>
      <c r="AE81" s="68"/>
      <c r="AF81" s="68"/>
      <c r="AG81" s="87">
        <f t="shared" si="97"/>
        <v>0</v>
      </c>
      <c r="AI81" s="94">
        <f t="shared" si="98"/>
        <v>0</v>
      </c>
      <c r="AJ81" s="32"/>
      <c r="AK81" s="106"/>
      <c r="AL81" s="130">
        <v>0.1</v>
      </c>
      <c r="AM81" s="130"/>
      <c r="AN81" s="147"/>
      <c r="AO81" s="113">
        <f t="shared" si="99"/>
        <v>0.1</v>
      </c>
      <c r="AQ81" s="94">
        <f t="shared" si="119"/>
        <v>0.1</v>
      </c>
    </row>
    <row r="82" spans="1:43" ht="13.5" thickBot="1" x14ac:dyDescent="0.25">
      <c r="A82" s="16" t="s">
        <v>118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87">
        <f t="shared" ref="N82" si="144">SUM(C82:M82)</f>
        <v>0</v>
      </c>
      <c r="P82" s="67"/>
      <c r="Q82" s="67"/>
      <c r="R82" s="67"/>
      <c r="S82" s="67"/>
      <c r="T82" s="67"/>
      <c r="U82" s="87">
        <f t="shared" ref="U82" si="145">SUM(P82:T82)</f>
        <v>0</v>
      </c>
      <c r="W82" s="36"/>
      <c r="X82" s="36"/>
      <c r="Y82" s="36"/>
      <c r="Z82" s="36"/>
      <c r="AA82" s="68"/>
      <c r="AB82" s="87">
        <f t="shared" ref="AB82" si="146">SUM(W82:AA82)</f>
        <v>0</v>
      </c>
      <c r="AD82" s="68"/>
      <c r="AE82" s="68"/>
      <c r="AF82" s="68"/>
      <c r="AG82" s="87">
        <f t="shared" ref="AG82" si="147">SUM(AD82:AF82)</f>
        <v>0</v>
      </c>
      <c r="AI82" s="94">
        <f t="shared" ref="AI82" si="148">SUM(AB82,U82,N82,AG82)</f>
        <v>0</v>
      </c>
      <c r="AJ82" s="32"/>
      <c r="AK82" s="106"/>
      <c r="AL82" s="130"/>
      <c r="AM82" s="130">
        <v>0.23205000000000001</v>
      </c>
      <c r="AN82" s="147"/>
      <c r="AO82" s="113">
        <f t="shared" ref="AO82" si="149">SUM(AK82:AN82)</f>
        <v>0.23205000000000001</v>
      </c>
      <c r="AQ82" s="94">
        <f t="shared" ref="AQ82" si="150">SUM(AI82,AO82)</f>
        <v>0.23205000000000001</v>
      </c>
    </row>
    <row r="83" spans="1:43" ht="13.5" thickBot="1" x14ac:dyDescent="0.25">
      <c r="A83" s="16" t="s">
        <v>71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87">
        <f t="shared" ref="N83" si="151">SUM(C83:M83)</f>
        <v>0</v>
      </c>
      <c r="P83" s="67"/>
      <c r="Q83" s="67"/>
      <c r="R83" s="67"/>
      <c r="S83" s="67"/>
      <c r="T83" s="67"/>
      <c r="U83" s="87">
        <f t="shared" ref="U83" si="152">SUM(P83:T83)</f>
        <v>0</v>
      </c>
      <c r="W83" s="36"/>
      <c r="X83" s="36"/>
      <c r="Y83" s="36"/>
      <c r="Z83" s="36"/>
      <c r="AA83" s="68"/>
      <c r="AB83" s="87">
        <f t="shared" ref="AB83" si="153">SUM(W83:AA83)</f>
        <v>0</v>
      </c>
      <c r="AD83" s="68"/>
      <c r="AE83" s="68"/>
      <c r="AF83" s="68"/>
      <c r="AG83" s="87">
        <f t="shared" si="97"/>
        <v>0</v>
      </c>
      <c r="AI83" s="94">
        <f t="shared" si="98"/>
        <v>0</v>
      </c>
      <c r="AJ83" s="32"/>
      <c r="AK83" s="106"/>
      <c r="AL83" s="130">
        <v>0.1</v>
      </c>
      <c r="AM83" s="130"/>
      <c r="AN83" s="147"/>
      <c r="AO83" s="113">
        <f t="shared" si="99"/>
        <v>0.1</v>
      </c>
      <c r="AQ83" s="94">
        <f t="shared" si="104"/>
        <v>0.1</v>
      </c>
    </row>
    <row r="84" spans="1:43" ht="26.25" customHeight="1" thickBot="1" x14ac:dyDescent="0.25">
      <c r="A84" s="34" t="s">
        <v>72</v>
      </c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87">
        <f t="shared" si="101"/>
        <v>0</v>
      </c>
      <c r="P84" s="67"/>
      <c r="Q84" s="67"/>
      <c r="R84" s="67"/>
      <c r="S84" s="67">
        <f>0.8+1.2</f>
        <v>2</v>
      </c>
      <c r="T84" s="68"/>
      <c r="U84" s="87">
        <f t="shared" si="102"/>
        <v>2</v>
      </c>
      <c r="W84" s="68"/>
      <c r="X84" s="68"/>
      <c r="Y84" s="68">
        <v>0.855078</v>
      </c>
      <c r="Z84" s="68"/>
      <c r="AA84" s="68">
        <v>0.31638899999999998</v>
      </c>
      <c r="AB84" s="87">
        <f t="shared" si="103"/>
        <v>1.171467</v>
      </c>
      <c r="AD84" s="68">
        <v>0.60479499999999997</v>
      </c>
      <c r="AE84" s="68"/>
      <c r="AF84" s="68">
        <v>0.5</v>
      </c>
      <c r="AG84" s="87">
        <f t="shared" si="97"/>
        <v>1.104795</v>
      </c>
      <c r="AI84" s="94">
        <f t="shared" si="98"/>
        <v>4.276262</v>
      </c>
      <c r="AJ84" s="32"/>
      <c r="AK84" s="106"/>
      <c r="AL84" s="130"/>
      <c r="AM84" s="130"/>
      <c r="AN84" s="147"/>
      <c r="AO84" s="113">
        <f t="shared" si="99"/>
        <v>0</v>
      </c>
      <c r="AQ84" s="94">
        <f t="shared" si="104"/>
        <v>4.276262</v>
      </c>
    </row>
    <row r="85" spans="1:43" ht="13.5" thickBot="1" x14ac:dyDescent="0.25">
      <c r="A85" s="16" t="s">
        <v>73</v>
      </c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87">
        <f t="shared" si="101"/>
        <v>0</v>
      </c>
      <c r="P85" s="67"/>
      <c r="Q85" s="67"/>
      <c r="R85" s="67"/>
      <c r="S85" s="67"/>
      <c r="T85" s="67"/>
      <c r="U85" s="87">
        <f t="shared" si="102"/>
        <v>0</v>
      </c>
      <c r="W85" s="36"/>
      <c r="X85" s="36"/>
      <c r="Y85" s="36"/>
      <c r="Z85" s="36"/>
      <c r="AA85" s="68"/>
      <c r="AB85" s="87">
        <f t="shared" si="103"/>
        <v>0</v>
      </c>
      <c r="AD85" s="68"/>
      <c r="AE85" s="68"/>
      <c r="AF85" s="68"/>
      <c r="AG85" s="87">
        <f t="shared" si="97"/>
        <v>0</v>
      </c>
      <c r="AI85" s="94">
        <f t="shared" si="98"/>
        <v>0</v>
      </c>
      <c r="AJ85" s="32"/>
      <c r="AK85" s="106"/>
      <c r="AL85" s="130">
        <v>0.23271384000000001</v>
      </c>
      <c r="AM85" s="130"/>
      <c r="AN85" s="147"/>
      <c r="AO85" s="113">
        <f t="shared" si="99"/>
        <v>0.23271384000000001</v>
      </c>
      <c r="AQ85" s="94">
        <f t="shared" si="104"/>
        <v>0.23271384000000001</v>
      </c>
    </row>
    <row r="86" spans="1:43" ht="13.5" thickBot="1" x14ac:dyDescent="0.25">
      <c r="A86" s="16" t="s">
        <v>74</v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87">
        <f t="shared" si="101"/>
        <v>0</v>
      </c>
      <c r="P86" s="67"/>
      <c r="Q86" s="67"/>
      <c r="R86" s="67"/>
      <c r="S86" s="67"/>
      <c r="T86" s="67"/>
      <c r="U86" s="87">
        <f t="shared" si="102"/>
        <v>0</v>
      </c>
      <c r="W86" s="36"/>
      <c r="X86" s="36"/>
      <c r="Y86" s="36"/>
      <c r="Z86" s="36"/>
      <c r="AA86" s="68"/>
      <c r="AB86" s="87">
        <f t="shared" si="103"/>
        <v>0</v>
      </c>
      <c r="AD86" s="68"/>
      <c r="AE86" s="68"/>
      <c r="AF86" s="68"/>
      <c r="AG86" s="87">
        <f t="shared" si="97"/>
        <v>0</v>
      </c>
      <c r="AI86" s="94">
        <f t="shared" si="98"/>
        <v>0</v>
      </c>
      <c r="AJ86" s="32"/>
      <c r="AK86" s="106"/>
      <c r="AL86" s="130">
        <v>0.125</v>
      </c>
      <c r="AM86" s="130"/>
      <c r="AN86" s="147"/>
      <c r="AO86" s="113">
        <f t="shared" si="99"/>
        <v>0.125</v>
      </c>
      <c r="AQ86" s="94">
        <f t="shared" si="104"/>
        <v>0.125</v>
      </c>
    </row>
    <row r="87" spans="1:43" ht="13.5" thickBot="1" x14ac:dyDescent="0.25">
      <c r="A87" s="27" t="s">
        <v>75</v>
      </c>
      <c r="C87" s="42"/>
      <c r="D87" s="49"/>
      <c r="E87" s="42"/>
      <c r="F87" s="42"/>
      <c r="G87" s="49"/>
      <c r="H87" s="46"/>
      <c r="I87" s="42"/>
      <c r="J87" s="42"/>
      <c r="K87" s="47"/>
      <c r="L87" s="42"/>
      <c r="M87" s="42"/>
      <c r="N87" s="83">
        <f t="shared" ref="N87" si="154">SUM(C87:M87)</f>
        <v>0</v>
      </c>
      <c r="P87" s="42"/>
      <c r="Q87" s="48"/>
      <c r="R87" s="48"/>
      <c r="S87" s="48"/>
      <c r="T87" s="48"/>
      <c r="U87" s="83">
        <f t="shared" ref="U87" si="155">SUM(P87:T87)</f>
        <v>0</v>
      </c>
      <c r="W87" s="48"/>
      <c r="X87" s="48"/>
      <c r="Y87" s="48"/>
      <c r="Z87" s="48"/>
      <c r="AA87" s="48"/>
      <c r="AB87" s="83">
        <f t="shared" ref="AB87" si="156">SUM(W87:AA87)</f>
        <v>0</v>
      </c>
      <c r="AD87" s="48"/>
      <c r="AE87" s="48"/>
      <c r="AF87" s="48"/>
      <c r="AG87" s="83">
        <f t="shared" ref="AG87" si="157">SUM(AD87:AF87)</f>
        <v>0</v>
      </c>
      <c r="AI87" s="91">
        <f t="shared" ref="AI87" si="158">SUM(AB87,U87,N87,AG87)</f>
        <v>0</v>
      </c>
      <c r="AJ87" s="32"/>
      <c r="AK87" s="106"/>
      <c r="AL87" s="130">
        <v>1.3394999999999999</v>
      </c>
      <c r="AM87" s="130">
        <v>0.96499999999999997</v>
      </c>
      <c r="AN87" s="147"/>
      <c r="AO87" s="113">
        <f t="shared" ref="AO87" si="159">SUM(AK87:AN87)</f>
        <v>2.3045</v>
      </c>
      <c r="AQ87" s="91">
        <f>SUM(AI87,AO87)</f>
        <v>2.3045</v>
      </c>
    </row>
    <row r="88" spans="1:43" ht="13.5" thickBot="1" x14ac:dyDescent="0.25">
      <c r="A88" s="16" t="s">
        <v>76</v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87">
        <f t="shared" si="101"/>
        <v>0</v>
      </c>
      <c r="P88" s="67"/>
      <c r="Q88" s="67"/>
      <c r="R88" s="67"/>
      <c r="S88" s="67"/>
      <c r="T88" s="67"/>
      <c r="U88" s="87">
        <f t="shared" si="102"/>
        <v>0</v>
      </c>
      <c r="W88" s="36"/>
      <c r="X88" s="36"/>
      <c r="Y88" s="36"/>
      <c r="Z88" s="36"/>
      <c r="AA88" s="68"/>
      <c r="AB88" s="87">
        <f t="shared" si="103"/>
        <v>0</v>
      </c>
      <c r="AD88" s="68"/>
      <c r="AE88" s="68"/>
      <c r="AF88" s="68"/>
      <c r="AG88" s="87">
        <f t="shared" si="97"/>
        <v>0</v>
      </c>
      <c r="AI88" s="94">
        <f t="shared" si="98"/>
        <v>0</v>
      </c>
      <c r="AJ88" s="32"/>
      <c r="AK88" s="106"/>
      <c r="AL88" s="130">
        <v>18</v>
      </c>
      <c r="AM88" s="130"/>
      <c r="AN88" s="147"/>
      <c r="AO88" s="113">
        <f t="shared" si="99"/>
        <v>18</v>
      </c>
      <c r="AQ88" s="94">
        <f t="shared" si="104"/>
        <v>18</v>
      </c>
    </row>
    <row r="89" spans="1:43" ht="13.5" thickBot="1" x14ac:dyDescent="0.25">
      <c r="A89" s="16" t="s">
        <v>79</v>
      </c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87">
        <f t="shared" ref="N89" si="160">SUM(C89:M89)</f>
        <v>0</v>
      </c>
      <c r="P89" s="67"/>
      <c r="Q89" s="67"/>
      <c r="R89" s="67"/>
      <c r="S89" s="67"/>
      <c r="T89" s="67"/>
      <c r="U89" s="87">
        <f t="shared" ref="U89" si="161">SUM(P89:T89)</f>
        <v>0</v>
      </c>
      <c r="W89" s="36"/>
      <c r="X89" s="36"/>
      <c r="Y89" s="36"/>
      <c r="Z89" s="36"/>
      <c r="AA89" s="68"/>
      <c r="AB89" s="87">
        <f t="shared" ref="AB89" si="162">SUM(W89:AA89)</f>
        <v>0</v>
      </c>
      <c r="AD89" s="68"/>
      <c r="AE89" s="68">
        <f>0.25+0.0012521</f>
        <v>0.25125209999999998</v>
      </c>
      <c r="AF89" s="68">
        <f>0.01041175+0.00206594</f>
        <v>1.2477690000000001E-2</v>
      </c>
      <c r="AG89" s="87">
        <f>SUM(AD89:AF89)</f>
        <v>0.26372978999999996</v>
      </c>
      <c r="AI89" s="94">
        <f>SUM(AB89,U89,N89,AG89)</f>
        <v>0.26372978999999996</v>
      </c>
      <c r="AJ89" s="32"/>
      <c r="AK89" s="106"/>
      <c r="AL89" s="130">
        <f>2.5+0.71415911+3.30583547+0.62702543</f>
        <v>7.1470200099999994</v>
      </c>
      <c r="AM89" s="130">
        <f>0.39332083+0.03903177</f>
        <v>0.43235260000000003</v>
      </c>
      <c r="AN89" s="147">
        <f>0.02636044+0.00284982</f>
        <v>2.9210259999999998E-2</v>
      </c>
      <c r="AO89" s="113">
        <f>SUM(AK89:AN89)</f>
        <v>7.6085828699999993</v>
      </c>
      <c r="AQ89" s="94">
        <f t="shared" ref="AQ89" si="163">SUM(AI89,AO89)</f>
        <v>7.8723126599999995</v>
      </c>
    </row>
    <row r="90" spans="1:43" ht="26.25" thickBot="1" x14ac:dyDescent="0.25">
      <c r="A90" s="16" t="s">
        <v>80</v>
      </c>
      <c r="C90" s="66"/>
      <c r="D90" s="66"/>
      <c r="E90" s="66"/>
      <c r="F90" s="66"/>
      <c r="G90" s="66"/>
      <c r="H90" s="66"/>
      <c r="I90" s="66"/>
      <c r="J90" s="69"/>
      <c r="K90" s="67"/>
      <c r="L90" s="67"/>
      <c r="M90" s="67"/>
      <c r="N90" s="88">
        <f>SUM(C90:M90)</f>
        <v>0</v>
      </c>
      <c r="P90" s="67">
        <v>14.077608</v>
      </c>
      <c r="Q90" s="67">
        <v>8.8254854999999992</v>
      </c>
      <c r="R90" s="67">
        <v>10.096907</v>
      </c>
      <c r="S90" s="67"/>
      <c r="T90" s="68"/>
      <c r="U90" s="88">
        <f>SUM(P90:T90)</f>
        <v>33.000000499999999</v>
      </c>
      <c r="W90" s="68"/>
      <c r="X90" s="68">
        <v>5</v>
      </c>
      <c r="Y90" s="68"/>
      <c r="Z90" s="68"/>
      <c r="AA90" s="68"/>
      <c r="AB90" s="88">
        <f>SUM(W90:AA90)</f>
        <v>5</v>
      </c>
      <c r="AD90" s="68"/>
      <c r="AE90" s="68"/>
      <c r="AF90" s="68"/>
      <c r="AG90" s="88">
        <f>SUM(AD90:AF90)</f>
        <v>0</v>
      </c>
      <c r="AI90" s="94">
        <f>SUM(AB90,U90,N90,AG90)</f>
        <v>38.000000499999999</v>
      </c>
      <c r="AJ90" s="32"/>
      <c r="AK90" s="106"/>
      <c r="AL90" s="130"/>
      <c r="AM90" s="130"/>
      <c r="AN90" s="147"/>
      <c r="AO90" s="113">
        <f>SUM(AK90:AN90)</f>
        <v>0</v>
      </c>
      <c r="AQ90" s="94">
        <f>SUM(AI90,AO90)</f>
        <v>38.000000499999999</v>
      </c>
    </row>
    <row r="91" spans="1:43" ht="26.25" thickBot="1" x14ac:dyDescent="0.25">
      <c r="A91" s="34" t="s">
        <v>81</v>
      </c>
      <c r="C91" s="66"/>
      <c r="D91" s="66"/>
      <c r="E91" s="66"/>
      <c r="F91" s="66"/>
      <c r="G91" s="66"/>
      <c r="H91" s="66"/>
      <c r="I91" s="66"/>
      <c r="J91" s="69"/>
      <c r="K91" s="67"/>
      <c r="L91" s="67"/>
      <c r="M91" s="67"/>
      <c r="N91" s="88">
        <f>SUM(C91:M91)</f>
        <v>0</v>
      </c>
      <c r="P91" s="67"/>
      <c r="Q91" s="72"/>
      <c r="R91" s="67"/>
      <c r="S91" s="67"/>
      <c r="T91" s="68"/>
      <c r="U91" s="88">
        <f>SUM(P91:T91)</f>
        <v>0</v>
      </c>
      <c r="W91" s="68">
        <f>0.10916441+0.03383559</f>
        <v>0.14300000000000002</v>
      </c>
      <c r="X91" s="68">
        <f>0.075+0.143</f>
        <v>0.21799999999999997</v>
      </c>
      <c r="Y91" s="68">
        <f>0.211+0.5+0.143</f>
        <v>0.85399999999999998</v>
      </c>
      <c r="Z91" s="68">
        <f>0.3+0.143</f>
        <v>0.44299999999999995</v>
      </c>
      <c r="AA91" s="68"/>
      <c r="AB91" s="88">
        <f>SUM(W91:AA91)</f>
        <v>1.6579999999999999</v>
      </c>
      <c r="AD91" s="68">
        <v>0.215169</v>
      </c>
      <c r="AE91" s="68"/>
      <c r="AF91" s="68"/>
      <c r="AG91" s="88">
        <f>SUM(AD91:AF91)</f>
        <v>0.215169</v>
      </c>
      <c r="AI91" s="94">
        <f>SUM(AB91,U91,N91,AG91)</f>
        <v>1.8731689999999999</v>
      </c>
      <c r="AJ91" s="32"/>
      <c r="AK91" s="106"/>
      <c r="AL91" s="130"/>
      <c r="AM91" s="130"/>
      <c r="AN91" s="147"/>
      <c r="AO91" s="113">
        <f>SUM(AK91:AN91)</f>
        <v>0</v>
      </c>
      <c r="AQ91" s="94">
        <f>SUM(AI91,AO91)</f>
        <v>1.8731689999999999</v>
      </c>
    </row>
    <row r="92" spans="1:43" ht="13.5" thickBot="1" x14ac:dyDescent="0.25">
      <c r="A92" s="16" t="s">
        <v>77</v>
      </c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87">
        <f t="shared" ref="N92" si="164">SUM(C92:M92)</f>
        <v>0</v>
      </c>
      <c r="P92" s="67"/>
      <c r="Q92" s="67"/>
      <c r="R92" s="67"/>
      <c r="S92" s="67"/>
      <c r="T92" s="67"/>
      <c r="U92" s="87">
        <f t="shared" ref="U92" si="165">SUM(P92:T92)</f>
        <v>0</v>
      </c>
      <c r="W92" s="36"/>
      <c r="X92" s="36"/>
      <c r="Y92" s="36"/>
      <c r="Z92" s="36"/>
      <c r="AA92" s="68"/>
      <c r="AB92" s="87">
        <f t="shared" ref="AB92" si="166">SUM(W92:AA92)</f>
        <v>0</v>
      </c>
      <c r="AD92" s="68"/>
      <c r="AE92" s="68"/>
      <c r="AF92" s="68"/>
      <c r="AG92" s="87">
        <f t="shared" ref="AG92" si="167">SUM(AD92:AF92)</f>
        <v>0</v>
      </c>
      <c r="AI92" s="94">
        <f t="shared" ref="AI92" si="168">SUM(AB92,U92,N92,AG92)</f>
        <v>0</v>
      </c>
      <c r="AJ92" s="32"/>
      <c r="AK92" s="106"/>
      <c r="AL92" s="130"/>
      <c r="AM92" s="130">
        <v>0.33614640000000001</v>
      </c>
      <c r="AN92" s="147"/>
      <c r="AO92" s="113">
        <f t="shared" ref="AO92" si="169">SUM(AK92:AN92)</f>
        <v>0.33614640000000001</v>
      </c>
      <c r="AQ92" s="94">
        <f t="shared" si="104"/>
        <v>0.33614640000000001</v>
      </c>
    </row>
    <row r="93" spans="1:43" ht="13.5" thickBot="1" x14ac:dyDescent="0.25">
      <c r="A93" s="16" t="s">
        <v>78</v>
      </c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87">
        <f t="shared" ref="N93" si="170">SUM(C93:M93)</f>
        <v>0</v>
      </c>
      <c r="P93" s="67"/>
      <c r="Q93" s="67"/>
      <c r="R93" s="67"/>
      <c r="S93" s="67"/>
      <c r="T93" s="67"/>
      <c r="U93" s="87">
        <f t="shared" ref="U93" si="171">SUM(P93:T93)</f>
        <v>0</v>
      </c>
      <c r="W93" s="36"/>
      <c r="X93" s="36"/>
      <c r="Y93" s="36"/>
      <c r="Z93" s="36"/>
      <c r="AA93" s="68"/>
      <c r="AB93" s="87">
        <f t="shared" ref="AB93" si="172">SUM(W93:AA93)</f>
        <v>0</v>
      </c>
      <c r="AD93" s="68"/>
      <c r="AE93" s="68"/>
      <c r="AF93" s="68"/>
      <c r="AG93" s="87">
        <f t="shared" si="97"/>
        <v>0</v>
      </c>
      <c r="AI93" s="94">
        <f t="shared" si="98"/>
        <v>0</v>
      </c>
      <c r="AJ93" s="32"/>
      <c r="AK93" s="106"/>
      <c r="AL93" s="130">
        <v>0.12868500999999999</v>
      </c>
      <c r="AM93" s="130">
        <v>1.212266E-2</v>
      </c>
      <c r="AN93" s="147"/>
      <c r="AO93" s="113">
        <f t="shared" si="99"/>
        <v>0.14080767</v>
      </c>
      <c r="AQ93" s="94">
        <f t="shared" ref="AQ93" si="173">SUM(AI93,AO93)</f>
        <v>0.14080767</v>
      </c>
    </row>
    <row r="94" spans="1:43" ht="13.5" thickBot="1" x14ac:dyDescent="0.25">
      <c r="A94" s="27" t="s">
        <v>82</v>
      </c>
      <c r="C94" s="42"/>
      <c r="D94" s="49"/>
      <c r="E94" s="42"/>
      <c r="F94" s="42"/>
      <c r="G94" s="49"/>
      <c r="H94" s="46"/>
      <c r="I94" s="42"/>
      <c r="J94" s="42"/>
      <c r="K94" s="47"/>
      <c r="L94" s="42"/>
      <c r="M94" s="42"/>
      <c r="N94" s="83">
        <f t="shared" ref="N94" si="174">SUM(C94:M94)</f>
        <v>0</v>
      </c>
      <c r="P94" s="42"/>
      <c r="Q94" s="48"/>
      <c r="R94" s="48"/>
      <c r="S94" s="48"/>
      <c r="T94" s="48"/>
      <c r="U94" s="83">
        <f t="shared" ref="U94" si="175">SUM(P94:T94)</f>
        <v>0</v>
      </c>
      <c r="W94" s="48"/>
      <c r="X94" s="48"/>
      <c r="Y94" s="48"/>
      <c r="Z94" s="48"/>
      <c r="AA94" s="48"/>
      <c r="AB94" s="83">
        <f t="shared" ref="AB94" si="176">SUM(W94:AA94)</f>
        <v>0</v>
      </c>
      <c r="AD94" s="48"/>
      <c r="AE94" s="48"/>
      <c r="AF94" s="48">
        <v>0.35</v>
      </c>
      <c r="AG94" s="83">
        <f t="shared" si="97"/>
        <v>0.35</v>
      </c>
      <c r="AI94" s="91">
        <f t="shared" si="98"/>
        <v>0.35</v>
      </c>
      <c r="AJ94" s="32"/>
      <c r="AK94" s="106"/>
      <c r="AL94" s="130"/>
      <c r="AM94" s="130">
        <v>5.3333333300000003</v>
      </c>
      <c r="AN94" s="147"/>
      <c r="AO94" s="113">
        <f t="shared" si="99"/>
        <v>5.3333333300000003</v>
      </c>
      <c r="AQ94" s="91">
        <f>SUM(AI94,AO94)</f>
        <v>5.68333333</v>
      </c>
    </row>
    <row r="95" spans="1:43" ht="13.5" thickBot="1" x14ac:dyDescent="0.25">
      <c r="A95" s="9" t="s">
        <v>83</v>
      </c>
      <c r="C95" s="66"/>
      <c r="D95" s="66"/>
      <c r="E95" s="66"/>
      <c r="F95" s="66"/>
      <c r="G95" s="66"/>
      <c r="H95" s="66"/>
      <c r="I95" s="66"/>
      <c r="J95" s="69"/>
      <c r="K95" s="67">
        <v>5.8</v>
      </c>
      <c r="L95" s="67">
        <v>5.9</v>
      </c>
      <c r="M95" s="67">
        <v>4</v>
      </c>
      <c r="N95" s="88">
        <f t="shared" si="101"/>
        <v>15.7</v>
      </c>
      <c r="P95" s="70">
        <v>3.1</v>
      </c>
      <c r="Q95" s="73">
        <v>2.8415940000000002</v>
      </c>
      <c r="R95" s="67">
        <v>2.0267418500000001</v>
      </c>
      <c r="S95" s="67">
        <f>0.08282487+1.3589+0.41790755-0.05290269</f>
        <v>1.80672973</v>
      </c>
      <c r="T95" s="68">
        <f>0.12171144+1.0905+0.10330079+0.00749712</f>
        <v>1.32300935</v>
      </c>
      <c r="U95" s="88">
        <f t="shared" si="102"/>
        <v>11.098074930000001</v>
      </c>
      <c r="W95" s="68">
        <f>0.54553356+0.02381135+1.09579371+0.52189105+0.15054668</f>
        <v>2.3375763500000004</v>
      </c>
      <c r="X95" s="68">
        <f>0.01439096+0.0742438+0.03536211+1.1219873+0.16116763+0.47137176+0.68446473</f>
        <v>2.5629882899999998</v>
      </c>
      <c r="Y95" s="68">
        <f>0.50279334+1.14379384</f>
        <v>1.64658718</v>
      </c>
      <c r="Z95" s="68">
        <f>2.1173994+1.2991243+1.0956</f>
        <v>4.5121237000000001</v>
      </c>
      <c r="AA95" s="68">
        <f>3.25925629+1.169+1.33320411+0.25327518+0.14542811</f>
        <v>6.160163690000001</v>
      </c>
      <c r="AB95" s="88">
        <f t="shared" si="103"/>
        <v>17.219439210000001</v>
      </c>
      <c r="AD95" s="48">
        <f>0.65868636+0.11097781+0.02066697+0.01147503+1.145</f>
        <v>1.9468061699999999</v>
      </c>
      <c r="AE95" s="48">
        <f>1.75275525+0.83219134+1.03</f>
        <v>3.6149465899999997</v>
      </c>
      <c r="AF95" s="48">
        <f>0.09134447+0.17669863+0.55433571+1.37072031</f>
        <v>2.1930991200000003</v>
      </c>
      <c r="AG95" s="88">
        <f t="shared" si="97"/>
        <v>7.7548518799999995</v>
      </c>
      <c r="AI95" s="94">
        <f t="shared" si="98"/>
        <v>51.77236602</v>
      </c>
      <c r="AJ95" s="32"/>
      <c r="AK95" s="106"/>
      <c r="AL95" s="130"/>
      <c r="AM95" s="130"/>
      <c r="AN95" s="147"/>
      <c r="AO95" s="113">
        <f t="shared" si="99"/>
        <v>0</v>
      </c>
      <c r="AQ95" s="94">
        <f t="shared" si="104"/>
        <v>51.77236602</v>
      </c>
    </row>
    <row r="96" spans="1:43" ht="15" thickBot="1" x14ac:dyDescent="0.25">
      <c r="A96" s="34" t="s">
        <v>132</v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87">
        <f t="shared" ref="N96" si="177">SUM(C96:M96)</f>
        <v>0</v>
      </c>
      <c r="P96" s="67"/>
      <c r="Q96" s="67"/>
      <c r="R96" s="67"/>
      <c r="S96" s="67"/>
      <c r="T96" s="67"/>
      <c r="U96" s="87">
        <f t="shared" ref="U96" si="178">SUM(P96:T96)</f>
        <v>0</v>
      </c>
      <c r="W96" s="36"/>
      <c r="X96" s="36"/>
      <c r="Y96" s="36"/>
      <c r="Z96" s="36"/>
      <c r="AA96" s="68"/>
      <c r="AB96" s="87">
        <f t="shared" ref="AB96" si="179">SUM(W96:AA96)</f>
        <v>0</v>
      </c>
      <c r="AD96" s="68"/>
      <c r="AE96" s="68">
        <v>10</v>
      </c>
      <c r="AF96" s="68"/>
      <c r="AG96" s="87">
        <f t="shared" si="97"/>
        <v>10</v>
      </c>
      <c r="AI96" s="94">
        <f t="shared" si="98"/>
        <v>10</v>
      </c>
      <c r="AJ96" s="32"/>
      <c r="AK96" s="106"/>
      <c r="AL96" s="130">
        <v>15.805266</v>
      </c>
      <c r="AM96" s="130"/>
      <c r="AN96" s="147"/>
      <c r="AO96" s="113">
        <f t="shared" si="99"/>
        <v>15.805266</v>
      </c>
      <c r="AQ96" s="94">
        <f t="shared" si="104"/>
        <v>25.805266</v>
      </c>
    </row>
    <row r="97" spans="1:45" ht="13.5" thickBot="1" x14ac:dyDescent="0.25">
      <c r="A97" s="16" t="s">
        <v>84</v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87">
        <f t="shared" si="101"/>
        <v>0</v>
      </c>
      <c r="P97" s="67"/>
      <c r="Q97" s="67"/>
      <c r="R97" s="67"/>
      <c r="S97" s="67"/>
      <c r="T97" s="67"/>
      <c r="U97" s="87">
        <f t="shared" si="102"/>
        <v>0</v>
      </c>
      <c r="W97" s="36"/>
      <c r="X97" s="36"/>
      <c r="Y97" s="36"/>
      <c r="Z97" s="36"/>
      <c r="AA97" s="68"/>
      <c r="AB97" s="87">
        <f t="shared" si="103"/>
        <v>0</v>
      </c>
      <c r="AD97" s="68"/>
      <c r="AE97" s="68"/>
      <c r="AF97" s="68"/>
      <c r="AG97" s="87">
        <f t="shared" si="97"/>
        <v>0</v>
      </c>
      <c r="AI97" s="94">
        <f t="shared" si="98"/>
        <v>0</v>
      </c>
      <c r="AJ97" s="32"/>
      <c r="AK97" s="106"/>
      <c r="AL97" s="130">
        <v>0.1</v>
      </c>
      <c r="AM97" s="130"/>
      <c r="AN97" s="147"/>
      <c r="AO97" s="113">
        <f t="shared" si="99"/>
        <v>0.1</v>
      </c>
      <c r="AQ97" s="94">
        <f t="shared" si="104"/>
        <v>0.1</v>
      </c>
    </row>
    <row r="98" spans="1:45" ht="26.25" thickBot="1" x14ac:dyDescent="0.25">
      <c r="A98" s="16" t="s">
        <v>85</v>
      </c>
      <c r="C98" s="66"/>
      <c r="D98" s="66"/>
      <c r="E98" s="66"/>
      <c r="F98" s="66"/>
      <c r="G98" s="66"/>
      <c r="H98" s="66"/>
      <c r="I98" s="66"/>
      <c r="J98" s="69"/>
      <c r="K98" s="67"/>
      <c r="L98" s="67"/>
      <c r="M98" s="67"/>
      <c r="N98" s="88">
        <f t="shared" si="101"/>
        <v>0</v>
      </c>
      <c r="P98" s="70"/>
      <c r="Q98" s="73"/>
      <c r="R98" s="67">
        <v>0.65</v>
      </c>
      <c r="S98" s="35">
        <v>0.45</v>
      </c>
      <c r="T98" s="68"/>
      <c r="U98" s="88">
        <f t="shared" si="102"/>
        <v>1.1000000000000001</v>
      </c>
      <c r="W98" s="68"/>
      <c r="X98" s="68"/>
      <c r="Y98" s="68"/>
      <c r="Z98" s="68"/>
      <c r="AA98" s="68"/>
      <c r="AB98" s="88">
        <f t="shared" si="103"/>
        <v>0</v>
      </c>
      <c r="AD98" s="68"/>
      <c r="AE98" s="68"/>
      <c r="AF98" s="68"/>
      <c r="AG98" s="88">
        <f t="shared" si="97"/>
        <v>0</v>
      </c>
      <c r="AI98" s="94">
        <f t="shared" si="98"/>
        <v>1.1000000000000001</v>
      </c>
      <c r="AJ98" s="32"/>
      <c r="AK98" s="106"/>
      <c r="AL98" s="130"/>
      <c r="AM98" s="130"/>
      <c r="AN98" s="147"/>
      <c r="AO98" s="113">
        <f t="shared" si="99"/>
        <v>0</v>
      </c>
      <c r="AQ98" s="94">
        <f t="shared" si="104"/>
        <v>1.1000000000000001</v>
      </c>
    </row>
    <row r="99" spans="1:45" ht="13.5" thickBot="1" x14ac:dyDescent="0.25">
      <c r="A99" s="16" t="s">
        <v>86</v>
      </c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87">
        <f t="shared" ref="N99" si="180">SUM(C99:M99)</f>
        <v>0</v>
      </c>
      <c r="P99" s="67"/>
      <c r="Q99" s="67"/>
      <c r="R99" s="67"/>
      <c r="S99" s="67"/>
      <c r="T99" s="67"/>
      <c r="U99" s="87">
        <f t="shared" ref="U99:U101" si="181">SUM(P99:T99)</f>
        <v>0</v>
      </c>
      <c r="W99" s="36"/>
      <c r="X99" s="36"/>
      <c r="Y99" s="36"/>
      <c r="Z99" s="36"/>
      <c r="AA99" s="68"/>
      <c r="AB99" s="87">
        <f t="shared" ref="AB99:AB101" si="182">SUM(W99:AA99)</f>
        <v>0</v>
      </c>
      <c r="AD99" s="68"/>
      <c r="AE99" s="68"/>
      <c r="AF99" s="68"/>
      <c r="AG99" s="87">
        <f t="shared" si="97"/>
        <v>0</v>
      </c>
      <c r="AI99" s="94">
        <f t="shared" si="98"/>
        <v>0</v>
      </c>
      <c r="AJ99" s="32"/>
      <c r="AK99" s="106"/>
      <c r="AL99" s="130">
        <v>0.2</v>
      </c>
      <c r="AM99" s="130"/>
      <c r="AN99" s="147"/>
      <c r="AO99" s="113">
        <f t="shared" si="99"/>
        <v>0.2</v>
      </c>
      <c r="AQ99" s="94">
        <f t="shared" ref="AQ99:AQ101" si="183">SUM(AI99,AO99)</f>
        <v>0.2</v>
      </c>
    </row>
    <row r="100" spans="1:45" ht="13.5" thickBot="1" x14ac:dyDescent="0.25">
      <c r="A100" s="16" t="s">
        <v>87</v>
      </c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87">
        <f t="shared" ref="N100" si="184">SUM(C100:M100)</f>
        <v>0</v>
      </c>
      <c r="P100" s="67"/>
      <c r="Q100" s="67"/>
      <c r="R100" s="67"/>
      <c r="S100" s="67"/>
      <c r="T100" s="67"/>
      <c r="U100" s="87">
        <f t="shared" ref="U100" si="185">SUM(P100:T100)</f>
        <v>0</v>
      </c>
      <c r="W100" s="36"/>
      <c r="X100" s="36"/>
      <c r="Y100" s="36"/>
      <c r="Z100" s="36"/>
      <c r="AA100" s="68"/>
      <c r="AB100" s="87">
        <f t="shared" ref="AB100" si="186">SUM(W100:AA100)</f>
        <v>0</v>
      </c>
      <c r="AD100" s="68"/>
      <c r="AE100" s="68"/>
      <c r="AF100" s="68"/>
      <c r="AG100" s="87">
        <f t="shared" ref="AG100" si="187">SUM(AD100:AF100)</f>
        <v>0</v>
      </c>
      <c r="AI100" s="94">
        <f t="shared" ref="AI100" si="188">SUM(AB100,U100,N100,AG100)</f>
        <v>0</v>
      </c>
      <c r="AJ100" s="32"/>
      <c r="AK100" s="106"/>
      <c r="AL100" s="130">
        <v>1.8275723100000001</v>
      </c>
      <c r="AM100" s="130"/>
      <c r="AN100" s="147"/>
      <c r="AO100" s="113">
        <f t="shared" ref="AO100" si="189">SUM(AK100:AN100)</f>
        <v>1.8275723100000001</v>
      </c>
      <c r="AQ100" s="94">
        <f t="shared" ref="AQ100" si="190">SUM(AI100,AO100)</f>
        <v>1.8275723100000001</v>
      </c>
    </row>
    <row r="101" spans="1:45" ht="13.5" thickBot="1" x14ac:dyDescent="0.25">
      <c r="A101" s="16" t="s">
        <v>149</v>
      </c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87">
        <f t="shared" ref="N101" si="191">SUM(C101:M101)</f>
        <v>0</v>
      </c>
      <c r="P101" s="67"/>
      <c r="Q101" s="67"/>
      <c r="R101" s="67"/>
      <c r="S101" s="67"/>
      <c r="T101" s="67"/>
      <c r="U101" s="87">
        <f t="shared" si="181"/>
        <v>0</v>
      </c>
      <c r="W101" s="36"/>
      <c r="X101" s="36"/>
      <c r="Y101" s="36"/>
      <c r="Z101" s="36"/>
      <c r="AA101" s="68"/>
      <c r="AB101" s="87">
        <f t="shared" si="182"/>
        <v>0</v>
      </c>
      <c r="AD101" s="68"/>
      <c r="AE101" s="68"/>
      <c r="AF101" s="68">
        <v>0.25</v>
      </c>
      <c r="AG101" s="87">
        <f t="shared" si="97"/>
        <v>0.25</v>
      </c>
      <c r="AI101" s="94">
        <f t="shared" si="98"/>
        <v>0.25</v>
      </c>
      <c r="AJ101" s="32"/>
      <c r="AK101" s="106"/>
      <c r="AL101" s="130"/>
      <c r="AM101" s="130"/>
      <c r="AN101" s="147"/>
      <c r="AO101" s="113">
        <f t="shared" si="99"/>
        <v>0</v>
      </c>
      <c r="AQ101" s="94">
        <f t="shared" si="183"/>
        <v>0.25</v>
      </c>
    </row>
    <row r="102" spans="1:45" ht="13.5" thickBot="1" x14ac:dyDescent="0.25">
      <c r="A102" s="16" t="s">
        <v>88</v>
      </c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87">
        <f t="shared" ref="N102" si="192">SUM(C102:M102)</f>
        <v>0</v>
      </c>
      <c r="P102" s="67"/>
      <c r="Q102" s="67"/>
      <c r="R102" s="67"/>
      <c r="S102" s="67"/>
      <c r="T102" s="67"/>
      <c r="U102" s="87">
        <f t="shared" ref="U102" si="193">SUM(P102:T102)</f>
        <v>0</v>
      </c>
      <c r="W102" s="36"/>
      <c r="X102" s="36"/>
      <c r="Y102" s="36"/>
      <c r="Z102" s="36"/>
      <c r="AA102" s="68"/>
      <c r="AB102" s="87">
        <f t="shared" ref="AB102" si="194">SUM(W102:AA102)</f>
        <v>0</v>
      </c>
      <c r="AD102" s="68"/>
      <c r="AE102" s="68"/>
      <c r="AF102" s="68"/>
      <c r="AG102" s="87">
        <f t="shared" si="97"/>
        <v>0</v>
      </c>
      <c r="AI102" s="94">
        <f t="shared" si="98"/>
        <v>0</v>
      </c>
      <c r="AJ102" s="32"/>
      <c r="AK102" s="106"/>
      <c r="AL102" s="130">
        <v>0.1</v>
      </c>
      <c r="AM102" s="130"/>
      <c r="AN102" s="147"/>
      <c r="AO102" s="113">
        <f t="shared" si="99"/>
        <v>0.1</v>
      </c>
      <c r="AQ102" s="94">
        <f t="shared" ref="AQ102" si="195">SUM(AI102,AO102)</f>
        <v>0.1</v>
      </c>
    </row>
    <row r="103" spans="1:45" ht="13.5" thickBot="1" x14ac:dyDescent="0.25">
      <c r="A103" s="16" t="s">
        <v>89</v>
      </c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87">
        <f t="shared" ref="N103" si="196">SUM(C103:M103)</f>
        <v>0</v>
      </c>
      <c r="P103" s="67"/>
      <c r="Q103" s="67"/>
      <c r="R103" s="67"/>
      <c r="S103" s="67"/>
      <c r="T103" s="67"/>
      <c r="U103" s="87">
        <f t="shared" ref="U103" si="197">SUM(P103:T103)</f>
        <v>0</v>
      </c>
      <c r="W103" s="36"/>
      <c r="X103" s="36"/>
      <c r="Y103" s="36"/>
      <c r="Z103" s="36"/>
      <c r="AA103" s="68"/>
      <c r="AB103" s="87">
        <f t="shared" ref="AB103" si="198">SUM(W103:AA103)</f>
        <v>0</v>
      </c>
      <c r="AD103" s="68"/>
      <c r="AE103" s="68"/>
      <c r="AF103" s="68"/>
      <c r="AG103" s="87">
        <f t="shared" si="97"/>
        <v>0</v>
      </c>
      <c r="AI103" s="94">
        <f t="shared" si="98"/>
        <v>0</v>
      </c>
      <c r="AJ103" s="32"/>
      <c r="AK103" s="106"/>
      <c r="AL103" s="130">
        <f>0.001+4.999</f>
        <v>5</v>
      </c>
      <c r="AM103" s="130"/>
      <c r="AN103" s="147"/>
      <c r="AO103" s="113">
        <f t="shared" si="99"/>
        <v>5</v>
      </c>
      <c r="AQ103" s="94">
        <f t="shared" ref="AQ103" si="199">SUM(AI103,AO103)</f>
        <v>5</v>
      </c>
    </row>
    <row r="104" spans="1:45" ht="13.5" thickBot="1" x14ac:dyDescent="0.25">
      <c r="A104" s="26" t="s">
        <v>90</v>
      </c>
      <c r="C104" s="66"/>
      <c r="D104" s="66"/>
      <c r="E104" s="66"/>
      <c r="F104" s="66"/>
      <c r="G104" s="66"/>
      <c r="H104" s="66"/>
      <c r="I104" s="66"/>
      <c r="J104" s="69"/>
      <c r="K104" s="67"/>
      <c r="L104" s="67"/>
      <c r="M104" s="67"/>
      <c r="N104" s="88">
        <f t="shared" si="101"/>
        <v>0</v>
      </c>
      <c r="P104" s="70"/>
      <c r="Q104" s="70"/>
      <c r="R104" s="70"/>
      <c r="S104" s="70"/>
      <c r="T104" s="71"/>
      <c r="U104" s="88">
        <f t="shared" si="102"/>
        <v>0</v>
      </c>
      <c r="W104" s="71"/>
      <c r="X104" s="71"/>
      <c r="Y104" s="71"/>
      <c r="Z104" s="71"/>
      <c r="AA104" s="71"/>
      <c r="AB104" s="88">
        <f t="shared" si="103"/>
        <v>0</v>
      </c>
      <c r="AD104" s="71"/>
      <c r="AE104" s="71"/>
      <c r="AF104" s="71"/>
      <c r="AG104" s="88">
        <f t="shared" si="97"/>
        <v>0</v>
      </c>
      <c r="AI104" s="94">
        <f t="shared" si="98"/>
        <v>0</v>
      </c>
      <c r="AJ104" s="32"/>
      <c r="AK104" s="106">
        <v>30</v>
      </c>
      <c r="AL104" s="130"/>
      <c r="AM104" s="130"/>
      <c r="AN104" s="147"/>
      <c r="AO104" s="113">
        <f t="shared" si="99"/>
        <v>30</v>
      </c>
      <c r="AQ104" s="94">
        <f t="shared" si="104"/>
        <v>30</v>
      </c>
    </row>
    <row r="105" spans="1:45" ht="13.5" thickBot="1" x14ac:dyDescent="0.25">
      <c r="A105" s="9" t="s">
        <v>91</v>
      </c>
      <c r="C105" s="66"/>
      <c r="D105" s="66"/>
      <c r="E105" s="66"/>
      <c r="F105" s="66"/>
      <c r="G105" s="66"/>
      <c r="H105" s="66"/>
      <c r="I105" s="66"/>
      <c r="J105" s="69"/>
      <c r="K105" s="67"/>
      <c r="L105" s="67"/>
      <c r="M105" s="67"/>
      <c r="N105" s="88">
        <f t="shared" si="101"/>
        <v>0</v>
      </c>
      <c r="P105" s="70"/>
      <c r="Q105" s="73"/>
      <c r="R105" s="67"/>
      <c r="S105" s="67"/>
      <c r="T105" s="68"/>
      <c r="U105" s="88">
        <f t="shared" si="102"/>
        <v>0</v>
      </c>
      <c r="W105" s="68"/>
      <c r="X105" s="68"/>
      <c r="Y105" s="68"/>
      <c r="Z105" s="68">
        <v>3</v>
      </c>
      <c r="AA105" s="68"/>
      <c r="AB105" s="88">
        <f t="shared" si="103"/>
        <v>3</v>
      </c>
      <c r="AD105" s="68"/>
      <c r="AE105" s="68">
        <v>1.754</v>
      </c>
      <c r="AF105" s="68">
        <v>0.3</v>
      </c>
      <c r="AG105" s="88">
        <f t="shared" si="97"/>
        <v>2.0539999999999998</v>
      </c>
      <c r="AI105" s="94">
        <f t="shared" si="98"/>
        <v>5.0540000000000003</v>
      </c>
      <c r="AJ105" s="32"/>
      <c r="AK105" s="106"/>
      <c r="AL105" s="130"/>
      <c r="AM105" s="130"/>
      <c r="AN105" s="147"/>
      <c r="AO105" s="113">
        <f t="shared" si="99"/>
        <v>0</v>
      </c>
      <c r="AQ105" s="94">
        <f t="shared" si="104"/>
        <v>5.0540000000000003</v>
      </c>
    </row>
    <row r="106" spans="1:45" ht="13.5" thickBot="1" x14ac:dyDescent="0.25">
      <c r="A106" s="16" t="s">
        <v>92</v>
      </c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87">
        <f t="shared" ref="N106" si="200">SUM(C106:M106)</f>
        <v>0</v>
      </c>
      <c r="P106" s="67"/>
      <c r="Q106" s="67"/>
      <c r="R106" s="67"/>
      <c r="S106" s="67"/>
      <c r="T106" s="67"/>
      <c r="U106" s="87">
        <f t="shared" ref="U106" si="201">SUM(P106:T106)</f>
        <v>0</v>
      </c>
      <c r="W106" s="36"/>
      <c r="X106" s="36"/>
      <c r="Y106" s="36"/>
      <c r="Z106" s="36"/>
      <c r="AA106" s="68"/>
      <c r="AB106" s="87">
        <f t="shared" ref="AB106" si="202">SUM(W106:AA106)</f>
        <v>0</v>
      </c>
      <c r="AD106" s="68"/>
      <c r="AE106" s="68"/>
      <c r="AF106" s="68"/>
      <c r="AG106" s="87">
        <f t="shared" si="97"/>
        <v>0</v>
      </c>
      <c r="AI106" s="94">
        <f t="shared" si="98"/>
        <v>0</v>
      </c>
      <c r="AJ106" s="32"/>
      <c r="AK106" s="106"/>
      <c r="AL106" s="130">
        <v>0.11</v>
      </c>
      <c r="AM106" s="130"/>
      <c r="AN106" s="147"/>
      <c r="AO106" s="113">
        <f t="shared" si="99"/>
        <v>0.11</v>
      </c>
      <c r="AQ106" s="94">
        <f t="shared" si="104"/>
        <v>0.11</v>
      </c>
    </row>
    <row r="107" spans="1:45" ht="13.5" thickBot="1" x14ac:dyDescent="0.25">
      <c r="A107" s="16" t="s">
        <v>93</v>
      </c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87">
        <f t="shared" si="101"/>
        <v>0</v>
      </c>
      <c r="P107" s="67"/>
      <c r="Q107" s="67"/>
      <c r="R107" s="67"/>
      <c r="S107" s="67"/>
      <c r="T107" s="67"/>
      <c r="U107" s="87">
        <f t="shared" si="102"/>
        <v>0</v>
      </c>
      <c r="W107" s="36"/>
      <c r="X107" s="36"/>
      <c r="Y107" s="36"/>
      <c r="Z107" s="36"/>
      <c r="AA107" s="68"/>
      <c r="AB107" s="87">
        <f t="shared" si="103"/>
        <v>0</v>
      </c>
      <c r="AD107" s="68"/>
      <c r="AE107" s="68"/>
      <c r="AF107" s="68"/>
      <c r="AG107" s="87">
        <f t="shared" si="97"/>
        <v>0</v>
      </c>
      <c r="AI107" s="94">
        <f t="shared" si="98"/>
        <v>0</v>
      </c>
      <c r="AJ107" s="32"/>
      <c r="AK107" s="106"/>
      <c r="AL107" s="130">
        <f>0.5+0.151247</f>
        <v>0.65124700000000002</v>
      </c>
      <c r="AM107" s="130">
        <v>9.4E-7</v>
      </c>
      <c r="AN107" s="147"/>
      <c r="AO107" s="113">
        <f t="shared" si="99"/>
        <v>0.65124793999999997</v>
      </c>
      <c r="AQ107" s="94">
        <f t="shared" si="104"/>
        <v>0.65124793999999997</v>
      </c>
      <c r="AS107" s="133"/>
    </row>
    <row r="108" spans="1:45" ht="13.5" thickBot="1" x14ac:dyDescent="0.25">
      <c r="A108" s="17" t="s">
        <v>94</v>
      </c>
      <c r="C108" s="66"/>
      <c r="D108" s="66"/>
      <c r="E108" s="66"/>
      <c r="F108" s="66"/>
      <c r="G108" s="66"/>
      <c r="H108" s="66"/>
      <c r="I108" s="66"/>
      <c r="J108" s="69"/>
      <c r="K108" s="67"/>
      <c r="L108" s="67"/>
      <c r="M108" s="67"/>
      <c r="N108" s="88">
        <f t="shared" si="101"/>
        <v>0</v>
      </c>
      <c r="P108" s="70"/>
      <c r="Q108" s="73"/>
      <c r="R108" s="67"/>
      <c r="S108" s="67"/>
      <c r="T108" s="68"/>
      <c r="U108" s="88">
        <f t="shared" si="102"/>
        <v>0</v>
      </c>
      <c r="W108" s="68"/>
      <c r="X108" s="68"/>
      <c r="Y108" s="68"/>
      <c r="Z108" s="68"/>
      <c r="AA108" s="68"/>
      <c r="AB108" s="88">
        <f t="shared" si="103"/>
        <v>0</v>
      </c>
      <c r="AD108" s="68"/>
      <c r="AE108" s="68"/>
      <c r="AF108" s="68"/>
      <c r="AG108" s="88">
        <f t="shared" si="97"/>
        <v>0</v>
      </c>
      <c r="AI108" s="94">
        <f t="shared" si="98"/>
        <v>0</v>
      </c>
      <c r="AJ108" s="32"/>
      <c r="AK108" s="106">
        <v>10</v>
      </c>
      <c r="AL108" s="130"/>
      <c r="AM108" s="130"/>
      <c r="AN108" s="147"/>
      <c r="AO108" s="113">
        <f t="shared" si="99"/>
        <v>10</v>
      </c>
      <c r="AQ108" s="94">
        <f t="shared" si="104"/>
        <v>10</v>
      </c>
    </row>
    <row r="109" spans="1:45" ht="13.5" thickBot="1" x14ac:dyDescent="0.25">
      <c r="A109" s="16" t="s">
        <v>95</v>
      </c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87">
        <f t="shared" ref="N109" si="203">SUM(C109:M109)</f>
        <v>0</v>
      </c>
      <c r="P109" s="67"/>
      <c r="Q109" s="67"/>
      <c r="R109" s="67"/>
      <c r="S109" s="67"/>
      <c r="T109" s="67"/>
      <c r="U109" s="87">
        <f t="shared" ref="U109" si="204">SUM(P109:T109)</f>
        <v>0</v>
      </c>
      <c r="W109" s="36"/>
      <c r="X109" s="36"/>
      <c r="Y109" s="36"/>
      <c r="Z109" s="36"/>
      <c r="AA109" s="68"/>
      <c r="AB109" s="87">
        <f t="shared" ref="AB109" si="205">SUM(W109:AA109)</f>
        <v>0</v>
      </c>
      <c r="AD109" s="68"/>
      <c r="AE109" s="68"/>
      <c r="AF109" s="68"/>
      <c r="AG109" s="87">
        <f t="shared" si="97"/>
        <v>0</v>
      </c>
      <c r="AI109" s="94">
        <f t="shared" si="98"/>
        <v>0</v>
      </c>
      <c r="AJ109" s="32"/>
      <c r="AK109" s="106"/>
      <c r="AL109" s="130">
        <v>0.1</v>
      </c>
      <c r="AM109" s="130"/>
      <c r="AN109" s="147"/>
      <c r="AO109" s="113">
        <f t="shared" si="99"/>
        <v>0.1</v>
      </c>
      <c r="AQ109" s="94">
        <f t="shared" si="104"/>
        <v>0.1</v>
      </c>
    </row>
    <row r="110" spans="1:45" ht="13.5" thickBot="1" x14ac:dyDescent="0.25">
      <c r="A110" s="27" t="s">
        <v>96</v>
      </c>
      <c r="C110" s="42"/>
      <c r="D110" s="49"/>
      <c r="E110" s="42"/>
      <c r="F110" s="42"/>
      <c r="G110" s="49"/>
      <c r="H110" s="46"/>
      <c r="I110" s="42"/>
      <c r="J110" s="42"/>
      <c r="K110" s="47"/>
      <c r="L110" s="42"/>
      <c r="M110" s="42"/>
      <c r="N110" s="83">
        <f>SUM(C110:M110)</f>
        <v>0</v>
      </c>
      <c r="P110" s="42"/>
      <c r="Q110" s="48"/>
      <c r="R110" s="48"/>
      <c r="S110" s="48"/>
      <c r="T110" s="48"/>
      <c r="U110" s="83">
        <f t="shared" ref="U110" si="206">SUM(P110:T110)</f>
        <v>0</v>
      </c>
      <c r="W110" s="48"/>
      <c r="X110" s="48"/>
      <c r="Y110" s="48"/>
      <c r="Z110" s="48"/>
      <c r="AA110" s="48"/>
      <c r="AB110" s="83">
        <f t="shared" ref="AB110" si="207">SUM(W110:AA110)</f>
        <v>0</v>
      </c>
      <c r="AD110" s="48"/>
      <c r="AE110" s="48"/>
      <c r="AF110" s="48"/>
      <c r="AG110" s="83">
        <f t="shared" si="97"/>
        <v>0</v>
      </c>
      <c r="AI110" s="91">
        <f t="shared" si="98"/>
        <v>0</v>
      </c>
      <c r="AJ110" s="32"/>
      <c r="AK110" s="106"/>
      <c r="AL110" s="130">
        <v>1.1596E-2</v>
      </c>
      <c r="AM110" s="130"/>
      <c r="AN110" s="147"/>
      <c r="AO110" s="113">
        <f t="shared" si="99"/>
        <v>1.1596E-2</v>
      </c>
      <c r="AQ110" s="91">
        <f>SUM(AI110,AO110)</f>
        <v>1.1596E-2</v>
      </c>
    </row>
    <row r="111" spans="1:45" ht="13.5" thickBot="1" x14ac:dyDescent="0.25">
      <c r="A111" s="16" t="s">
        <v>97</v>
      </c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87">
        <f t="shared" ref="N111" si="208">SUM(C111:M111)</f>
        <v>0</v>
      </c>
      <c r="P111" s="67"/>
      <c r="Q111" s="67"/>
      <c r="R111" s="67"/>
      <c r="S111" s="67"/>
      <c r="T111" s="67"/>
      <c r="U111" s="87">
        <f t="shared" ref="U111" si="209">SUM(P111:T111)</f>
        <v>0</v>
      </c>
      <c r="W111" s="36"/>
      <c r="X111" s="36"/>
      <c r="Y111" s="36"/>
      <c r="Z111" s="36"/>
      <c r="AA111" s="68"/>
      <c r="AB111" s="87">
        <f t="shared" ref="AB111" si="210">SUM(W111:AA111)</f>
        <v>0</v>
      </c>
      <c r="AD111" s="68"/>
      <c r="AE111" s="68"/>
      <c r="AF111" s="68"/>
      <c r="AG111" s="87">
        <f t="shared" si="97"/>
        <v>0</v>
      </c>
      <c r="AI111" s="94">
        <f t="shared" si="98"/>
        <v>0</v>
      </c>
      <c r="AJ111" s="32"/>
      <c r="AK111" s="106"/>
      <c r="AL111" s="130">
        <v>0.5</v>
      </c>
      <c r="AM111" s="130"/>
      <c r="AN111" s="147"/>
      <c r="AO111" s="113">
        <f t="shared" si="99"/>
        <v>0.5</v>
      </c>
      <c r="AQ111" s="94">
        <f t="shared" ref="AQ111" si="211">SUM(AI111,AO111)</f>
        <v>0.5</v>
      </c>
    </row>
    <row r="112" spans="1:45" ht="13.5" thickBot="1" x14ac:dyDescent="0.25">
      <c r="A112" s="16" t="s">
        <v>98</v>
      </c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87">
        <f t="shared" ref="N112" si="212">SUM(C112:M112)</f>
        <v>0</v>
      </c>
      <c r="P112" s="67"/>
      <c r="Q112" s="67"/>
      <c r="R112" s="67"/>
      <c r="S112" s="67"/>
      <c r="T112" s="67"/>
      <c r="U112" s="87">
        <f t="shared" ref="U112" si="213">SUM(P112:T112)</f>
        <v>0</v>
      </c>
      <c r="W112" s="36"/>
      <c r="X112" s="36"/>
      <c r="Y112" s="36"/>
      <c r="Z112" s="36"/>
      <c r="AA112" s="68"/>
      <c r="AB112" s="87">
        <f t="shared" ref="AB112" si="214">SUM(W112:AA112)</f>
        <v>0</v>
      </c>
      <c r="AD112" s="68"/>
      <c r="AE112" s="68"/>
      <c r="AF112" s="68"/>
      <c r="AG112" s="87">
        <f t="shared" si="97"/>
        <v>0</v>
      </c>
      <c r="AI112" s="94">
        <f t="shared" si="98"/>
        <v>0</v>
      </c>
      <c r="AJ112" s="32"/>
      <c r="AK112" s="106"/>
      <c r="AL112" s="130">
        <v>1</v>
      </c>
      <c r="AM112" s="130"/>
      <c r="AN112" s="147"/>
      <c r="AO112" s="113">
        <f t="shared" si="99"/>
        <v>1</v>
      </c>
      <c r="AQ112" s="94">
        <f t="shared" ref="AQ112:AQ113" si="215">SUM(AI112,AO112)</f>
        <v>1</v>
      </c>
    </row>
    <row r="113" spans="1:43" ht="13.5" thickBot="1" x14ac:dyDescent="0.25">
      <c r="A113" s="16" t="s">
        <v>99</v>
      </c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87">
        <f t="shared" ref="N113" si="216">SUM(C113:M113)</f>
        <v>0</v>
      </c>
      <c r="P113" s="67"/>
      <c r="Q113" s="67"/>
      <c r="R113" s="67"/>
      <c r="S113" s="67"/>
      <c r="T113" s="67"/>
      <c r="U113" s="87">
        <f t="shared" ref="U113" si="217">SUM(P113:T113)</f>
        <v>0</v>
      </c>
      <c r="W113" s="36"/>
      <c r="X113" s="36"/>
      <c r="Y113" s="36"/>
      <c r="Z113" s="36"/>
      <c r="AA113" s="68"/>
      <c r="AB113" s="87">
        <f t="shared" ref="AB113" si="218">SUM(W113:AA113)</f>
        <v>0</v>
      </c>
      <c r="AD113" s="68"/>
      <c r="AE113" s="68"/>
      <c r="AF113" s="68"/>
      <c r="AG113" s="87">
        <f t="shared" si="97"/>
        <v>0</v>
      </c>
      <c r="AI113" s="94">
        <f t="shared" si="98"/>
        <v>0</v>
      </c>
      <c r="AJ113" s="32"/>
      <c r="AK113" s="106"/>
      <c r="AL113" s="130">
        <v>0.25</v>
      </c>
      <c r="AM113" s="130"/>
      <c r="AN113" s="147"/>
      <c r="AO113" s="113">
        <f t="shared" si="99"/>
        <v>0.25</v>
      </c>
      <c r="AQ113" s="94">
        <f t="shared" si="215"/>
        <v>0.25</v>
      </c>
    </row>
    <row r="114" spans="1:43" ht="13.5" thickBot="1" x14ac:dyDescent="0.25">
      <c r="A114" s="27" t="s">
        <v>100</v>
      </c>
      <c r="C114" s="42"/>
      <c r="D114" s="49"/>
      <c r="E114" s="42"/>
      <c r="F114" s="42"/>
      <c r="G114" s="49"/>
      <c r="H114" s="46"/>
      <c r="I114" s="42"/>
      <c r="J114" s="42"/>
      <c r="K114" s="47"/>
      <c r="L114" s="42"/>
      <c r="M114" s="42"/>
      <c r="N114" s="83">
        <f t="shared" ref="N114" si="219">SUM(C114:M114)</f>
        <v>0</v>
      </c>
      <c r="P114" s="42"/>
      <c r="Q114" s="48"/>
      <c r="R114" s="48"/>
      <c r="S114" s="48"/>
      <c r="T114" s="48"/>
      <c r="U114" s="83">
        <f t="shared" ref="U114" si="220">SUM(P114:T114)</f>
        <v>0</v>
      </c>
      <c r="W114" s="48"/>
      <c r="X114" s="48"/>
      <c r="Y114" s="48"/>
      <c r="Z114" s="48"/>
      <c r="AA114" s="48"/>
      <c r="AB114" s="83">
        <f t="shared" ref="AB114" si="221">SUM(W114:AA114)</f>
        <v>0</v>
      </c>
      <c r="AD114" s="48"/>
      <c r="AE114" s="48"/>
      <c r="AF114" s="48"/>
      <c r="AG114" s="83">
        <f t="shared" si="97"/>
        <v>0</v>
      </c>
      <c r="AI114" s="91">
        <f t="shared" si="98"/>
        <v>0</v>
      </c>
      <c r="AJ114" s="32"/>
      <c r="AK114" s="106"/>
      <c r="AL114" s="130">
        <v>3.9320541099999997</v>
      </c>
      <c r="AM114" s="130"/>
      <c r="AN114" s="147"/>
      <c r="AO114" s="113">
        <f t="shared" si="99"/>
        <v>3.9320541099999997</v>
      </c>
      <c r="AQ114" s="91">
        <f t="shared" si="104"/>
        <v>3.9320541099999997</v>
      </c>
    </row>
    <row r="115" spans="1:43" ht="13.5" thickBot="1" x14ac:dyDescent="0.25">
      <c r="A115" s="26" t="s">
        <v>101</v>
      </c>
      <c r="C115" s="66"/>
      <c r="D115" s="66"/>
      <c r="E115" s="66"/>
      <c r="F115" s="66"/>
      <c r="G115" s="66"/>
      <c r="H115" s="66"/>
      <c r="I115" s="66"/>
      <c r="J115" s="69"/>
      <c r="K115" s="67"/>
      <c r="L115" s="67"/>
      <c r="M115" s="67"/>
      <c r="N115" s="88">
        <f t="shared" ref="N115" si="222">SUM(C115:M115)</f>
        <v>0</v>
      </c>
      <c r="P115" s="70"/>
      <c r="Q115" s="70"/>
      <c r="R115" s="70"/>
      <c r="S115" s="70"/>
      <c r="T115" s="71"/>
      <c r="U115" s="88">
        <f t="shared" ref="U115" si="223">SUM(P115:T115)</f>
        <v>0</v>
      </c>
      <c r="W115" s="71"/>
      <c r="X115" s="71"/>
      <c r="Y115" s="71"/>
      <c r="Z115" s="71"/>
      <c r="AA115" s="71">
        <v>5</v>
      </c>
      <c r="AB115" s="88">
        <f t="shared" ref="AB115" si="224">SUM(W115:AA115)</f>
        <v>5</v>
      </c>
      <c r="AD115" s="71"/>
      <c r="AE115" s="71"/>
      <c r="AF115" s="71"/>
      <c r="AG115" s="88">
        <f t="shared" si="97"/>
        <v>0</v>
      </c>
      <c r="AI115" s="94">
        <f t="shared" si="98"/>
        <v>5</v>
      </c>
      <c r="AJ115" s="32"/>
      <c r="AK115" s="106">
        <v>5</v>
      </c>
      <c r="AL115" s="130"/>
      <c r="AM115" s="130"/>
      <c r="AN115" s="147"/>
      <c r="AO115" s="113">
        <f t="shared" si="99"/>
        <v>5</v>
      </c>
      <c r="AQ115" s="94">
        <f t="shared" si="104"/>
        <v>10</v>
      </c>
    </row>
    <row r="116" spans="1:43" ht="15" thickBot="1" x14ac:dyDescent="0.25">
      <c r="A116" s="34" t="s">
        <v>133</v>
      </c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87">
        <f t="shared" ref="N116" si="225">SUM(C116:M116)</f>
        <v>0</v>
      </c>
      <c r="P116" s="67"/>
      <c r="Q116" s="67"/>
      <c r="R116" s="67"/>
      <c r="S116" s="67"/>
      <c r="T116" s="67"/>
      <c r="U116" s="87">
        <f t="shared" ref="U116" si="226">SUM(P116:T116)</f>
        <v>0</v>
      </c>
      <c r="W116" s="36"/>
      <c r="X116" s="36"/>
      <c r="Y116" s="36"/>
      <c r="Z116" s="36"/>
      <c r="AA116" s="68"/>
      <c r="AB116" s="87">
        <f t="shared" ref="AB116" si="227">SUM(W116:AA116)</f>
        <v>0</v>
      </c>
      <c r="AD116" s="68"/>
      <c r="AE116" s="68"/>
      <c r="AF116" s="68"/>
      <c r="AG116" s="87">
        <f t="shared" si="97"/>
        <v>0</v>
      </c>
      <c r="AI116" s="94">
        <f t="shared" si="98"/>
        <v>0</v>
      </c>
      <c r="AJ116" s="32"/>
      <c r="AK116" s="106"/>
      <c r="AL116" s="130">
        <v>0.90530509000000003</v>
      </c>
      <c r="AM116" s="130"/>
      <c r="AN116" s="147"/>
      <c r="AO116" s="113">
        <f t="shared" si="99"/>
        <v>0.90530509000000003</v>
      </c>
      <c r="AQ116" s="94">
        <f t="shared" ref="AQ116" si="228">SUM(AI116,AO116)</f>
        <v>0.90530509000000003</v>
      </c>
    </row>
    <row r="117" spans="1:43" ht="13.5" thickBot="1" x14ac:dyDescent="0.25">
      <c r="A117" s="16" t="s">
        <v>102</v>
      </c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87">
        <f t="shared" ref="N117" si="229">SUM(C117:M117)</f>
        <v>0</v>
      </c>
      <c r="P117" s="67"/>
      <c r="Q117" s="67"/>
      <c r="R117" s="67"/>
      <c r="S117" s="67"/>
      <c r="T117" s="67"/>
      <c r="U117" s="87">
        <f t="shared" ref="U117" si="230">SUM(P117:T117)</f>
        <v>0</v>
      </c>
      <c r="W117" s="36"/>
      <c r="X117" s="36"/>
      <c r="Y117" s="36"/>
      <c r="Z117" s="36"/>
      <c r="AA117" s="68"/>
      <c r="AB117" s="87">
        <f t="shared" ref="AB117" si="231">SUM(W117:AA117)</f>
        <v>0</v>
      </c>
      <c r="AD117" s="68"/>
      <c r="AE117" s="68"/>
      <c r="AF117" s="68"/>
      <c r="AG117" s="87">
        <f t="shared" si="97"/>
        <v>0</v>
      </c>
      <c r="AI117" s="94">
        <f t="shared" si="98"/>
        <v>0</v>
      </c>
      <c r="AJ117" s="32"/>
      <c r="AK117" s="106"/>
      <c r="AL117" s="130">
        <v>5</v>
      </c>
      <c r="AM117" s="130">
        <v>5</v>
      </c>
      <c r="AN117" s="147"/>
      <c r="AO117" s="113">
        <f t="shared" si="99"/>
        <v>10</v>
      </c>
      <c r="AQ117" s="94">
        <f t="shared" si="104"/>
        <v>10</v>
      </c>
    </row>
    <row r="118" spans="1:43" ht="13.5" thickBot="1" x14ac:dyDescent="0.25">
      <c r="A118" s="16" t="s">
        <v>103</v>
      </c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87">
        <f t="shared" ref="N118" si="232">SUM(C118:M118)</f>
        <v>0</v>
      </c>
      <c r="P118" s="67"/>
      <c r="Q118" s="67"/>
      <c r="R118" s="67"/>
      <c r="S118" s="67"/>
      <c r="T118" s="67"/>
      <c r="U118" s="87">
        <f t="shared" ref="U118" si="233">SUM(P118:T118)</f>
        <v>0</v>
      </c>
      <c r="W118" s="36"/>
      <c r="X118" s="36"/>
      <c r="Y118" s="36"/>
      <c r="Z118" s="36"/>
      <c r="AA118" s="68"/>
      <c r="AB118" s="87">
        <f t="shared" ref="AB118" si="234">SUM(W118:AA118)</f>
        <v>0</v>
      </c>
      <c r="AD118" s="68"/>
      <c r="AE118" s="68"/>
      <c r="AF118" s="68"/>
      <c r="AG118" s="87">
        <f t="shared" si="97"/>
        <v>0</v>
      </c>
      <c r="AI118" s="94">
        <f t="shared" si="98"/>
        <v>0</v>
      </c>
      <c r="AJ118" s="32"/>
      <c r="AK118" s="106"/>
      <c r="AL118" s="130">
        <v>2.1</v>
      </c>
      <c r="AM118" s="130"/>
      <c r="AN118" s="147"/>
      <c r="AO118" s="113">
        <f t="shared" si="99"/>
        <v>2.1</v>
      </c>
      <c r="AQ118" s="94">
        <f t="shared" ref="AQ118" si="235">SUM(AI118,AO118)</f>
        <v>2.1</v>
      </c>
    </row>
    <row r="119" spans="1:43" ht="15" thickBot="1" x14ac:dyDescent="0.25">
      <c r="A119" s="27" t="s">
        <v>134</v>
      </c>
      <c r="C119" s="66"/>
      <c r="D119" s="66"/>
      <c r="E119" s="66"/>
      <c r="F119" s="66"/>
      <c r="G119" s="66"/>
      <c r="H119" s="66"/>
      <c r="I119" s="66"/>
      <c r="J119" s="69"/>
      <c r="K119" s="67"/>
      <c r="L119" s="67"/>
      <c r="M119" s="67"/>
      <c r="N119" s="88">
        <f t="shared" si="101"/>
        <v>0</v>
      </c>
      <c r="P119" s="70"/>
      <c r="Q119" s="73"/>
      <c r="R119" s="67"/>
      <c r="S119" s="67"/>
      <c r="T119" s="68"/>
      <c r="U119" s="88">
        <f t="shared" si="102"/>
        <v>0</v>
      </c>
      <c r="W119" s="68">
        <v>1.0444</v>
      </c>
      <c r="X119" s="68">
        <v>1.10490844</v>
      </c>
      <c r="Y119" s="68">
        <v>1.0774045000000001</v>
      </c>
      <c r="Z119" s="68">
        <v>0.55359999999999998</v>
      </c>
      <c r="AA119" s="68">
        <f>1.0259925+0.6058</f>
        <v>1.6317925</v>
      </c>
      <c r="AB119" s="88">
        <f t="shared" si="103"/>
        <v>5.4121054399999995</v>
      </c>
      <c r="AD119" s="68"/>
      <c r="AE119" s="68">
        <f>0.73827+0.50295</f>
        <v>1.24122</v>
      </c>
      <c r="AF119" s="68">
        <v>0.54530000000000001</v>
      </c>
      <c r="AG119" s="88">
        <f t="shared" si="97"/>
        <v>1.7865199999999999</v>
      </c>
      <c r="AI119" s="94">
        <f t="shared" si="98"/>
        <v>7.1986254399999989</v>
      </c>
      <c r="AJ119" s="32"/>
      <c r="AK119" s="106"/>
      <c r="AL119" s="130"/>
      <c r="AM119" s="130"/>
      <c r="AN119" s="147"/>
      <c r="AO119" s="113">
        <f t="shared" si="99"/>
        <v>0</v>
      </c>
      <c r="AQ119" s="94">
        <f t="shared" si="104"/>
        <v>7.1986254399999989</v>
      </c>
    </row>
    <row r="120" spans="1:43" ht="13.5" thickBot="1" x14ac:dyDescent="0.25">
      <c r="A120" s="26" t="s">
        <v>104</v>
      </c>
      <c r="C120" s="66"/>
      <c r="D120" s="66"/>
      <c r="E120" s="66"/>
      <c r="F120" s="66"/>
      <c r="G120" s="66"/>
      <c r="H120" s="66"/>
      <c r="I120" s="66"/>
      <c r="J120" s="69"/>
      <c r="K120" s="67"/>
      <c r="L120" s="67"/>
      <c r="M120" s="67"/>
      <c r="N120" s="88">
        <f t="shared" ref="N120" si="236">SUM(C120:M120)</f>
        <v>0</v>
      </c>
      <c r="P120" s="70"/>
      <c r="Q120" s="70"/>
      <c r="R120" s="70"/>
      <c r="S120" s="70"/>
      <c r="T120" s="71"/>
      <c r="U120" s="88">
        <f t="shared" ref="U120" si="237">SUM(P120:T120)</f>
        <v>0</v>
      </c>
      <c r="W120" s="71"/>
      <c r="X120" s="71"/>
      <c r="Y120" s="71"/>
      <c r="Z120" s="71"/>
      <c r="AA120" s="71">
        <v>0.75</v>
      </c>
      <c r="AB120" s="88">
        <f t="shared" ref="AB120" si="238">SUM(W120:AA120)</f>
        <v>0.75</v>
      </c>
      <c r="AD120" s="71">
        <v>0.4</v>
      </c>
      <c r="AE120" s="71">
        <v>0.52500000000000002</v>
      </c>
      <c r="AF120" s="71"/>
      <c r="AG120" s="88">
        <f t="shared" si="97"/>
        <v>0.92500000000000004</v>
      </c>
      <c r="AI120" s="94">
        <f t="shared" si="98"/>
        <v>1.675</v>
      </c>
      <c r="AJ120" s="32"/>
      <c r="AK120" s="106"/>
      <c r="AL120" s="130"/>
      <c r="AM120" s="130"/>
      <c r="AN120" s="147"/>
      <c r="AO120" s="113">
        <f t="shared" si="99"/>
        <v>0</v>
      </c>
      <c r="AQ120" s="94">
        <f t="shared" si="104"/>
        <v>1.675</v>
      </c>
    </row>
    <row r="121" spans="1:43" ht="13.5" thickBot="1" x14ac:dyDescent="0.25">
      <c r="A121" s="16" t="s">
        <v>105</v>
      </c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87">
        <f t="shared" ref="N121:N125" si="239">SUM(C121:M121)</f>
        <v>0</v>
      </c>
      <c r="P121" s="67"/>
      <c r="Q121" s="67"/>
      <c r="R121" s="67"/>
      <c r="S121" s="67"/>
      <c r="T121" s="67"/>
      <c r="U121" s="87">
        <f t="shared" ref="U121:U125" si="240">SUM(P121:T121)</f>
        <v>0</v>
      </c>
      <c r="W121" s="36"/>
      <c r="X121" s="36"/>
      <c r="Y121" s="36"/>
      <c r="Z121" s="36"/>
      <c r="AA121" s="68"/>
      <c r="AB121" s="87">
        <f t="shared" ref="AB121:AB125" si="241">SUM(W121:AA121)</f>
        <v>0</v>
      </c>
      <c r="AD121" s="68"/>
      <c r="AE121" s="68"/>
      <c r="AF121" s="68"/>
      <c r="AG121" s="87">
        <f t="shared" si="97"/>
        <v>0</v>
      </c>
      <c r="AI121" s="94">
        <f t="shared" si="98"/>
        <v>0</v>
      </c>
      <c r="AJ121" s="32"/>
      <c r="AK121" s="106"/>
      <c r="AL121" s="130">
        <f>0.05775626+0.11790367+0.18070112+1.08808391+0.18313778+0.15568513+0.03736572+0.05957201+0.03600741+0.03849519+0.05089002</f>
        <v>2.0055982199999995</v>
      </c>
      <c r="AM121" s="130">
        <v>0.26966652999999996</v>
      </c>
      <c r="AN121" s="147">
        <f>0.01295926+0.04794096</f>
        <v>6.0900219999999998E-2</v>
      </c>
      <c r="AO121" s="113">
        <f t="shared" si="99"/>
        <v>2.3361649699999996</v>
      </c>
      <c r="AQ121" s="94">
        <f t="shared" ref="AQ121:AQ125" si="242">SUM(AI121,AO121)</f>
        <v>2.3361649699999996</v>
      </c>
    </row>
    <row r="122" spans="1:43" ht="13.5" thickBot="1" x14ac:dyDescent="0.25">
      <c r="A122" s="16" t="s">
        <v>106</v>
      </c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87">
        <f t="shared" si="239"/>
        <v>0</v>
      </c>
      <c r="P122" s="67"/>
      <c r="Q122" s="67"/>
      <c r="R122" s="67"/>
      <c r="S122" s="67"/>
      <c r="T122" s="67"/>
      <c r="U122" s="87">
        <f t="shared" si="240"/>
        <v>0</v>
      </c>
      <c r="W122" s="36"/>
      <c r="X122" s="36"/>
      <c r="Y122" s="36"/>
      <c r="Z122" s="36"/>
      <c r="AA122" s="68"/>
      <c r="AB122" s="87">
        <f t="shared" si="241"/>
        <v>0</v>
      </c>
      <c r="AD122" s="68"/>
      <c r="AE122" s="68"/>
      <c r="AF122" s="68"/>
      <c r="AG122" s="87">
        <f t="shared" si="97"/>
        <v>0</v>
      </c>
      <c r="AI122" s="94">
        <f t="shared" si="98"/>
        <v>0</v>
      </c>
      <c r="AJ122" s="32"/>
      <c r="AK122" s="106"/>
      <c r="AL122" s="130">
        <v>4.5</v>
      </c>
      <c r="AM122" s="130"/>
      <c r="AN122" s="147"/>
      <c r="AO122" s="113">
        <f t="shared" si="99"/>
        <v>4.5</v>
      </c>
      <c r="AQ122" s="94">
        <f t="shared" si="242"/>
        <v>4.5</v>
      </c>
    </row>
    <row r="123" spans="1:43" ht="13.5" thickBot="1" x14ac:dyDescent="0.25">
      <c r="A123" s="16" t="s">
        <v>120</v>
      </c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87">
        <f t="shared" ref="N123" si="243">SUM(C123:M123)</f>
        <v>0</v>
      </c>
      <c r="P123" s="67"/>
      <c r="Q123" s="67"/>
      <c r="R123" s="67"/>
      <c r="S123" s="67"/>
      <c r="T123" s="67"/>
      <c r="U123" s="87">
        <f t="shared" ref="U123" si="244">SUM(P123:T123)</f>
        <v>0</v>
      </c>
      <c r="W123" s="36"/>
      <c r="X123" s="36"/>
      <c r="Y123" s="36"/>
      <c r="Z123" s="36"/>
      <c r="AA123" s="68"/>
      <c r="AB123" s="87">
        <f t="shared" ref="AB123" si="245">SUM(W123:AA123)</f>
        <v>0</v>
      </c>
      <c r="AD123" s="68"/>
      <c r="AE123" s="68">
        <v>0.31466125</v>
      </c>
      <c r="AF123" s="68">
        <f>0.15854999+0.35587852</f>
        <v>0.51442851000000001</v>
      </c>
      <c r="AG123" s="87">
        <f t="shared" ref="AG123" si="246">SUM(AD123:AF123)</f>
        <v>0.82908976000000001</v>
      </c>
      <c r="AI123" s="94">
        <f t="shared" ref="AI123" si="247">SUM(AB123,U123,N123,AG123)</f>
        <v>0.82908976000000001</v>
      </c>
      <c r="AJ123" s="32"/>
      <c r="AK123" s="106"/>
      <c r="AL123" s="130"/>
      <c r="AM123" s="130"/>
      <c r="AN123" s="147"/>
      <c r="AO123" s="113">
        <f t="shared" ref="AO123" si="248">SUM(AK123:AN123)</f>
        <v>0</v>
      </c>
      <c r="AQ123" s="94">
        <f t="shared" ref="AQ123" si="249">SUM(AI123,AO123)</f>
        <v>0.82908976000000001</v>
      </c>
    </row>
    <row r="124" spans="1:43" ht="26.25" thickBot="1" x14ac:dyDescent="0.25">
      <c r="A124" s="16" t="s">
        <v>117</v>
      </c>
      <c r="C124" s="66"/>
      <c r="D124" s="66"/>
      <c r="E124" s="66"/>
      <c r="F124" s="66"/>
      <c r="G124" s="66"/>
      <c r="H124" s="66"/>
      <c r="I124" s="66"/>
      <c r="J124" s="69"/>
      <c r="K124" s="67"/>
      <c r="L124" s="67"/>
      <c r="M124" s="67"/>
      <c r="N124" s="88">
        <f t="shared" ref="N124" si="250">SUM(C124:M124)</f>
        <v>0</v>
      </c>
      <c r="P124" s="70"/>
      <c r="Q124" s="70"/>
      <c r="R124" s="70"/>
      <c r="S124" s="70"/>
      <c r="T124" s="71"/>
      <c r="U124" s="88">
        <f t="shared" ref="U124" si="251">SUM(P124:T124)</f>
        <v>0</v>
      </c>
      <c r="W124" s="71"/>
      <c r="X124" s="71"/>
      <c r="Y124" s="71"/>
      <c r="Z124" s="71"/>
      <c r="AA124" s="71"/>
      <c r="AB124" s="88">
        <f t="shared" ref="AB124" si="252">SUM(W124:AA124)</f>
        <v>0</v>
      </c>
      <c r="AD124" s="71"/>
      <c r="AE124" s="71"/>
      <c r="AF124" s="71"/>
      <c r="AG124" s="88">
        <f t="shared" ref="AG124" si="253">SUM(AD124:AF124)</f>
        <v>0</v>
      </c>
      <c r="AI124" s="94">
        <f t="shared" ref="AI124" si="254">SUM(AB124,U124,N124,AG124)</f>
        <v>0</v>
      </c>
      <c r="AJ124" s="32"/>
      <c r="AK124" s="106"/>
      <c r="AL124" s="130"/>
      <c r="AM124" s="130">
        <f>5.40756035+2.02152416</f>
        <v>7.4290845099999991</v>
      </c>
      <c r="AN124" s="147"/>
      <c r="AO124" s="113">
        <f t="shared" ref="AO124" si="255">SUM(AK124:AN124)</f>
        <v>7.4290845099999991</v>
      </c>
      <c r="AQ124" s="94">
        <f t="shared" ref="AQ124" si="256">SUM(AI124,AO124)</f>
        <v>7.4290845099999991</v>
      </c>
    </row>
    <row r="125" spans="1:43" ht="13.5" thickBot="1" x14ac:dyDescent="0.25">
      <c r="A125" s="16" t="s">
        <v>107</v>
      </c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87">
        <f t="shared" si="239"/>
        <v>0</v>
      </c>
      <c r="P125" s="67"/>
      <c r="Q125" s="67"/>
      <c r="R125" s="67"/>
      <c r="S125" s="67"/>
      <c r="T125" s="67"/>
      <c r="U125" s="87">
        <f t="shared" si="240"/>
        <v>0</v>
      </c>
      <c r="W125" s="36"/>
      <c r="X125" s="36"/>
      <c r="Y125" s="36"/>
      <c r="Z125" s="36"/>
      <c r="AA125" s="68"/>
      <c r="AB125" s="87">
        <f t="shared" si="241"/>
        <v>0</v>
      </c>
      <c r="AD125" s="68"/>
      <c r="AE125" s="68"/>
      <c r="AF125" s="68">
        <f>0.1+0.1</f>
        <v>0.2</v>
      </c>
      <c r="AG125" s="87">
        <f t="shared" si="97"/>
        <v>0.2</v>
      </c>
      <c r="AI125" s="94">
        <f t="shared" si="98"/>
        <v>0.2</v>
      </c>
      <c r="AJ125" s="32"/>
      <c r="AK125" s="106"/>
      <c r="AL125" s="130">
        <v>0.1</v>
      </c>
      <c r="AM125" s="130">
        <v>0.25</v>
      </c>
      <c r="AN125" s="147"/>
      <c r="AO125" s="113">
        <f t="shared" si="99"/>
        <v>0.35</v>
      </c>
      <c r="AQ125" s="94">
        <f t="shared" si="242"/>
        <v>0.55000000000000004</v>
      </c>
    </row>
    <row r="126" spans="1:43" ht="15" thickBot="1" x14ac:dyDescent="0.25">
      <c r="A126" s="25" t="s">
        <v>135</v>
      </c>
      <c r="C126" s="98">
        <v>0.02</v>
      </c>
      <c r="D126" s="67"/>
      <c r="E126" s="67">
        <v>1.6303609999999999</v>
      </c>
      <c r="F126" s="67">
        <v>2.5808469999999999</v>
      </c>
      <c r="G126" s="67">
        <v>1.805051</v>
      </c>
      <c r="H126" s="35">
        <v>0.47348000000000001</v>
      </c>
      <c r="I126" s="67">
        <v>1.904352</v>
      </c>
      <c r="J126" s="67">
        <v>1.1000000000000001</v>
      </c>
      <c r="K126" s="67">
        <v>0.8</v>
      </c>
      <c r="L126" s="67">
        <v>1</v>
      </c>
      <c r="M126" s="67">
        <v>1</v>
      </c>
      <c r="N126" s="88">
        <f t="shared" si="101"/>
        <v>12.314090999999999</v>
      </c>
      <c r="P126" s="67">
        <v>4.1880000000000006</v>
      </c>
      <c r="Q126" s="67">
        <v>6.6104000000000003</v>
      </c>
      <c r="R126" s="67">
        <v>12.5916456</v>
      </c>
      <c r="S126" s="67">
        <v>15.666837090000001</v>
      </c>
      <c r="T126" s="68">
        <v>13.304853870000001</v>
      </c>
      <c r="U126" s="88">
        <f t="shared" si="102"/>
        <v>52.361736560000004</v>
      </c>
      <c r="W126" s="36">
        <v>10.315829900000001</v>
      </c>
      <c r="X126" s="36">
        <v>14.869898709999999</v>
      </c>
      <c r="Y126" s="36">
        <v>5.7389966000000001</v>
      </c>
      <c r="Z126" s="68">
        <v>2.6731513900000001</v>
      </c>
      <c r="AA126" s="68">
        <v>1.1763695000000001</v>
      </c>
      <c r="AB126" s="88">
        <f t="shared" si="103"/>
        <v>34.774246099999999</v>
      </c>
      <c r="AD126" s="68">
        <v>1.08764014</v>
      </c>
      <c r="AE126" s="68">
        <f>1.13689354+0.2654-0.0012521</f>
        <v>1.40104144</v>
      </c>
      <c r="AF126" s="68">
        <f>0.25399696+0.00001622</f>
        <v>0.25401318000000001</v>
      </c>
      <c r="AG126" s="88">
        <f t="shared" si="97"/>
        <v>2.7426947599999996</v>
      </c>
      <c r="AI126" s="95">
        <f t="shared" si="98"/>
        <v>102.19276842000001</v>
      </c>
      <c r="AJ126" s="32"/>
      <c r="AK126" s="106">
        <f>22.043315+0.0003237</f>
        <v>22.043638699999999</v>
      </c>
      <c r="AL126" s="130">
        <f>23.33269369+0.11552911+0.01947461+1</f>
        <v>24.46769741</v>
      </c>
      <c r="AM126" s="130">
        <f>67.57105933+0.07245623+0.0070338-0.01212266</f>
        <v>67.638426699999997</v>
      </c>
      <c r="AN126" s="147">
        <f>0.08472642+0.01412301+0.00002633</f>
        <v>9.8875760000000007E-2</v>
      </c>
      <c r="AO126" s="113">
        <f t="shared" si="99"/>
        <v>114.24863857</v>
      </c>
      <c r="AQ126" s="95">
        <f t="shared" si="104"/>
        <v>216.44140699000002</v>
      </c>
    </row>
    <row r="127" spans="1:43" ht="26.25" thickBot="1" x14ac:dyDescent="0.25">
      <c r="A127" s="13" t="s">
        <v>108</v>
      </c>
      <c r="C127" s="74">
        <f>SUM(C65:C126)</f>
        <v>325.02</v>
      </c>
      <c r="D127" s="74">
        <f t="shared" ref="D127:N127" si="257">SUM(D65:D126)</f>
        <v>425</v>
      </c>
      <c r="E127" s="74">
        <f t="shared" si="257"/>
        <v>1.6303609999999999</v>
      </c>
      <c r="F127" s="74">
        <f t="shared" si="257"/>
        <v>6.0808470000000003</v>
      </c>
      <c r="G127" s="74">
        <f t="shared" si="257"/>
        <v>6.8050509999999997</v>
      </c>
      <c r="H127" s="74">
        <f t="shared" si="257"/>
        <v>154.81147999999999</v>
      </c>
      <c r="I127" s="74">
        <f t="shared" si="257"/>
        <v>1.904352</v>
      </c>
      <c r="J127" s="74">
        <f t="shared" si="257"/>
        <v>76.099999999999994</v>
      </c>
      <c r="K127" s="74">
        <f t="shared" si="257"/>
        <v>81.599999999999994</v>
      </c>
      <c r="L127" s="74">
        <f t="shared" si="257"/>
        <v>81.900000000000006</v>
      </c>
      <c r="M127" s="74">
        <f t="shared" si="257"/>
        <v>80</v>
      </c>
      <c r="N127" s="102">
        <f t="shared" si="257"/>
        <v>1240.852091</v>
      </c>
      <c r="P127" s="74">
        <f t="shared" ref="P127:U127" si="258">SUM(P65:P126)</f>
        <v>285.46560800000003</v>
      </c>
      <c r="Q127" s="74">
        <f t="shared" si="258"/>
        <v>292.87747950000005</v>
      </c>
      <c r="R127" s="74">
        <f t="shared" si="258"/>
        <v>313.16529444999998</v>
      </c>
      <c r="S127" s="74">
        <f t="shared" si="258"/>
        <v>260.29896681999998</v>
      </c>
      <c r="T127" s="74">
        <f t="shared" si="258"/>
        <v>273.12786321999999</v>
      </c>
      <c r="U127" s="102">
        <f t="shared" si="258"/>
        <v>1424.93521199</v>
      </c>
      <c r="W127" s="74">
        <f t="shared" ref="W127:AB127" si="259">SUM(W65:W126)</f>
        <v>295.24200624999992</v>
      </c>
      <c r="X127" s="74">
        <f t="shared" si="259"/>
        <v>344.95699543999996</v>
      </c>
      <c r="Y127" s="74">
        <f t="shared" si="259"/>
        <v>350.40386627999993</v>
      </c>
      <c r="Z127" s="74">
        <f t="shared" si="259"/>
        <v>330.62749709000002</v>
      </c>
      <c r="AA127" s="74">
        <f t="shared" si="259"/>
        <v>312.53591469000003</v>
      </c>
      <c r="AB127" s="102">
        <f t="shared" si="259"/>
        <v>1633.76627975</v>
      </c>
      <c r="AD127" s="74">
        <f>SUM(AD65:AD126)</f>
        <v>216.25597030999998</v>
      </c>
      <c r="AE127" s="74">
        <f>SUM(AE65:AE126)</f>
        <v>360.04606560999991</v>
      </c>
      <c r="AF127" s="74">
        <f>SUM(AF65:AF126)</f>
        <v>345.70219892000006</v>
      </c>
      <c r="AG127" s="102">
        <f>SUM(AG65:AG126)</f>
        <v>922.00423483999975</v>
      </c>
      <c r="AI127" s="101">
        <f>SUM(AI65:AI126)</f>
        <v>5221.5578175800019</v>
      </c>
      <c r="AJ127" s="11"/>
      <c r="AK127" s="108">
        <f>SUM(AK65:AK126)</f>
        <v>67.043638700000002</v>
      </c>
      <c r="AL127" s="132">
        <f>SUM(AL65:AL126)</f>
        <v>311.78026216000023</v>
      </c>
      <c r="AM127" s="132">
        <f>SUM(AM65:AM126)</f>
        <v>88.144631070000003</v>
      </c>
      <c r="AN127" s="132">
        <f>SUM(AN65:AN126)</f>
        <v>0.18898624</v>
      </c>
      <c r="AO127" s="110">
        <f>SUM(AO65:AO126)</f>
        <v>467.15751817000012</v>
      </c>
      <c r="AQ127" s="101">
        <f>SUM(AQ65:AQ126)</f>
        <v>5688.7153357500038</v>
      </c>
    </row>
    <row r="128" spans="1:43" ht="13.5" thickBot="1" x14ac:dyDescent="0.25">
      <c r="A128" s="14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18"/>
      <c r="P128" s="75"/>
      <c r="Q128" s="75"/>
      <c r="R128" s="75"/>
      <c r="S128" s="75"/>
      <c r="T128" s="75"/>
      <c r="U128" s="18"/>
      <c r="W128" s="75"/>
      <c r="X128" s="75"/>
      <c r="Y128" s="75"/>
      <c r="Z128" s="75"/>
      <c r="AA128" s="75"/>
      <c r="AB128" s="18"/>
      <c r="AD128" s="75"/>
      <c r="AE128" s="75"/>
      <c r="AF128" s="75"/>
      <c r="AG128" s="18"/>
      <c r="AI128" s="103"/>
      <c r="AJ128" s="11"/>
      <c r="AK128" s="99"/>
      <c r="AL128" s="99"/>
      <c r="AM128" s="99"/>
      <c r="AN128" s="99"/>
      <c r="AO128" s="99"/>
      <c r="AQ128" s="104"/>
    </row>
    <row r="129" spans="1:45" ht="13.5" thickBot="1" x14ac:dyDescent="0.25">
      <c r="A129" s="19" t="s">
        <v>109</v>
      </c>
      <c r="C129" s="76">
        <f t="shared" ref="C129:N129" si="260">C63+C127</f>
        <v>329.48339999999996</v>
      </c>
      <c r="D129" s="76">
        <f t="shared" si="260"/>
        <v>518.08656439000004</v>
      </c>
      <c r="E129" s="76">
        <f t="shared" si="260"/>
        <v>107.88534496</v>
      </c>
      <c r="F129" s="76">
        <f t="shared" si="260"/>
        <v>116.99487873000001</v>
      </c>
      <c r="G129" s="76">
        <f t="shared" si="260"/>
        <v>167.20320235999998</v>
      </c>
      <c r="H129" s="76">
        <f t="shared" si="260"/>
        <v>429.73539605999997</v>
      </c>
      <c r="I129" s="76">
        <f t="shared" si="260"/>
        <v>218.10446149000003</v>
      </c>
      <c r="J129" s="76">
        <f t="shared" si="260"/>
        <v>358.39137800000003</v>
      </c>
      <c r="K129" s="76">
        <f t="shared" si="260"/>
        <v>350.92929426000001</v>
      </c>
      <c r="L129" s="76">
        <f t="shared" si="260"/>
        <v>337.88825982000003</v>
      </c>
      <c r="M129" s="76">
        <f t="shared" si="260"/>
        <v>332.64002400000004</v>
      </c>
      <c r="N129" s="100">
        <f t="shared" si="260"/>
        <v>3267.3422040699998</v>
      </c>
      <c r="P129" s="76">
        <f t="shared" ref="P129:U129" si="261">P63+P127</f>
        <v>798.35660800000005</v>
      </c>
      <c r="Q129" s="76">
        <f t="shared" si="261"/>
        <v>908.0821338400001</v>
      </c>
      <c r="R129" s="76">
        <f t="shared" si="261"/>
        <v>1307.5018276000001</v>
      </c>
      <c r="S129" s="76">
        <f t="shared" si="261"/>
        <v>1181.1065951600001</v>
      </c>
      <c r="T129" s="76">
        <f t="shared" si="261"/>
        <v>1275.10837741</v>
      </c>
      <c r="U129" s="100">
        <f t="shared" si="261"/>
        <v>5470.1555420099994</v>
      </c>
      <c r="W129" s="76">
        <f t="shared" ref="W129:AB129" si="262">W63+W127</f>
        <v>1468.4981930200001</v>
      </c>
      <c r="X129" s="76">
        <f t="shared" si="262"/>
        <v>1470.50115691</v>
      </c>
      <c r="Y129" s="76">
        <f t="shared" si="262"/>
        <v>1488.3740361124999</v>
      </c>
      <c r="Z129" s="76">
        <f t="shared" si="262"/>
        <v>1610.6591853100003</v>
      </c>
      <c r="AA129" s="76">
        <f t="shared" si="262"/>
        <v>1463.2410690758161</v>
      </c>
      <c r="AB129" s="100">
        <f t="shared" si="262"/>
        <v>7501.273640428316</v>
      </c>
      <c r="AD129" s="76">
        <f>AD63+AD127</f>
        <v>1080.22105121</v>
      </c>
      <c r="AE129" s="76">
        <f>AE63+AE127</f>
        <v>1474.4801041819292</v>
      </c>
      <c r="AF129" s="76">
        <f>AF63+AF127</f>
        <v>1036.3659389239601</v>
      </c>
      <c r="AG129" s="100">
        <f>AG63+AG127</f>
        <v>3591.0670943158889</v>
      </c>
      <c r="AI129" s="100">
        <f>AI63+AI127</f>
        <v>19829.838480824208</v>
      </c>
      <c r="AJ129" s="11"/>
      <c r="AK129" s="108">
        <f>AK63+AK127</f>
        <v>353.31397632999995</v>
      </c>
      <c r="AL129" s="132">
        <f>AL63+AL127</f>
        <v>7028.407215270001</v>
      </c>
      <c r="AM129" s="132">
        <f>AM63+AM127</f>
        <v>1577.18394347</v>
      </c>
      <c r="AN129" s="110">
        <f>AN63+AN127</f>
        <v>368.59518969000004</v>
      </c>
      <c r="AO129" s="110">
        <f>AO63+AO127</f>
        <v>9327.5003247599998</v>
      </c>
      <c r="AQ129" s="100">
        <f>AQ63+AQ127</f>
        <v>29157.338805584215</v>
      </c>
    </row>
    <row r="130" spans="1:45" ht="13.5" thickBot="1" x14ac:dyDescent="0.25">
      <c r="A130" s="20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18"/>
      <c r="P130" s="75"/>
      <c r="Q130" s="75"/>
      <c r="R130" s="75"/>
      <c r="S130" s="75"/>
      <c r="T130" s="75"/>
      <c r="U130" s="18"/>
      <c r="W130" s="75"/>
      <c r="X130" s="75"/>
      <c r="Y130" s="75"/>
      <c r="Z130" s="75"/>
      <c r="AA130" s="75"/>
      <c r="AB130" s="18"/>
      <c r="AD130" s="75"/>
      <c r="AE130" s="75"/>
      <c r="AF130" s="75"/>
      <c r="AG130" s="18"/>
      <c r="AI130" s="18"/>
      <c r="AJ130" s="11"/>
      <c r="AL130" s="124"/>
      <c r="AM130" s="124"/>
      <c r="AN130" s="124"/>
    </row>
    <row r="131" spans="1:45" ht="15" thickBot="1" x14ac:dyDescent="0.25">
      <c r="A131" s="21" t="s">
        <v>136</v>
      </c>
      <c r="C131" s="62"/>
      <c r="D131" s="62"/>
      <c r="E131" s="62"/>
      <c r="F131" s="62"/>
      <c r="G131" s="62"/>
      <c r="H131" s="62"/>
      <c r="I131" s="62">
        <v>524.74928499999999</v>
      </c>
      <c r="J131" s="62">
        <v>428.268866</v>
      </c>
      <c r="K131" s="62">
        <v>272.63813299999998</v>
      </c>
      <c r="L131" s="62">
        <v>330.02699999999999</v>
      </c>
      <c r="M131" s="62">
        <v>320</v>
      </c>
      <c r="N131" s="101">
        <f t="shared" ref="N131:N132" si="263">SUM(C131:M131)</f>
        <v>1875.683284</v>
      </c>
      <c r="P131" s="62">
        <v>300</v>
      </c>
      <c r="Q131" s="62">
        <v>100</v>
      </c>
      <c r="R131" s="62">
        <v>200</v>
      </c>
      <c r="S131" s="77">
        <v>0</v>
      </c>
      <c r="T131" s="77">
        <v>0</v>
      </c>
      <c r="U131" s="101">
        <f t="shared" ref="U131:U132" si="264">SUM(P131:T131)</f>
        <v>600</v>
      </c>
      <c r="W131" s="77">
        <v>100</v>
      </c>
      <c r="X131" s="77">
        <v>0</v>
      </c>
      <c r="Y131" s="77">
        <v>50</v>
      </c>
      <c r="Z131" s="77">
        <f>65.69998245+250</f>
        <v>315.69998244999999</v>
      </c>
      <c r="AA131" s="77">
        <f>200+200.36460762+6.07750001</f>
        <v>406.44210763000001</v>
      </c>
      <c r="AB131" s="101">
        <f t="shared" ref="AB131:AB132" si="265">SUM(W131:AA131)</f>
        <v>872.14209008</v>
      </c>
      <c r="AD131" s="77">
        <f>100+334.4</f>
        <v>434.4</v>
      </c>
      <c r="AE131" s="77">
        <f>275+130+229</f>
        <v>634</v>
      </c>
      <c r="AF131" s="77">
        <v>434.8</v>
      </c>
      <c r="AG131" s="101">
        <f>SUM(AD131:AF131)</f>
        <v>1503.2</v>
      </c>
      <c r="AI131" s="101">
        <f t="shared" ref="AI131:AI132" si="266">SUM(AB131,U131,N131,AG131)</f>
        <v>4851.0253740799999</v>
      </c>
      <c r="AJ131" s="8"/>
      <c r="AK131" s="108"/>
      <c r="AL131" s="132">
        <f>400+380</f>
        <v>780</v>
      </c>
      <c r="AM131" s="132">
        <v>195</v>
      </c>
      <c r="AN131" s="110">
        <v>0</v>
      </c>
      <c r="AO131" s="110">
        <f>SUM(AK131:AN131)</f>
        <v>975</v>
      </c>
      <c r="AQ131" s="101">
        <f>SUM(AI131,AO131)</f>
        <v>5826.0253740799999</v>
      </c>
    </row>
    <row r="132" spans="1:45" ht="15" thickBot="1" x14ac:dyDescent="0.25">
      <c r="A132" s="21" t="s">
        <v>137</v>
      </c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>
        <v>42.877049999999997</v>
      </c>
      <c r="N132" s="101">
        <f t="shared" si="263"/>
        <v>42.877049999999997</v>
      </c>
      <c r="P132" s="62">
        <f>128165700/1000000</f>
        <v>128.16569999999999</v>
      </c>
      <c r="Q132" s="62">
        <v>223.5</v>
      </c>
      <c r="R132" s="62">
        <v>214.42</v>
      </c>
      <c r="S132" s="62">
        <f>25+65+6+36.72+105</f>
        <v>237.72</v>
      </c>
      <c r="T132" s="62">
        <f>10+100+12.96</f>
        <v>122.96000000000001</v>
      </c>
      <c r="U132" s="101">
        <f t="shared" si="264"/>
        <v>926.76570000000004</v>
      </c>
      <c r="W132" s="62">
        <f>17+73+8.5+8.64</f>
        <v>107.14</v>
      </c>
      <c r="X132" s="62">
        <f>18.21725+16.5</f>
        <v>34.71725</v>
      </c>
      <c r="Y132" s="62">
        <f>25+20+11.5425</f>
        <v>56.542500000000004</v>
      </c>
      <c r="Z132" s="62">
        <f>55+7.695+6.7625</f>
        <v>69.457499999999996</v>
      </c>
      <c r="AA132" s="62">
        <f>27+48</f>
        <v>75</v>
      </c>
      <c r="AB132" s="101">
        <f t="shared" si="265"/>
        <v>342.85724999999996</v>
      </c>
      <c r="AD132" s="62">
        <v>0</v>
      </c>
      <c r="AE132" s="62">
        <v>0</v>
      </c>
      <c r="AF132" s="62">
        <v>0</v>
      </c>
      <c r="AG132" s="101">
        <f>SUM(AD132:AF132)</f>
        <v>0</v>
      </c>
      <c r="AI132" s="101">
        <f t="shared" si="266"/>
        <v>1312.5</v>
      </c>
      <c r="AJ132" s="8"/>
      <c r="AK132" s="37"/>
      <c r="AL132" s="124"/>
      <c r="AM132" s="124"/>
      <c r="AN132" s="124"/>
      <c r="AO132" s="37"/>
      <c r="AQ132" s="101">
        <f>SUM(AI132,AO132)</f>
        <v>1312.5</v>
      </c>
    </row>
    <row r="133" spans="1:45" ht="13.5" thickBot="1" x14ac:dyDescent="0.25">
      <c r="A133" s="20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15"/>
      <c r="P133" s="63"/>
      <c r="Q133" s="63"/>
      <c r="R133" s="63"/>
      <c r="S133" s="63"/>
      <c r="T133" s="63"/>
      <c r="U133" s="15"/>
      <c r="W133" s="63"/>
      <c r="X133" s="63"/>
      <c r="Y133" s="63"/>
      <c r="Z133" s="63"/>
      <c r="AA133" s="63"/>
      <c r="AB133" s="15"/>
      <c r="AD133" s="63"/>
      <c r="AE133" s="63"/>
      <c r="AF133" s="63"/>
      <c r="AG133" s="15"/>
      <c r="AI133" s="15"/>
      <c r="AJ133" s="11"/>
      <c r="AL133" s="124"/>
      <c r="AM133" s="124"/>
      <c r="AN133" s="124"/>
    </row>
    <row r="134" spans="1:45" ht="13.5" thickBot="1" x14ac:dyDescent="0.25">
      <c r="A134" s="22" t="s">
        <v>110</v>
      </c>
      <c r="C134" s="78">
        <f t="shared" ref="C134:N134" si="267">SUM(C129:C132)</f>
        <v>329.48339999999996</v>
      </c>
      <c r="D134" s="78">
        <f t="shared" si="267"/>
        <v>518.08656439000004</v>
      </c>
      <c r="E134" s="78">
        <f t="shared" si="267"/>
        <v>107.88534496</v>
      </c>
      <c r="F134" s="78">
        <f t="shared" si="267"/>
        <v>116.99487873000001</v>
      </c>
      <c r="G134" s="78">
        <f t="shared" si="267"/>
        <v>167.20320235999998</v>
      </c>
      <c r="H134" s="78">
        <f t="shared" si="267"/>
        <v>429.73539605999997</v>
      </c>
      <c r="I134" s="78">
        <f t="shared" si="267"/>
        <v>742.85374649000005</v>
      </c>
      <c r="J134" s="78">
        <f t="shared" si="267"/>
        <v>786.66024400000003</v>
      </c>
      <c r="K134" s="78">
        <f t="shared" si="267"/>
        <v>623.56742725999993</v>
      </c>
      <c r="L134" s="78">
        <f t="shared" si="267"/>
        <v>667.91525982000007</v>
      </c>
      <c r="M134" s="78">
        <f t="shared" si="267"/>
        <v>695.51707400000009</v>
      </c>
      <c r="N134" s="100">
        <f t="shared" si="267"/>
        <v>5185.9025380699995</v>
      </c>
      <c r="P134" s="78">
        <f t="shared" ref="P134:U134" si="268">SUM(P129:P132)</f>
        <v>1226.5223080000001</v>
      </c>
      <c r="Q134" s="78">
        <f t="shared" si="268"/>
        <v>1231.5821338400001</v>
      </c>
      <c r="R134" s="78">
        <f t="shared" si="268"/>
        <v>1721.9218276000001</v>
      </c>
      <c r="S134" s="78">
        <f t="shared" si="268"/>
        <v>1418.8265951600001</v>
      </c>
      <c r="T134" s="78">
        <f t="shared" si="268"/>
        <v>1398.06837741</v>
      </c>
      <c r="U134" s="100">
        <f t="shared" si="268"/>
        <v>6996.9212420099993</v>
      </c>
      <c r="W134" s="78">
        <f t="shared" ref="W134:AB134" si="269">SUM(W129:W132)</f>
        <v>1675.6381930200002</v>
      </c>
      <c r="X134" s="78">
        <f t="shared" si="269"/>
        <v>1505.2184069099999</v>
      </c>
      <c r="Y134" s="78">
        <f t="shared" si="269"/>
        <v>1594.9165361124999</v>
      </c>
      <c r="Z134" s="78">
        <f t="shared" si="269"/>
        <v>1995.8166677600002</v>
      </c>
      <c r="AA134" s="78">
        <f t="shared" si="269"/>
        <v>1944.6831767058161</v>
      </c>
      <c r="AB134" s="100">
        <f t="shared" si="269"/>
        <v>8716.2729805083145</v>
      </c>
      <c r="AD134" s="78">
        <f>SUM(AD129:AD132)</f>
        <v>1514.6210512100001</v>
      </c>
      <c r="AE134" s="78">
        <f>SUM(AE129:AE132)</f>
        <v>2108.4801041819292</v>
      </c>
      <c r="AF134" s="78">
        <f>SUM(AF129:AF132)</f>
        <v>1471.1659389239601</v>
      </c>
      <c r="AG134" s="100">
        <f t="shared" ref="AG134" si="270">SUM(AG129:AG132)</f>
        <v>5094.2670943158892</v>
      </c>
      <c r="AI134" s="100">
        <f>SUM(AI129:AI132)</f>
        <v>25993.363854904208</v>
      </c>
      <c r="AJ134" s="11"/>
      <c r="AK134" s="108">
        <f>SUM(AK129:AK132)</f>
        <v>353.31397632999995</v>
      </c>
      <c r="AL134" s="132">
        <f>SUM(AL129:AL132)</f>
        <v>7808.407215270001</v>
      </c>
      <c r="AM134" s="132">
        <f>SUM(AM129:AM132)</f>
        <v>1772.18394347</v>
      </c>
      <c r="AN134" s="110">
        <f>SUM(AN129:AN132)</f>
        <v>368.59518969000004</v>
      </c>
      <c r="AO134" s="110">
        <f>SUM(AO129:AO132)</f>
        <v>10302.50032476</v>
      </c>
      <c r="AQ134" s="100">
        <f>SUM(AQ129:AQ132)</f>
        <v>36295.864179664219</v>
      </c>
      <c r="AS134" s="138"/>
    </row>
    <row r="135" spans="1:45" x14ac:dyDescent="0.2"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P135" s="23"/>
      <c r="Q135" s="23"/>
      <c r="R135" s="23"/>
      <c r="S135" s="23"/>
      <c r="T135" s="23"/>
      <c r="U135" s="23"/>
      <c r="W135" s="23"/>
      <c r="X135" s="23"/>
      <c r="Y135" s="23"/>
      <c r="Z135" s="23"/>
      <c r="AA135" s="23"/>
      <c r="AB135" s="23"/>
      <c r="AD135" s="23"/>
      <c r="AE135" s="23"/>
      <c r="AF135" s="23"/>
      <c r="AI135" s="23"/>
      <c r="AL135" s="124"/>
      <c r="AM135" s="124"/>
      <c r="AN135" s="149"/>
    </row>
    <row r="136" spans="1:45" ht="13.5" thickBot="1" x14ac:dyDescent="0.25">
      <c r="A136" s="118" t="s">
        <v>111</v>
      </c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P136" s="23"/>
      <c r="Q136" s="23"/>
      <c r="R136" s="23"/>
      <c r="S136" s="23"/>
      <c r="T136" s="23"/>
      <c r="U136" s="23"/>
      <c r="W136" s="23"/>
      <c r="X136" s="23"/>
      <c r="Y136" s="23"/>
      <c r="Z136" s="23"/>
      <c r="AA136" s="23"/>
      <c r="AB136" s="23"/>
      <c r="AD136" s="23"/>
      <c r="AE136" s="23"/>
      <c r="AF136" s="23"/>
      <c r="AG136" s="23"/>
      <c r="AI136" s="23"/>
      <c r="AK136" s="134"/>
      <c r="AL136" s="134"/>
      <c r="AM136" s="134"/>
      <c r="AN136" s="124"/>
    </row>
    <row r="137" spans="1:45" ht="13.5" thickBot="1" x14ac:dyDescent="0.25">
      <c r="A137" s="119" t="s">
        <v>12</v>
      </c>
      <c r="N137" s="124"/>
      <c r="U137" s="124"/>
      <c r="AB137" s="124"/>
      <c r="AD137" s="124"/>
      <c r="AE137" s="124"/>
      <c r="AF137" s="124"/>
      <c r="AG137" s="124"/>
      <c r="AI137" s="124"/>
      <c r="AJ137" s="32"/>
      <c r="AK137" s="105"/>
      <c r="AL137" s="129"/>
      <c r="AM137" s="129">
        <v>1.1366000000000001</v>
      </c>
      <c r="AN137" s="146"/>
      <c r="AO137" s="112">
        <f t="shared" ref="AO137" si="271">SUM(AK137:AN137)</f>
        <v>1.1366000000000001</v>
      </c>
    </row>
    <row r="138" spans="1:45" ht="13.5" thickBot="1" x14ac:dyDescent="0.25">
      <c r="A138" s="26" t="s">
        <v>15</v>
      </c>
      <c r="AE138" s="124"/>
      <c r="AF138" s="124"/>
      <c r="AJ138" s="32"/>
      <c r="AK138" s="106"/>
      <c r="AL138" s="130">
        <v>55.759120601333301</v>
      </c>
      <c r="AM138" s="130">
        <f>24.28132446+62.69823707</f>
        <v>86.979561529999998</v>
      </c>
      <c r="AN138" s="147"/>
      <c r="AO138" s="113">
        <f t="shared" ref="AO138:AO146" si="272">SUM(AK138:AN138)</f>
        <v>142.73868213133329</v>
      </c>
    </row>
    <row r="139" spans="1:45" ht="13.5" thickBot="1" x14ac:dyDescent="0.25">
      <c r="A139" s="26" t="s">
        <v>119</v>
      </c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P139" s="139"/>
      <c r="Q139" s="139"/>
      <c r="R139" s="139"/>
      <c r="S139" s="139"/>
      <c r="T139" s="139"/>
      <c r="W139" s="139"/>
      <c r="X139" s="139"/>
      <c r="Y139" s="139"/>
      <c r="Z139" s="139"/>
      <c r="AA139" s="139"/>
      <c r="AE139" s="124"/>
      <c r="AF139" s="124"/>
      <c r="AJ139" s="32"/>
      <c r="AK139" s="106"/>
      <c r="AL139" s="130"/>
      <c r="AM139" s="130">
        <v>355.22177411000001</v>
      </c>
      <c r="AN139" s="147"/>
      <c r="AO139" s="113">
        <f t="shared" si="272"/>
        <v>355.22177411000001</v>
      </c>
    </row>
    <row r="140" spans="1:45" ht="13.5" thickBot="1" x14ac:dyDescent="0.25">
      <c r="A140" s="26" t="s">
        <v>21</v>
      </c>
      <c r="AJ140" s="32"/>
      <c r="AK140" s="106"/>
      <c r="AL140" s="130">
        <v>22.514199999999999</v>
      </c>
      <c r="AM140" s="130"/>
      <c r="AN140" s="147"/>
      <c r="AO140" s="113">
        <f t="shared" si="272"/>
        <v>22.514199999999999</v>
      </c>
    </row>
    <row r="141" spans="1:45" ht="13.5" thickBot="1" x14ac:dyDescent="0.25">
      <c r="A141" s="16" t="s">
        <v>22</v>
      </c>
      <c r="AJ141" s="32"/>
      <c r="AK141" s="106"/>
      <c r="AL141" s="130">
        <v>212.699106818182</v>
      </c>
      <c r="AM141" s="130">
        <f>101.82+315.45</f>
        <v>417.27</v>
      </c>
      <c r="AN141" s="147"/>
      <c r="AO141" s="113">
        <f t="shared" si="272"/>
        <v>629.96910681818201</v>
      </c>
    </row>
    <row r="142" spans="1:45" ht="13.5" thickBot="1" x14ac:dyDescent="0.25">
      <c r="A142" s="16" t="s">
        <v>25</v>
      </c>
      <c r="AJ142" s="32"/>
      <c r="AK142" s="106"/>
      <c r="AL142" s="130"/>
      <c r="AM142" s="130">
        <v>3.8555999999999999</v>
      </c>
      <c r="AN142" s="147"/>
      <c r="AO142" s="113">
        <f t="shared" ref="AO142:AO143" si="273">SUM(AK142:AN142)</f>
        <v>3.8555999999999999</v>
      </c>
    </row>
    <row r="143" spans="1:45" ht="13.5" thickBot="1" x14ac:dyDescent="0.25">
      <c r="A143" s="137" t="s">
        <v>150</v>
      </c>
      <c r="AJ143" s="32"/>
      <c r="AK143" s="106"/>
      <c r="AL143" s="130"/>
      <c r="AM143" s="130"/>
      <c r="AN143" s="147">
        <f>92.78350515+38.1443299</f>
        <v>130.92783505</v>
      </c>
      <c r="AO143" s="113">
        <f t="shared" si="273"/>
        <v>130.92783505</v>
      </c>
    </row>
    <row r="144" spans="1:45" ht="13.5" thickBot="1" x14ac:dyDescent="0.25">
      <c r="A144" s="26" t="s">
        <v>37</v>
      </c>
      <c r="AJ144" s="32"/>
      <c r="AK144" s="106"/>
      <c r="AL144" s="130">
        <v>6.0381</v>
      </c>
      <c r="AM144" s="130">
        <v>2.9897999999999998</v>
      </c>
      <c r="AN144" s="147"/>
      <c r="AO144" s="113">
        <f t="shared" si="272"/>
        <v>9.0278999999999989</v>
      </c>
    </row>
    <row r="145" spans="1:43" ht="13.5" thickBot="1" x14ac:dyDescent="0.25">
      <c r="A145" s="16" t="s">
        <v>54</v>
      </c>
      <c r="AJ145" s="32"/>
      <c r="AK145" s="106"/>
      <c r="AL145" s="130">
        <v>500</v>
      </c>
      <c r="AM145" s="130"/>
      <c r="AN145" s="147"/>
      <c r="AO145" s="113">
        <f t="shared" si="272"/>
        <v>500</v>
      </c>
    </row>
    <row r="146" spans="1:43" ht="13.5" thickBot="1" x14ac:dyDescent="0.25">
      <c r="A146" s="121" t="s">
        <v>64</v>
      </c>
      <c r="AJ146" s="32"/>
      <c r="AK146" s="106"/>
      <c r="AL146" s="130">
        <v>30</v>
      </c>
      <c r="AM146" s="130"/>
      <c r="AN146" s="147"/>
      <c r="AO146" s="113">
        <f t="shared" si="272"/>
        <v>30</v>
      </c>
    </row>
    <row r="147" spans="1:43" ht="13.5" thickBot="1" x14ac:dyDescent="0.25">
      <c r="AJ147" s="11"/>
      <c r="AK147" s="108">
        <f t="shared" ref="AK147" si="274">SUM(AK137:AK146)</f>
        <v>0</v>
      </c>
      <c r="AL147" s="132">
        <f>SUM(AL137:AL146)</f>
        <v>827.01052741951526</v>
      </c>
      <c r="AM147" s="132">
        <f t="shared" ref="AM147" si="275">SUM(AM137:AM146)</f>
        <v>867.45333563999998</v>
      </c>
      <c r="AN147" s="110">
        <f t="shared" ref="AN147:AO147" si="276">SUM(AN137:AN146)</f>
        <v>130.92783505</v>
      </c>
      <c r="AO147" s="110">
        <f t="shared" si="276"/>
        <v>1825.3916981095153</v>
      </c>
    </row>
    <row r="148" spans="1:43" ht="13.5" thickBot="1" x14ac:dyDescent="0.25">
      <c r="A148" s="118" t="s">
        <v>112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P148" s="23"/>
      <c r="Q148" s="23"/>
      <c r="R148" s="23"/>
      <c r="S148" s="23"/>
      <c r="T148" s="23"/>
      <c r="U148" s="23"/>
      <c r="W148" s="23"/>
      <c r="X148" s="23"/>
      <c r="Y148" s="23"/>
      <c r="Z148" s="23"/>
      <c r="AA148" s="23"/>
      <c r="AB148" s="23"/>
      <c r="AD148" s="23"/>
      <c r="AE148" s="23"/>
      <c r="AF148" s="23"/>
      <c r="AG148" s="23"/>
      <c r="AI148" s="23"/>
      <c r="AK148" s="117"/>
      <c r="AL148" s="124"/>
      <c r="AM148" s="124"/>
      <c r="AN148" s="124"/>
    </row>
    <row r="149" spans="1:43" ht="13.5" thickBot="1" x14ac:dyDescent="0.25">
      <c r="A149" s="119" t="s">
        <v>151</v>
      </c>
      <c r="N149" s="124"/>
      <c r="U149" s="124"/>
      <c r="AB149" s="124"/>
      <c r="AD149" s="124"/>
      <c r="AE149" s="124"/>
      <c r="AF149" s="124"/>
      <c r="AG149" s="124"/>
      <c r="AI149" s="124"/>
      <c r="AJ149" s="32"/>
      <c r="AK149" s="105"/>
      <c r="AL149" s="129"/>
      <c r="AM149" s="129"/>
      <c r="AN149" s="146">
        <v>5.1667330700000003</v>
      </c>
      <c r="AO149" s="112">
        <f t="shared" ref="AO149:AO151" si="277">SUM(AK149:AN149)</f>
        <v>5.1667330700000003</v>
      </c>
    </row>
    <row r="150" spans="1:43" ht="13.5" thickBot="1" x14ac:dyDescent="0.25">
      <c r="A150" s="26" t="s">
        <v>12</v>
      </c>
      <c r="AE150" s="124"/>
      <c r="AF150" s="124"/>
      <c r="AJ150" s="32"/>
      <c r="AK150" s="106"/>
      <c r="AL150" s="130"/>
      <c r="AM150" s="130">
        <v>3.4098000000000002</v>
      </c>
      <c r="AN150" s="147">
        <v>2.47112</v>
      </c>
      <c r="AO150" s="113">
        <f t="shared" ref="AO150" si="278">SUM(AK150:AN150)</f>
        <v>5.8809199999999997</v>
      </c>
    </row>
    <row r="151" spans="1:43" ht="13.5" thickBot="1" x14ac:dyDescent="0.25">
      <c r="A151" s="16" t="s">
        <v>15</v>
      </c>
      <c r="AJ151" s="32"/>
      <c r="AK151" s="106"/>
      <c r="AL151" s="130"/>
      <c r="AM151" s="130">
        <f>8.01217851+1.82089318+18.458374+3.69767552</f>
        <v>31.98912121</v>
      </c>
      <c r="AN151" s="147"/>
      <c r="AO151" s="113">
        <f t="shared" si="277"/>
        <v>31.98912121</v>
      </c>
    </row>
    <row r="152" spans="1:43" ht="13.5" thickBot="1" x14ac:dyDescent="0.25">
      <c r="A152" s="16" t="s">
        <v>18</v>
      </c>
      <c r="AJ152" s="32"/>
      <c r="AK152" s="106"/>
      <c r="AL152" s="130">
        <v>2.2736163</v>
      </c>
      <c r="AM152" s="130"/>
      <c r="AN152" s="147"/>
      <c r="AO152" s="113">
        <f t="shared" ref="AO152:AO156" si="279">SUM(AK152:AN152)</f>
        <v>2.2736163</v>
      </c>
    </row>
    <row r="153" spans="1:43" ht="13.5" thickBot="1" x14ac:dyDescent="0.25">
      <c r="A153" s="26" t="s">
        <v>119</v>
      </c>
      <c r="AE153" s="124"/>
      <c r="AF153" s="124"/>
      <c r="AJ153" s="32"/>
      <c r="AK153" s="106"/>
      <c r="AL153" s="130"/>
      <c r="AM153" s="130">
        <v>42.540725889999997</v>
      </c>
      <c r="AN153" s="147"/>
      <c r="AO153" s="113">
        <f t="shared" ref="AO153" si="280">SUM(AK153:AN153)</f>
        <v>42.540725889999997</v>
      </c>
    </row>
    <row r="154" spans="1:43" ht="13.5" thickBot="1" x14ac:dyDescent="0.25">
      <c r="A154" s="16" t="s">
        <v>25</v>
      </c>
      <c r="AJ154" s="32"/>
      <c r="AK154" s="106"/>
      <c r="AL154" s="130">
        <v>1.694205</v>
      </c>
      <c r="AM154" s="130">
        <v>0.55079999999999996</v>
      </c>
      <c r="AN154" s="147"/>
      <c r="AO154" s="113">
        <f t="shared" si="279"/>
        <v>2.2450049999999999</v>
      </c>
    </row>
    <row r="155" spans="1:43" ht="13.5" thickBot="1" x14ac:dyDescent="0.25">
      <c r="A155" s="26" t="s">
        <v>37</v>
      </c>
      <c r="AJ155" s="32"/>
      <c r="AK155" s="106"/>
      <c r="AL155" s="130">
        <f>0.5004+0.31878</f>
        <v>0.81918000000000002</v>
      </c>
      <c r="AM155" s="130">
        <f>3.43368-2.9898</f>
        <v>0.44388000000000005</v>
      </c>
      <c r="AN155" s="147"/>
      <c r="AO155" s="113">
        <f t="shared" si="279"/>
        <v>1.2630600000000001</v>
      </c>
      <c r="AQ155" s="126"/>
    </row>
    <row r="156" spans="1:43" ht="13.5" thickBot="1" x14ac:dyDescent="0.25">
      <c r="A156" s="120" t="s">
        <v>53</v>
      </c>
      <c r="AJ156" s="32"/>
      <c r="AK156" s="106"/>
      <c r="AL156" s="130">
        <v>2.1377728</v>
      </c>
      <c r="AM156" s="130"/>
      <c r="AN156" s="147"/>
      <c r="AO156" s="113">
        <f t="shared" si="279"/>
        <v>2.1377728</v>
      </c>
    </row>
    <row r="157" spans="1:43" ht="13.5" thickBot="1" x14ac:dyDescent="0.25">
      <c r="AJ157" s="11"/>
      <c r="AK157" s="108">
        <f>SUM(AK149:AK156)</f>
        <v>0</v>
      </c>
      <c r="AL157" s="132">
        <f t="shared" ref="AL157:AO157" si="281">SUM(AL149:AL156)</f>
        <v>6.9247741000000005</v>
      </c>
      <c r="AM157" s="132">
        <f t="shared" ref="AM157" si="282">SUM(AM149:AM156)</f>
        <v>78.93432709999999</v>
      </c>
      <c r="AN157" s="110">
        <f t="shared" si="281"/>
        <v>7.6378530700000002</v>
      </c>
      <c r="AO157" s="110">
        <f t="shared" si="281"/>
        <v>93.496954269999989</v>
      </c>
    </row>
    <row r="158" spans="1:43" ht="13.5" thickBot="1" x14ac:dyDescent="0.25">
      <c r="A158" s="118" t="s">
        <v>113</v>
      </c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P158" s="23"/>
      <c r="Q158" s="23"/>
      <c r="R158" s="23"/>
      <c r="S158" s="23"/>
      <c r="T158" s="23"/>
      <c r="U158" s="23"/>
      <c r="W158" s="23"/>
      <c r="X158" s="23"/>
      <c r="Y158" s="23"/>
      <c r="Z158" s="23"/>
      <c r="AA158" s="23"/>
      <c r="AB158" s="23"/>
      <c r="AD158" s="23"/>
      <c r="AE158" s="23"/>
      <c r="AF158" s="23"/>
      <c r="AG158" s="23"/>
      <c r="AI158" s="23"/>
      <c r="AK158" s="117"/>
      <c r="AL158" s="124"/>
      <c r="AM158" s="124"/>
      <c r="AN158" s="124"/>
    </row>
    <row r="159" spans="1:43" ht="13.5" thickBot="1" x14ac:dyDescent="0.25">
      <c r="A159" s="119" t="s">
        <v>21</v>
      </c>
      <c r="AJ159" s="32"/>
      <c r="AK159" s="105"/>
      <c r="AL159" s="129">
        <v>5.6285499999999997</v>
      </c>
      <c r="AM159" s="129"/>
      <c r="AN159" s="146"/>
      <c r="AO159" s="112">
        <f t="shared" ref="AO159:AO160" si="283">SUM(AK159:AN159)</f>
        <v>5.6285499999999997</v>
      </c>
    </row>
    <row r="160" spans="1:43" ht="13.5" thickBot="1" x14ac:dyDescent="0.25">
      <c r="A160" s="120" t="s">
        <v>22</v>
      </c>
      <c r="AJ160" s="32"/>
      <c r="AK160" s="106"/>
      <c r="AL160" s="130">
        <v>57.77</v>
      </c>
      <c r="AM160" s="130">
        <v>-47.232030369999997</v>
      </c>
      <c r="AN160" s="147"/>
      <c r="AO160" s="113">
        <f t="shared" si="283"/>
        <v>10.537969630000006</v>
      </c>
    </row>
    <row r="161" spans="1:43" ht="13.5" thickBot="1" x14ac:dyDescent="0.25">
      <c r="AJ161" s="11"/>
      <c r="AK161" s="108">
        <f>SUM(AK159:AK160)</f>
        <v>0</v>
      </c>
      <c r="AL161" s="132">
        <f>SUM(AL159:AL160)</f>
        <v>63.39855</v>
      </c>
      <c r="AM161" s="132">
        <f>SUM(AM159:AM160)</f>
        <v>-47.232030369999997</v>
      </c>
      <c r="AN161" s="110">
        <f>SUM(AN159:AN160)</f>
        <v>0</v>
      </c>
      <c r="AO161" s="110">
        <f>SUM(AO159:AO160)</f>
        <v>16.166519630000007</v>
      </c>
    </row>
    <row r="163" spans="1:43" x14ac:dyDescent="0.2">
      <c r="AN163" s="138"/>
    </row>
    <row r="164" spans="1:43" ht="17.25" customHeight="1" x14ac:dyDescent="0.2">
      <c r="A164" s="125" t="s">
        <v>114</v>
      </c>
      <c r="AD164" s="122"/>
      <c r="AE164" s="122"/>
      <c r="AF164" s="122"/>
      <c r="AG164" s="122"/>
      <c r="AH164" s="123"/>
      <c r="AI164" s="123"/>
      <c r="AO164" s="122"/>
      <c r="AQ164" s="123"/>
    </row>
    <row r="165" spans="1:43" ht="20.25" customHeight="1" x14ac:dyDescent="0.2">
      <c r="A165" s="142" t="s">
        <v>138</v>
      </c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  <c r="AK165" s="142"/>
      <c r="AL165" s="142"/>
      <c r="AM165" s="142"/>
      <c r="AN165" s="142"/>
      <c r="AO165" s="142"/>
      <c r="AP165" s="142"/>
      <c r="AQ165" s="142"/>
    </row>
    <row r="166" spans="1:43" ht="20.25" customHeight="1" x14ac:dyDescent="0.2">
      <c r="A166" s="142" t="s">
        <v>139</v>
      </c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  <c r="AK166" s="142"/>
      <c r="AL166" s="142"/>
      <c r="AM166" s="142"/>
      <c r="AN166" s="142"/>
      <c r="AO166" s="142"/>
      <c r="AP166" s="142"/>
      <c r="AQ166" s="142"/>
    </row>
    <row r="167" spans="1:43" ht="44.25" customHeight="1" x14ac:dyDescent="0.2">
      <c r="A167" s="142" t="s">
        <v>145</v>
      </c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  <c r="AK167" s="142"/>
      <c r="AL167" s="142"/>
      <c r="AM167" s="142"/>
      <c r="AN167" s="142"/>
      <c r="AO167" s="142"/>
      <c r="AP167" s="142"/>
      <c r="AQ167" s="142"/>
    </row>
    <row r="168" spans="1:43" ht="31.5" customHeight="1" x14ac:dyDescent="0.2">
      <c r="A168" s="142" t="s">
        <v>140</v>
      </c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  <c r="AK168" s="142"/>
      <c r="AL168" s="142"/>
      <c r="AM168" s="142"/>
      <c r="AN168" s="142"/>
      <c r="AO168" s="142"/>
      <c r="AP168" s="142"/>
      <c r="AQ168" s="142"/>
    </row>
    <row r="169" spans="1:43" ht="22.5" customHeight="1" x14ac:dyDescent="0.2">
      <c r="A169" s="24" t="s">
        <v>152</v>
      </c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P169" s="23"/>
      <c r="Q169" s="23"/>
      <c r="R169" s="23"/>
      <c r="S169" s="23"/>
      <c r="T169" s="23"/>
      <c r="U169" s="23"/>
      <c r="W169" s="23"/>
      <c r="X169" s="23"/>
      <c r="Y169" s="23"/>
      <c r="Z169" s="23"/>
      <c r="AA169" s="23"/>
      <c r="AB169" s="23"/>
      <c r="AD169" s="23"/>
      <c r="AE169" s="23"/>
      <c r="AF169" s="23"/>
      <c r="AG169" s="23"/>
      <c r="AI169" s="23"/>
      <c r="AJ169" s="23"/>
      <c r="AK169" s="11"/>
      <c r="AO169" s="11"/>
    </row>
    <row r="170" spans="1:43" ht="22.5" customHeight="1" x14ac:dyDescent="0.2">
      <c r="A170" s="142" t="s">
        <v>141</v>
      </c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  <c r="AK170" s="142"/>
      <c r="AL170" s="142"/>
      <c r="AM170" s="142"/>
      <c r="AN170" s="142"/>
      <c r="AO170" s="142"/>
      <c r="AP170" s="142"/>
      <c r="AQ170" s="142"/>
    </row>
    <row r="171" spans="1:43" ht="18.75" customHeight="1" x14ac:dyDescent="0.2">
      <c r="A171" s="24" t="s">
        <v>142</v>
      </c>
      <c r="L171" s="4"/>
      <c r="M171" s="4"/>
      <c r="N171" s="4"/>
      <c r="P171" s="4"/>
      <c r="Q171" s="4"/>
      <c r="R171" s="4"/>
      <c r="S171" s="4"/>
      <c r="T171" s="4"/>
      <c r="U171" s="4"/>
      <c r="W171" s="4"/>
      <c r="X171" s="4"/>
      <c r="Y171" s="4"/>
      <c r="Z171" s="4"/>
      <c r="AA171" s="4"/>
      <c r="AB171" s="4"/>
      <c r="AD171" s="4"/>
      <c r="AE171" s="4"/>
      <c r="AF171" s="4"/>
      <c r="AG171" s="4"/>
    </row>
    <row r="172" spans="1:43" ht="45.75" customHeight="1" x14ac:dyDescent="0.2">
      <c r="A172" s="142" t="s">
        <v>143</v>
      </c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  <c r="AK172" s="142"/>
      <c r="AL172" s="142"/>
      <c r="AM172" s="142"/>
      <c r="AN172" s="142"/>
      <c r="AO172" s="142"/>
      <c r="AP172" s="142"/>
      <c r="AQ172" s="142"/>
    </row>
    <row r="173" spans="1:43" ht="22.5" customHeight="1" x14ac:dyDescent="0.2">
      <c r="A173" s="24" t="s">
        <v>144</v>
      </c>
    </row>
    <row r="176" spans="1:43" ht="42" customHeight="1" x14ac:dyDescent="0.35">
      <c r="A176" s="30" t="s">
        <v>115</v>
      </c>
    </row>
    <row r="177" spans="1:36" ht="15.75" x14ac:dyDescent="0.25">
      <c r="A177" s="2" t="s">
        <v>147</v>
      </c>
      <c r="P177" s="1"/>
      <c r="Q177" s="1"/>
      <c r="R177" s="1"/>
      <c r="S177" s="1"/>
      <c r="T177" s="1"/>
      <c r="W177" s="1"/>
      <c r="X177" s="1"/>
      <c r="Y177" s="1"/>
      <c r="Z177" s="1"/>
      <c r="AA177" s="1"/>
      <c r="AD177" s="1"/>
      <c r="AE177" s="1"/>
      <c r="AF177" s="1"/>
      <c r="AG177" s="1"/>
    </row>
    <row r="178" spans="1:36" ht="15.75" x14ac:dyDescent="0.25">
      <c r="A178" s="3" t="s">
        <v>1</v>
      </c>
      <c r="C178" s="4"/>
      <c r="D178" s="4"/>
      <c r="E178" s="4"/>
      <c r="F178" s="4"/>
      <c r="G178" s="4"/>
      <c r="H178" s="4"/>
      <c r="I178" s="4"/>
      <c r="J178" s="4"/>
    </row>
    <row r="179" spans="1:36" ht="13.5" thickBot="1" x14ac:dyDescent="0.25"/>
    <row r="180" spans="1:36" ht="30.75" thickBot="1" x14ac:dyDescent="0.3">
      <c r="A180" s="5"/>
      <c r="C180" s="6">
        <v>2000</v>
      </c>
      <c r="D180" s="6">
        <v>2001</v>
      </c>
      <c r="E180" s="6">
        <v>2002</v>
      </c>
      <c r="F180" s="6">
        <v>2003</v>
      </c>
      <c r="G180" s="6">
        <v>2004</v>
      </c>
      <c r="H180" s="7">
        <v>2005</v>
      </c>
      <c r="I180" s="6">
        <v>2006</v>
      </c>
      <c r="J180" s="7">
        <v>2007</v>
      </c>
      <c r="K180" s="6">
        <v>2008</v>
      </c>
      <c r="L180" s="7">
        <v>2009</v>
      </c>
      <c r="M180" s="7">
        <v>2010</v>
      </c>
      <c r="N180" s="40" t="s">
        <v>5</v>
      </c>
      <c r="P180" s="7">
        <v>2011</v>
      </c>
      <c r="Q180" s="7">
        <v>2012</v>
      </c>
      <c r="R180" s="7">
        <v>2013</v>
      </c>
      <c r="S180" s="7">
        <v>2014</v>
      </c>
      <c r="T180" s="7">
        <v>2015</v>
      </c>
      <c r="U180" s="40" t="s">
        <v>6</v>
      </c>
      <c r="W180" s="7">
        <v>2016</v>
      </c>
      <c r="X180" s="7">
        <v>2017</v>
      </c>
      <c r="Y180" s="7">
        <v>2018</v>
      </c>
      <c r="Z180" s="7">
        <v>2019</v>
      </c>
      <c r="AA180" s="7">
        <v>2020</v>
      </c>
      <c r="AB180" s="40" t="s">
        <v>7</v>
      </c>
      <c r="AI180" s="41" t="s">
        <v>8</v>
      </c>
    </row>
    <row r="181" spans="1:36" ht="13.5" thickBot="1" x14ac:dyDescent="0.25">
      <c r="A181" s="9" t="s">
        <v>39</v>
      </c>
      <c r="C181" s="42"/>
      <c r="D181" s="49"/>
      <c r="E181" s="49"/>
      <c r="F181" s="49"/>
      <c r="G181" s="49"/>
      <c r="H181" s="50"/>
      <c r="I181" s="42"/>
      <c r="J181" s="54"/>
      <c r="K181" s="47"/>
      <c r="L181" s="42"/>
      <c r="M181" s="42"/>
      <c r="N181" s="86"/>
      <c r="P181" s="42"/>
      <c r="Q181" s="48"/>
      <c r="R181" s="48"/>
      <c r="S181" s="48">
        <v>30.742000000000001</v>
      </c>
      <c r="T181" s="48">
        <v>24.263000000000002</v>
      </c>
      <c r="U181" s="86">
        <f t="shared" ref="U181:U182" si="284">SUM(P181:T181)</f>
        <v>55.005000000000003</v>
      </c>
      <c r="W181" s="48">
        <v>22.976890000000001</v>
      </c>
      <c r="X181" s="48">
        <v>22.191076850000002</v>
      </c>
      <c r="Y181" s="48">
        <v>24.479173379999999</v>
      </c>
      <c r="Z181" s="48">
        <v>22.397200000000002</v>
      </c>
      <c r="AA181" s="48"/>
      <c r="AB181" s="86">
        <f t="shared" ref="AB181:AB182" si="285">SUM(W181:AA181)</f>
        <v>92.044340229999989</v>
      </c>
      <c r="AI181" s="96">
        <f t="shared" ref="AI181:AI182" si="286">SUM(AB181,U181,N181)</f>
        <v>147.04934022999998</v>
      </c>
    </row>
    <row r="182" spans="1:36" ht="13.5" thickBot="1" x14ac:dyDescent="0.25">
      <c r="A182" s="27" t="s">
        <v>53</v>
      </c>
      <c r="C182" s="42"/>
      <c r="D182" s="49"/>
      <c r="E182" s="49"/>
      <c r="F182" s="49"/>
      <c r="G182" s="49"/>
      <c r="H182" s="50"/>
      <c r="I182" s="42"/>
      <c r="J182" s="54"/>
      <c r="K182" s="47"/>
      <c r="L182" s="42"/>
      <c r="M182" s="42"/>
      <c r="N182" s="88"/>
      <c r="P182" s="42"/>
      <c r="Q182" s="48"/>
      <c r="R182" s="48"/>
      <c r="S182" s="48"/>
      <c r="T182" s="48">
        <v>4.7321999999999997</v>
      </c>
      <c r="U182" s="88">
        <f t="shared" si="284"/>
        <v>4.7321999999999997</v>
      </c>
      <c r="W182" s="48">
        <v>18.600539999999999</v>
      </c>
      <c r="X182" s="48">
        <v>11.45331</v>
      </c>
      <c r="Y182" s="48">
        <v>5.2708399999999997</v>
      </c>
      <c r="Z182" s="48"/>
      <c r="AA182" s="48"/>
      <c r="AB182" s="88">
        <f t="shared" si="285"/>
        <v>35.324689999999997</v>
      </c>
      <c r="AI182" s="96">
        <f t="shared" si="286"/>
        <v>40.056889999999996</v>
      </c>
    </row>
    <row r="183" spans="1:36" ht="13.5" thickBot="1" x14ac:dyDescent="0.25">
      <c r="A183" s="13" t="s">
        <v>56</v>
      </c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101"/>
      <c r="P183" s="62"/>
      <c r="Q183" s="62"/>
      <c r="R183" s="62"/>
      <c r="S183" s="62">
        <f t="shared" ref="S183:AI183" si="287">SUM(S181:S182)</f>
        <v>30.742000000000001</v>
      </c>
      <c r="T183" s="62">
        <f t="shared" si="287"/>
        <v>28.995200000000001</v>
      </c>
      <c r="U183" s="89">
        <f t="shared" si="287"/>
        <v>59.737200000000001</v>
      </c>
      <c r="W183" s="62">
        <f t="shared" si="287"/>
        <v>41.57743</v>
      </c>
      <c r="X183" s="62">
        <f t="shared" si="287"/>
        <v>33.644386850000004</v>
      </c>
      <c r="Y183" s="62">
        <f t="shared" si="287"/>
        <v>29.750013379999999</v>
      </c>
      <c r="Z183" s="62">
        <f t="shared" si="287"/>
        <v>22.397200000000002</v>
      </c>
      <c r="AA183" s="62">
        <f t="shared" si="287"/>
        <v>0</v>
      </c>
      <c r="AB183" s="89">
        <f t="shared" si="287"/>
        <v>127.36903022999999</v>
      </c>
      <c r="AI183" s="101">
        <f t="shared" si="287"/>
        <v>187.10623022999999</v>
      </c>
    </row>
    <row r="184" spans="1:36" ht="13.5" thickBot="1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P184" s="4"/>
      <c r="Q184" s="4"/>
      <c r="R184" s="4"/>
      <c r="S184" s="4"/>
      <c r="T184" s="4"/>
      <c r="W184" s="4"/>
      <c r="X184" s="4"/>
      <c r="Y184" s="4"/>
      <c r="Z184" s="4"/>
      <c r="AA184" s="4"/>
    </row>
    <row r="185" spans="1:36" ht="13.5" thickBot="1" x14ac:dyDescent="0.25">
      <c r="A185" s="29" t="s">
        <v>64</v>
      </c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86"/>
      <c r="P185" s="80"/>
      <c r="Q185" s="80"/>
      <c r="R185" s="80"/>
      <c r="S185" s="80"/>
      <c r="T185" s="81">
        <v>105</v>
      </c>
      <c r="U185" s="86">
        <f t="shared" ref="U185" si="288">SUM(P185:T185)</f>
        <v>105</v>
      </c>
      <c r="W185" s="81">
        <v>51.6</v>
      </c>
      <c r="X185" s="81">
        <v>40</v>
      </c>
      <c r="Y185" s="81">
        <v>44.6</v>
      </c>
      <c r="Z185" s="81"/>
      <c r="AA185" s="81"/>
      <c r="AB185" s="86">
        <f t="shared" ref="AB185" si="289">SUM(W185:AA185)</f>
        <v>136.19999999999999</v>
      </c>
      <c r="AI185" s="97">
        <f t="shared" ref="AI185" si="290">SUM(AB185,U185,N185)</f>
        <v>241.2</v>
      </c>
      <c r="AJ185" s="32"/>
    </row>
    <row r="186" spans="1:36" ht="13.5" thickBot="1" x14ac:dyDescent="0.25">
      <c r="A186" s="13" t="s">
        <v>116</v>
      </c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101"/>
      <c r="P186" s="74"/>
      <c r="Q186" s="74"/>
      <c r="R186" s="74"/>
      <c r="S186" s="74"/>
      <c r="T186" s="74">
        <f t="shared" ref="T186:AI186" si="291">SUM(T185)</f>
        <v>105</v>
      </c>
      <c r="U186" s="89">
        <f t="shared" si="291"/>
        <v>105</v>
      </c>
      <c r="W186" s="74">
        <f t="shared" si="291"/>
        <v>51.6</v>
      </c>
      <c r="X186" s="74">
        <f t="shared" si="291"/>
        <v>40</v>
      </c>
      <c r="Y186" s="74">
        <f t="shared" si="291"/>
        <v>44.6</v>
      </c>
      <c r="Z186" s="74">
        <f t="shared" si="291"/>
        <v>0</v>
      </c>
      <c r="AA186" s="74">
        <f t="shared" si="291"/>
        <v>0</v>
      </c>
      <c r="AB186" s="89">
        <f t="shared" si="291"/>
        <v>136.19999999999999</v>
      </c>
      <c r="AI186" s="101">
        <f t="shared" si="291"/>
        <v>241.2</v>
      </c>
      <c r="AJ186" s="11"/>
    </row>
    <row r="187" spans="1:36" ht="13.5" thickBot="1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P187" s="4"/>
      <c r="Q187" s="4"/>
      <c r="R187" s="4"/>
      <c r="S187" s="4"/>
      <c r="T187" s="4"/>
      <c r="W187" s="4"/>
      <c r="X187" s="4"/>
      <c r="Y187" s="4"/>
      <c r="Z187" s="4"/>
      <c r="AA187" s="4"/>
    </row>
    <row r="188" spans="1:36" ht="13.5" thickBot="1" x14ac:dyDescent="0.25">
      <c r="A188" s="22" t="s">
        <v>110</v>
      </c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100"/>
      <c r="P188" s="78"/>
      <c r="Q188" s="78"/>
      <c r="R188" s="78"/>
      <c r="S188" s="78">
        <f t="shared" ref="S188:AI188" si="292">SUM(S183,S186)</f>
        <v>30.742000000000001</v>
      </c>
      <c r="T188" s="78">
        <f t="shared" si="292"/>
        <v>133.99520000000001</v>
      </c>
      <c r="U188" s="100">
        <f t="shared" si="292"/>
        <v>164.7372</v>
      </c>
      <c r="W188" s="78">
        <f t="shared" si="292"/>
        <v>93.177430000000001</v>
      </c>
      <c r="X188" s="78">
        <f t="shared" si="292"/>
        <v>73.644386850000004</v>
      </c>
      <c r="Y188" s="78">
        <f t="shared" si="292"/>
        <v>74.350013380000007</v>
      </c>
      <c r="Z188" s="78">
        <f t="shared" si="292"/>
        <v>22.397200000000002</v>
      </c>
      <c r="AA188" s="78">
        <f t="shared" si="292"/>
        <v>0</v>
      </c>
      <c r="AB188" s="100">
        <f t="shared" si="292"/>
        <v>263.56903022999995</v>
      </c>
      <c r="AI188" s="100">
        <f t="shared" si="292"/>
        <v>428.30623022999998</v>
      </c>
    </row>
  </sheetData>
  <mergeCells count="8">
    <mergeCell ref="AQ5:AQ6"/>
    <mergeCell ref="A170:AQ170"/>
    <mergeCell ref="A172:AQ172"/>
    <mergeCell ref="AK5:AO5"/>
    <mergeCell ref="A167:AQ167"/>
    <mergeCell ref="A168:AQ168"/>
    <mergeCell ref="A166:AQ166"/>
    <mergeCell ref="A165:AQ165"/>
  </mergeCells>
  <pageMargins left="0.31496062992125984" right="0.31496062992125984" top="0.35433070866141736" bottom="0.35433070866141736" header="0.31496062992125984" footer="0.31496062992125984"/>
  <pageSetup paperSize="9" scale="50" orientation="portrait" r:id="rId1"/>
  <headerFooter alignWithMargins="0">
    <oddHeader>&amp;L&amp;"Calibri"&amp;10&amp;K000000Classified as Internal&amp;1#</oddHeader>
  </headerFooter>
  <ignoredErrors>
    <ignoredError sqref="U31 U24 AB24 AB31 AB14 U14 AH125:AH126 AL127 AH111:AH122 AH77 AH93 N111:AD122 N125:AD125 N93:AD93 AP125:AQ126 AP111:AQ122 AJ77:AK77 AJ93:AL93 AJ111:AL122 AJ125:AL125 AJ126 AH101:AH109 N101:AD109 AP101:AQ109 AJ102:AL109 AJ83:AL86 N83:AD86 AH83:AH86 AJ95:AL95 AJ94:AK94 N87:AB87 AJ88:AL88 N88:AD88 AH88 N53:AB55 U56 U59 AB59:AD59 AG63:AL63 AG87:AG88 AG17 AH81 N81:AD81 AJ81:AL81 N34:AB43 AO56:AQ63 AO44 AG11 AO11 N13 AO124 AO142 AO153 AJ96:AK96 N44:AD44 U17:AD17 N57:AD58 N60:AD61 AB62:AD63 AB56:AD56 AG44:AL44 AF62:AL62 AG56:AL61 N45:AB51 AJ99:AL99 AP99:AQ99 N99:AD99 AH99 AJ101:AK101 N126:P126 U126:V126 AA126:AD126 AC77:AD77 AH94:AH96 N94:AD96 N52:AG52 AO52 AA77:AB77 Y77 U77:V77 N77:P77 N75:AB76 N78:AB78 Q77:T77 W77:X77 Z77 AO75 U100:AB100 AG123" formula="1"/>
    <ignoredError sqref="G63:W63" formulaRange="1"/>
    <ignoredError sqref="AN63 AF63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706217-df7c-4bf4-936d-b09aa3b837af" xsi:nil="true"/>
    <_dlc_DocId xmlns="de9db2dc-c120-4d0d-95c2-8d07a6dcd810">GAVI-2091783149-892171</_dlc_DocId>
    <_dlc_DocIdUrl xmlns="de9db2dc-c120-4d0d-95c2-8d07a6dcd810">
      <Url>https://gavinet.sharepoint.com/teams/RMP/_layouts/15/DocIdRedir.aspx?ID=GAVI-2091783149-892171</Url>
      <Description>GAVI-2091783149-892171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93cb0222-e980-4273-ad97-85dba3159c09" ContentTypeId="0x01010091DD660C2743444EACB0CAF777412263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Gavi Excel Workbook" ma:contentTypeID="0x01010091DD660C2743444EACB0CAF77741226300E3EA498BF4FEF749AB10E97AC6B1B650" ma:contentTypeVersion="26" ma:contentTypeDescription="" ma:contentTypeScope="" ma:versionID="3637d6a15bc02c822c8947eca19aa2bd">
  <xsd:schema xmlns:xsd="http://www.w3.org/2001/XMLSchema" xmlns:xs="http://www.w3.org/2001/XMLSchema" xmlns:p="http://schemas.microsoft.com/office/2006/metadata/properties" xmlns:ns2="d0706217-df7c-4bf4-936d-b09aa3b837af" xmlns:ns3="de9db2dc-c120-4d0d-95c2-8d07a6dcd810" targetNamespace="http://schemas.microsoft.com/office/2006/metadata/properties" ma:root="true" ma:fieldsID="3b55d28387042f9ba13b81700b52dbf8" ns2:_="" ns3:_="">
    <xsd:import namespace="d0706217-df7c-4bf4-936d-b09aa3b837af"/>
    <xsd:import namespace="de9db2dc-c120-4d0d-95c2-8d07a6dcd810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06217-df7c-4bf4-936d-b09aa3b837af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description="" ma:hidden="true" ma:list="{2b7a234a-00e7-4fe7-bc1f-2d0730cece2b}" ma:internalName="TaxCatchAll" ma:showField="CatchAllData" ma:web="de9db2dc-c120-4d0d-95c2-8d07a6dcd8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description="" ma:hidden="true" ma:list="{2b7a234a-00e7-4fe7-bc1f-2d0730cece2b}" ma:internalName="TaxCatchAllLabel" ma:readOnly="true" ma:showField="CatchAllDataLabel" ma:web="de9db2dc-c120-4d0d-95c2-8d07a6dcd8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db2dc-c120-4d0d-95c2-8d07a6dcd810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4406B0-95D0-4740-A7D1-06B9443BB4F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7FB11A6-D140-4432-835C-73F5F457BFA5}">
  <ds:schemaRefs>
    <ds:schemaRef ds:uri="http://schemas.microsoft.com/office/2006/metadata/properties"/>
    <ds:schemaRef ds:uri="http://schemas.microsoft.com/office/infopath/2007/PartnerControls"/>
    <ds:schemaRef ds:uri="d0706217-df7c-4bf4-936d-b09aa3b837af"/>
    <ds:schemaRef ds:uri="57a992bc-bd44-4bca-8c15-5d6bcceffd31"/>
  </ds:schemaRefs>
</ds:datastoreItem>
</file>

<file path=customXml/itemProps3.xml><?xml version="1.0" encoding="utf-8"?>
<ds:datastoreItem xmlns:ds="http://schemas.openxmlformats.org/officeDocument/2006/customXml" ds:itemID="{C33CB698-E48C-4AEA-A68D-BFB61021464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9ADC4EF-CFB0-4C4F-A9FB-30BEED9253B2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BB2C35AB-0916-4CE2-B7CE-2A9E821715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2000-2023 Cash Receipts</vt:lpstr>
      <vt:lpstr>'2000-2023 Cash Receipts'!Print_Area</vt:lpstr>
    </vt:vector>
  </TitlesOfParts>
  <Manager/>
  <Company>Gavi Alliance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 Alliance</dc:creator>
  <cp:keywords/>
  <dc:description/>
  <cp:lastModifiedBy>Eric Godfrey</cp:lastModifiedBy>
  <cp:revision/>
  <dcterms:created xsi:type="dcterms:W3CDTF">2013-01-25T10:21:26Z</dcterms:created>
  <dcterms:modified xsi:type="dcterms:W3CDTF">2023-08-11T16:02:13Z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0x01010091DD660C2743444EACB0CAF77741226300E3EA498BF4FEF749AB10E97AC6B1B650</vt:lpwstr>
  </property>
  <property fmtid="{D5CDD505-2E9C-101B-9397-08002B2CF9AE}" pid="3" name="Author">
    <vt:lpwstr>7;#;UserInfo</vt:lpwstr>
  </property>
  <property fmtid="{D5CDD505-2E9C-101B-9397-08002B2CF9AE}" pid="4" name="Health System Strengthening">
    <vt:lpwstr/>
  </property>
  <property fmtid="{D5CDD505-2E9C-101B-9397-08002B2CF9AE}" pid="5" name="Lang">
    <vt:lpwstr/>
  </property>
  <property fmtid="{D5CDD505-2E9C-101B-9397-08002B2CF9AE}" pid="6" name="TaxKeyword">
    <vt:lpwstr/>
  </property>
  <property fmtid="{D5CDD505-2E9C-101B-9397-08002B2CF9AE}" pid="7" name="Order">
    <vt:r8>100</vt:r8>
  </property>
  <property fmtid="{D5CDD505-2E9C-101B-9397-08002B2CF9AE}" pid="8" name="Topic">
    <vt:lpwstr/>
  </property>
  <property fmtid="{D5CDD505-2E9C-101B-9397-08002B2CF9AE}" pid="9" name="_ShortcutWebId">
    <vt:lpwstr/>
  </property>
  <property fmtid="{D5CDD505-2E9C-101B-9397-08002B2CF9AE}" pid="10" name="_ShortcutUniqueId">
    <vt:lpwstr/>
  </property>
  <property fmtid="{D5CDD505-2E9C-101B-9397-08002B2CF9AE}" pid="11" name="_ShortcutSiteId">
    <vt:lpwstr/>
  </property>
  <property fmtid="{D5CDD505-2E9C-101B-9397-08002B2CF9AE}" pid="12" name="Created">
    <vt:filetime>2013-01-25T09:21:26Z</vt:filetime>
  </property>
  <property fmtid="{D5CDD505-2E9C-101B-9397-08002B2CF9AE}" pid="13" name="Health">
    <vt:lpwstr/>
  </property>
  <property fmtid="{D5CDD505-2E9C-101B-9397-08002B2CF9AE}" pid="14" name="Stakeholder">
    <vt:lpwstr/>
  </property>
  <property fmtid="{D5CDD505-2E9C-101B-9397-08002B2CF9AE}" pid="15" name="Vaccine">
    <vt:lpwstr/>
  </property>
  <property fmtid="{D5CDD505-2E9C-101B-9397-08002B2CF9AE}" pid="16" name="Depto">
    <vt:lpwstr>944;#Finance|70c92294-fade-490c-ae2b-2f46f3fe0636</vt:lpwstr>
  </property>
  <property fmtid="{D5CDD505-2E9C-101B-9397-08002B2CF9AE}" pid="17" name="International_x0020_Development">
    <vt:lpwstr/>
  </property>
  <property fmtid="{D5CDD505-2E9C-101B-9397-08002B2CF9AE}" pid="18" name="Modified">
    <vt:filetime>2016-04-07T14:36:37Z</vt:filetime>
  </property>
  <property fmtid="{D5CDD505-2E9C-101B-9397-08002B2CF9AE}" pid="19" name="Country">
    <vt:lpwstr/>
  </property>
  <property fmtid="{D5CDD505-2E9C-101B-9397-08002B2CF9AE}" pid="20" name="Governance">
    <vt:lpwstr/>
  </property>
  <property fmtid="{D5CDD505-2E9C-101B-9397-08002B2CF9AE}" pid="21" name="Editor">
    <vt:lpwstr>8;#;UserInfo</vt:lpwstr>
  </property>
  <property fmtid="{D5CDD505-2E9C-101B-9397-08002B2CF9AE}" pid="22" name="International Development">
    <vt:lpwstr/>
  </property>
  <property fmtid="{D5CDD505-2E9C-101B-9397-08002B2CF9AE}" pid="23" name="Health_x0020_System_x0020_Strengthening">
    <vt:lpwstr/>
  </property>
  <property fmtid="{D5CDD505-2E9C-101B-9397-08002B2CF9AE}" pid="24" name="Attendees">
    <vt:lpwstr/>
  </property>
  <property fmtid="{D5CDD505-2E9C-101B-9397-08002B2CF9AE}" pid="25" name="Programme and project management">
    <vt:lpwstr/>
  </property>
  <property fmtid="{D5CDD505-2E9C-101B-9397-08002B2CF9AE}" pid="26" name="Programme_x0020_and_x0020_project_x0020_management">
    <vt:lpwstr/>
  </property>
  <property fmtid="{D5CDD505-2E9C-101B-9397-08002B2CF9AE}" pid="27" name="_ShortcutUrl">
    <vt:lpwstr/>
  </property>
  <property fmtid="{D5CDD505-2E9C-101B-9397-08002B2CF9AE}" pid="28" name="_dlc_DocIdItemGuid">
    <vt:lpwstr>936bd5fd-2f38-4533-9539-3a0283f4193b</vt:lpwstr>
  </property>
  <property fmtid="{D5CDD505-2E9C-101B-9397-08002B2CF9AE}" pid="29" name="kfa83adfad8641678ddaedda80d7e126">
    <vt:lpwstr/>
  </property>
  <property fmtid="{D5CDD505-2E9C-101B-9397-08002B2CF9AE}" pid="30" name="Test">
    <vt:lpwstr/>
  </property>
  <property fmtid="{D5CDD505-2E9C-101B-9397-08002B2CF9AE}" pid="31" name="d1cc8e3ce74548b4802b698dbb551d86">
    <vt:lpwstr/>
  </property>
  <property fmtid="{D5CDD505-2E9C-101B-9397-08002B2CF9AE}" pid="32" name="AuthorIds_UIVersion_5">
    <vt:lpwstr>119</vt:lpwstr>
  </property>
  <property fmtid="{D5CDD505-2E9C-101B-9397-08002B2CF9AE}" pid="33" name="AuthorIds_UIVersion_1">
    <vt:lpwstr>119</vt:lpwstr>
  </property>
  <property fmtid="{D5CDD505-2E9C-101B-9397-08002B2CF9AE}" pid="34" name="AuthorIds_UIVersion_2">
    <vt:lpwstr>115</vt:lpwstr>
  </property>
  <property fmtid="{D5CDD505-2E9C-101B-9397-08002B2CF9AE}" pid="35" name="AuthorIds_UIVersion_4">
    <vt:lpwstr>119</vt:lpwstr>
  </property>
  <property fmtid="{D5CDD505-2E9C-101B-9397-08002B2CF9AE}" pid="36" name="Risk">
    <vt:lpwstr/>
  </property>
  <property fmtid="{D5CDD505-2E9C-101B-9397-08002B2CF9AE}" pid="37" name="da385a37dcdd43e7963145fe41f4539b">
    <vt:lpwstr/>
  </property>
  <property fmtid="{D5CDD505-2E9C-101B-9397-08002B2CF9AE}" pid="38" name="Donors and Partners">
    <vt:lpwstr/>
  </property>
  <property fmtid="{D5CDD505-2E9C-101B-9397-08002B2CF9AE}" pid="39" name="g46430f4398c4f35a5ec9f78edc038fa">
    <vt:lpwstr/>
  </property>
  <property fmtid="{D5CDD505-2E9C-101B-9397-08002B2CF9AE}" pid="40" name="Market Shaping">
    <vt:lpwstr/>
  </property>
  <property fmtid="{D5CDD505-2E9C-101B-9397-08002B2CF9AE}" pid="41" name="b71aade8ae9f44a1b207db6dd32da3e9">
    <vt:lpwstr/>
  </property>
  <property fmtid="{D5CDD505-2E9C-101B-9397-08002B2CF9AE}" pid="42" name="Strategy and Policy">
    <vt:lpwstr/>
  </property>
  <property fmtid="{D5CDD505-2E9C-101B-9397-08002B2CF9AE}" pid="43" name="e17ceaa0d61b4bfeb3c21883d9680a10">
    <vt:lpwstr/>
  </property>
  <property fmtid="{D5CDD505-2E9C-101B-9397-08002B2CF9AE}" pid="44" name="e27ceaa0d61b4bfeb3c21883d9680a10">
    <vt:lpwstr/>
  </property>
  <property fmtid="{D5CDD505-2E9C-101B-9397-08002B2CF9AE}" pid="45" name="Country Type">
    <vt:lpwstr/>
  </property>
  <property fmtid="{D5CDD505-2E9C-101B-9397-08002B2CF9AE}" pid="46" name="Document Type">
    <vt:lpwstr/>
  </property>
  <property fmtid="{D5CDD505-2E9C-101B-9397-08002B2CF9AE}" pid="47" name="Finance">
    <vt:lpwstr/>
  </property>
  <property fmtid="{D5CDD505-2E9C-101B-9397-08002B2CF9AE}" pid="48" name="p09ff1d2f026403cb92ff345796610f6">
    <vt:lpwstr/>
  </property>
  <property fmtid="{D5CDD505-2E9C-101B-9397-08002B2CF9AE}" pid="49" name="fc06a084bffd4a2cbb1b503815818f56">
    <vt:lpwstr/>
  </property>
  <property fmtid="{D5CDD505-2E9C-101B-9397-08002B2CF9AE}" pid="50" name="Language">
    <vt:lpwstr/>
  </property>
  <property fmtid="{D5CDD505-2E9C-101B-9397-08002B2CF9AE}" pid="51" name="c42a17fc557b46a5b9bcad4067cce71e">
    <vt:lpwstr/>
  </property>
  <property fmtid="{D5CDD505-2E9C-101B-9397-08002B2CF9AE}" pid="52" name="n169e2c9352346cf85f9723e82b9094d">
    <vt:lpwstr/>
  </property>
  <property fmtid="{D5CDD505-2E9C-101B-9397-08002B2CF9AE}" pid="53" name="IT Systems">
    <vt:lpwstr/>
  </property>
  <property fmtid="{D5CDD505-2E9C-101B-9397-08002B2CF9AE}" pid="54" name="Location">
    <vt:lpwstr/>
  </property>
  <property fmtid="{D5CDD505-2E9C-101B-9397-08002B2CF9AE}" pid="55" name="k22dc2e0c2174860996c8c9cbd411b1e">
    <vt:lpwstr/>
  </property>
  <property fmtid="{D5CDD505-2E9C-101B-9397-08002B2CF9AE}" pid="56" name="i37a087ac91a4078a555152c5cd63046">
    <vt:lpwstr/>
  </property>
  <property fmtid="{D5CDD505-2E9C-101B-9397-08002B2CF9AE}" pid="57" name="le9d97f3bd374b61b397133b88eb0f9d">
    <vt:lpwstr/>
  </property>
  <property fmtid="{D5CDD505-2E9C-101B-9397-08002B2CF9AE}" pid="58" name="MSIP_Label_8f5e72d3-b6ef-4c9c-b371-eb3c79f627ee_Enabled">
    <vt:lpwstr>true</vt:lpwstr>
  </property>
  <property fmtid="{D5CDD505-2E9C-101B-9397-08002B2CF9AE}" pid="59" name="MSIP_Label_8f5e72d3-b6ef-4c9c-b371-eb3c79f627ee_SetDate">
    <vt:lpwstr>2020-02-03T14:44:26Z</vt:lpwstr>
  </property>
  <property fmtid="{D5CDD505-2E9C-101B-9397-08002B2CF9AE}" pid="60" name="MSIP_Label_8f5e72d3-b6ef-4c9c-b371-eb3c79f627ee_Method">
    <vt:lpwstr>Privileged</vt:lpwstr>
  </property>
  <property fmtid="{D5CDD505-2E9C-101B-9397-08002B2CF9AE}" pid="61" name="MSIP_Label_8f5e72d3-b6ef-4c9c-b371-eb3c79f627ee_Name">
    <vt:lpwstr>8f5e72d3-b6ef-4c9c-b371-eb3c79f627ee</vt:lpwstr>
  </property>
  <property fmtid="{D5CDD505-2E9C-101B-9397-08002B2CF9AE}" pid="62" name="MSIP_Label_8f5e72d3-b6ef-4c9c-b371-eb3c79f627ee_SiteId">
    <vt:lpwstr>1de6d9f3-0daf-4df6-b9d6-5959f16f6118</vt:lpwstr>
  </property>
  <property fmtid="{D5CDD505-2E9C-101B-9397-08002B2CF9AE}" pid="63" name="MSIP_Label_8f5e72d3-b6ef-4c9c-b371-eb3c79f627ee_ActionId">
    <vt:lpwstr>1ddb797a-1d2f-4a90-9d97-0000d07cabd8</vt:lpwstr>
  </property>
  <property fmtid="{D5CDD505-2E9C-101B-9397-08002B2CF9AE}" pid="64" name="MSIP_Label_8f5e72d3-b6ef-4c9c-b371-eb3c79f627ee_ContentBits">
    <vt:lpwstr>1</vt:lpwstr>
  </property>
  <property fmtid="{D5CDD505-2E9C-101B-9397-08002B2CF9AE}" pid="65" name="e37ceaa0d61b4bfeb3c21883d9680a10">
    <vt:lpwstr>Finance|70c92294-fade-490c-ae2b-2f46f3fe0636</vt:lpwstr>
  </property>
  <property fmtid="{D5CDD505-2E9C-101B-9397-08002B2CF9AE}" pid="66" name="MediaServiceImageTags">
    <vt:lpwstr/>
  </property>
  <property fmtid="{D5CDD505-2E9C-101B-9397-08002B2CF9AE}" pid="67" name="lcf76f155ced4ddcb4097134ff3c332f">
    <vt:lpwstr/>
  </property>
</Properties>
</file>